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o_Ratings\"/>
    </mc:Choice>
  </mc:AlternateContent>
  <xr:revisionPtr revIDLastSave="0" documentId="13_ncr:1_{B1217FC8-7DA4-47FC-9264-A412B0061387}" xr6:coauthVersionLast="45" xr6:coauthVersionMax="45" xr10:uidLastSave="{00000000-0000-0000-0000-000000000000}"/>
  <bookViews>
    <workbookView xWindow="-120" yWindow="-120" windowWidth="29040" windowHeight="15840" tabRatio="687" firstSheet="5" activeTab="16" xr2:uid="{86F4026A-5851-41BA-A0BD-AA206EB1867B}"/>
  </bookViews>
  <sheets>
    <sheet name="elo_data" sheetId="1" r:id="rId1"/>
    <sheet name="elo_chart" sheetId="2" r:id="rId2"/>
    <sheet name="Week_1" sheetId="4" r:id="rId3"/>
    <sheet name="Week_2" sheetId="5" r:id="rId4"/>
    <sheet name="Week_3" sheetId="6" r:id="rId5"/>
    <sheet name="Week_4" sheetId="7" r:id="rId6"/>
    <sheet name="Week_5" sheetId="3" r:id="rId7"/>
    <sheet name="Week_6" sheetId="10" r:id="rId8"/>
    <sheet name="Profit_538" sheetId="9" r:id="rId9"/>
    <sheet name="elo_data_mine" sheetId="12" r:id="rId10"/>
    <sheet name="Week_1_Mine" sheetId="18" r:id="rId11"/>
    <sheet name="Week_2_Mine" sheetId="13" r:id="rId12"/>
    <sheet name="Week_3_Mine" sheetId="15" r:id="rId13"/>
    <sheet name="Week_4_Mine" sheetId="16" r:id="rId14"/>
    <sheet name="Week_5_Mine" sheetId="17" r:id="rId15"/>
    <sheet name="Week_6_Mine" sheetId="20" r:id="rId16"/>
    <sheet name="Profit_Mine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2" i="20"/>
  <c r="K13" i="20"/>
  <c r="K14" i="20" s="1"/>
  <c r="D2" i="17"/>
  <c r="D3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D4" i="17"/>
  <c r="D5" i="17"/>
  <c r="D6" i="17"/>
  <c r="D7" i="17"/>
  <c r="D8" i="17"/>
  <c r="D9" i="17"/>
  <c r="D10" i="17"/>
  <c r="D11" i="17"/>
  <c r="D12" i="17"/>
  <c r="D13" i="17"/>
  <c r="D14" i="17"/>
  <c r="D15" i="17"/>
  <c r="E2" i="17"/>
  <c r="D2" i="16"/>
  <c r="K13" i="17"/>
  <c r="K14" i="17" s="1"/>
  <c r="B2" i="19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K13" i="16"/>
  <c r="K14" i="16" s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2" i="15"/>
  <c r="D2" i="13"/>
  <c r="L13" i="15"/>
  <c r="L14" i="15" s="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M13" i="13"/>
  <c r="M14" i="13" s="1"/>
  <c r="E21" i="3"/>
  <c r="E20" i="3"/>
  <c r="E21" i="10"/>
  <c r="E22" i="10" s="1"/>
  <c r="E20" i="10"/>
  <c r="D3" i="10" a="1"/>
  <c r="D3" i="10" s="1"/>
  <c r="D4" i="10" a="1"/>
  <c r="D4" i="10" s="1"/>
  <c r="D5" i="10" a="1"/>
  <c r="D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D13" i="10" a="1"/>
  <c r="D13" i="10" s="1"/>
  <c r="D14" i="10" a="1"/>
  <c r="D14" i="10" s="1"/>
  <c r="D15" i="10" a="1"/>
  <c r="D15" i="10" s="1"/>
  <c r="D2" i="10" a="1"/>
  <c r="D2" i="10" s="1"/>
  <c r="E3" i="10" a="1"/>
  <c r="E3" i="10" s="1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2" i="10" a="1"/>
  <c r="E2" i="10" s="1"/>
  <c r="M14" i="10"/>
  <c r="M13" i="10"/>
  <c r="M8" i="10"/>
  <c r="M7" i="10"/>
  <c r="C3" i="9"/>
  <c r="C4" i="9"/>
  <c r="C5" i="9"/>
  <c r="C2" i="9"/>
  <c r="E26" i="7"/>
  <c r="E25" i="7"/>
  <c r="G2" i="9"/>
  <c r="K2" i="9" s="1"/>
  <c r="O2" i="9"/>
  <c r="G3" i="9"/>
  <c r="O3" i="9" s="1"/>
  <c r="K3" i="9"/>
  <c r="G4" i="9"/>
  <c r="O4" i="9" s="1"/>
  <c r="G5" i="9"/>
  <c r="K5" i="9"/>
  <c r="O5" i="9"/>
  <c r="M7" i="4"/>
  <c r="M8" i="4" s="1"/>
  <c r="E25" i="4" s="1"/>
  <c r="E26" i="4" s="1"/>
  <c r="M7" i="3"/>
  <c r="M8" i="3" s="1"/>
  <c r="M13" i="3"/>
  <c r="M14" i="3" s="1"/>
  <c r="M7" i="7"/>
  <c r="M8" i="7" s="1"/>
  <c r="M13" i="7"/>
  <c r="M14" i="7" s="1"/>
  <c r="E24" i="7"/>
  <c r="E26" i="6"/>
  <c r="E25" i="6"/>
  <c r="E24" i="6"/>
  <c r="E25" i="5"/>
  <c r="E26" i="5" s="1"/>
  <c r="E24" i="5"/>
  <c r="E24" i="4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E2" i="7" a="1"/>
  <c r="E2" i="7" s="1"/>
  <c r="D2" i="7" a="1"/>
  <c r="D2" i="7" s="1"/>
  <c r="E21" i="7"/>
  <c r="E20" i="7"/>
  <c r="E2" i="6" a="1"/>
  <c r="E2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D2" i="6" a="1"/>
  <c r="D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E21" i="6"/>
  <c r="E20" i="6"/>
  <c r="M13" i="6"/>
  <c r="M14" i="6" s="1"/>
  <c r="M8" i="6"/>
  <c r="M7" i="6"/>
  <c r="D2" i="5" a="1"/>
  <c r="D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E2" i="5" a="1"/>
  <c r="E2" i="5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21" i="5"/>
  <c r="E20" i="5"/>
  <c r="M13" i="5"/>
  <c r="M14" i="5" s="1"/>
  <c r="M8" i="5"/>
  <c r="M7" i="5"/>
  <c r="M13" i="4"/>
  <c r="M14" i="4" s="1"/>
  <c r="E21" i="4"/>
  <c r="E20" i="4"/>
  <c r="D17" i="4" a="1"/>
  <c r="D17" i="4" s="1"/>
  <c r="E17" i="4" a="1"/>
  <c r="E17" i="4" s="1"/>
  <c r="D16" i="4" a="1"/>
  <c r="D16" i="4" s="1"/>
  <c r="E16" i="4" a="1"/>
  <c r="E16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2" i="4" a="1"/>
  <c r="E2" i="4" s="1"/>
  <c r="D2" i="4" a="1"/>
  <c r="D2" i="4" s="1"/>
  <c r="H4" i="10" l="1"/>
  <c r="F4" i="20"/>
  <c r="H4" i="20" s="1"/>
  <c r="F6" i="20"/>
  <c r="H6" i="20" s="1"/>
  <c r="F11" i="20"/>
  <c r="H11" i="20" s="1"/>
  <c r="F12" i="20"/>
  <c r="H12" i="20" s="1"/>
  <c r="F3" i="20"/>
  <c r="H3" i="20" s="1"/>
  <c r="F8" i="20"/>
  <c r="H8" i="20" s="1"/>
  <c r="F14" i="20"/>
  <c r="H14" i="20" s="1"/>
  <c r="F13" i="20"/>
  <c r="H13" i="20" s="1"/>
  <c r="F15" i="20"/>
  <c r="H15" i="20" s="1"/>
  <c r="F7" i="20"/>
  <c r="H7" i="20" s="1"/>
  <c r="F10" i="20"/>
  <c r="H10" i="20" s="1"/>
  <c r="F5" i="20"/>
  <c r="H5" i="20" s="1"/>
  <c r="F2" i="20"/>
  <c r="H2" i="20" s="1"/>
  <c r="F9" i="20"/>
  <c r="H9" i="20" s="1"/>
  <c r="F15" i="17"/>
  <c r="H15" i="17" s="1"/>
  <c r="F4" i="17"/>
  <c r="H4" i="17" s="1"/>
  <c r="F8" i="17"/>
  <c r="H8" i="17" s="1"/>
  <c r="F6" i="17"/>
  <c r="H6" i="17" s="1"/>
  <c r="F5" i="17"/>
  <c r="H5" i="17" s="1"/>
  <c r="F7" i="17"/>
  <c r="H7" i="17" s="1"/>
  <c r="F13" i="17"/>
  <c r="H13" i="17" s="1"/>
  <c r="F10" i="17"/>
  <c r="H10" i="17" s="1"/>
  <c r="F14" i="17"/>
  <c r="H14" i="17" s="1"/>
  <c r="F3" i="17"/>
  <c r="H3" i="17" s="1"/>
  <c r="F9" i="17"/>
  <c r="H9" i="17" s="1"/>
  <c r="F11" i="17"/>
  <c r="H11" i="17" s="1"/>
  <c r="F2" i="17"/>
  <c r="H2" i="17" s="1"/>
  <c r="F12" i="17"/>
  <c r="H12" i="17" s="1"/>
  <c r="F11" i="13"/>
  <c r="H11" i="13" s="1"/>
  <c r="F12" i="16"/>
  <c r="H12" i="16" s="1"/>
  <c r="F5" i="16"/>
  <c r="H5" i="16" s="1"/>
  <c r="F2" i="16"/>
  <c r="H2" i="16" s="1"/>
  <c r="F13" i="16"/>
  <c r="H13" i="16" s="1"/>
  <c r="F9" i="16"/>
  <c r="H9" i="16" s="1"/>
  <c r="F15" i="16"/>
  <c r="H15" i="16" s="1"/>
  <c r="F3" i="16"/>
  <c r="H3" i="16" s="1"/>
  <c r="F16" i="16"/>
  <c r="H16" i="16" s="1"/>
  <c r="F7" i="16"/>
  <c r="H7" i="16" s="1"/>
  <c r="F11" i="16"/>
  <c r="H11" i="16" s="1"/>
  <c r="F8" i="16"/>
  <c r="H8" i="16" s="1"/>
  <c r="F14" i="16"/>
  <c r="H14" i="16" s="1"/>
  <c r="F6" i="16"/>
  <c r="H6" i="16" s="1"/>
  <c r="F10" i="16"/>
  <c r="H10" i="16" s="1"/>
  <c r="F4" i="16"/>
  <c r="H4" i="16" s="1"/>
  <c r="F15" i="15"/>
  <c r="H15" i="15" s="1"/>
  <c r="F5" i="15"/>
  <c r="F6" i="15"/>
  <c r="H6" i="15" s="1"/>
  <c r="F13" i="15"/>
  <c r="H13" i="15" s="1"/>
  <c r="F7" i="15"/>
  <c r="H7" i="15" s="1"/>
  <c r="F8" i="15"/>
  <c r="H8" i="15" s="1"/>
  <c r="F9" i="15"/>
  <c r="H9" i="15" s="1"/>
  <c r="F10" i="15"/>
  <c r="H10" i="15" s="1"/>
  <c r="F16" i="15"/>
  <c r="H16" i="15" s="1"/>
  <c r="F2" i="15"/>
  <c r="H2" i="15" s="1"/>
  <c r="F4" i="15"/>
  <c r="H4" i="15" s="1"/>
  <c r="F17" i="15"/>
  <c r="H17" i="15" s="1"/>
  <c r="F11" i="15"/>
  <c r="H11" i="15" s="1"/>
  <c r="F14" i="15"/>
  <c r="H14" i="15" s="1"/>
  <c r="F12" i="15"/>
  <c r="H12" i="15" s="1"/>
  <c r="F3" i="15"/>
  <c r="H3" i="15" s="1"/>
  <c r="F3" i="13"/>
  <c r="H3" i="13" s="1"/>
  <c r="F2" i="13"/>
  <c r="H2" i="13" s="1"/>
  <c r="F17" i="13"/>
  <c r="H17" i="13" s="1"/>
  <c r="F16" i="13"/>
  <c r="H16" i="13" s="1"/>
  <c r="F15" i="13"/>
  <c r="H15" i="13" s="1"/>
  <c r="F14" i="13"/>
  <c r="H14" i="13" s="1"/>
  <c r="F13" i="13"/>
  <c r="H13" i="13" s="1"/>
  <c r="F12" i="13"/>
  <c r="H12" i="13" s="1"/>
  <c r="F10" i="13"/>
  <c r="H10" i="13" s="1"/>
  <c r="F9" i="13"/>
  <c r="H9" i="13" s="1"/>
  <c r="F8" i="13"/>
  <c r="H8" i="13" s="1"/>
  <c r="F7" i="13"/>
  <c r="H7" i="13" s="1"/>
  <c r="F6" i="13"/>
  <c r="H6" i="13" s="1"/>
  <c r="F5" i="13"/>
  <c r="H5" i="13" s="1"/>
  <c r="F4" i="13"/>
  <c r="H4" i="13" s="1"/>
  <c r="E24" i="3"/>
  <c r="E25" i="3"/>
  <c r="E24" i="10"/>
  <c r="E25" i="10"/>
  <c r="F10" i="10"/>
  <c r="I10" i="10" s="1"/>
  <c r="H10" i="10"/>
  <c r="F7" i="10"/>
  <c r="I7" i="10" s="1"/>
  <c r="H7" i="10"/>
  <c r="H11" i="10"/>
  <c r="F11" i="10"/>
  <c r="I11" i="10" s="1"/>
  <c r="H14" i="10"/>
  <c r="F14" i="10"/>
  <c r="I14" i="10" s="1"/>
  <c r="H2" i="10"/>
  <c r="F2" i="10"/>
  <c r="I2" i="10" s="1"/>
  <c r="F8" i="10"/>
  <c r="I8" i="10" s="1"/>
  <c r="H8" i="10"/>
  <c r="H3" i="10"/>
  <c r="F3" i="10"/>
  <c r="I3" i="10" s="1"/>
  <c r="H15" i="10"/>
  <c r="F15" i="10"/>
  <c r="I15" i="10" s="1"/>
  <c r="H6" i="10"/>
  <c r="F6" i="10"/>
  <c r="I6" i="10" s="1"/>
  <c r="H5" i="10"/>
  <c r="F5" i="10"/>
  <c r="I5" i="10" s="1"/>
  <c r="H12" i="10"/>
  <c r="F12" i="10"/>
  <c r="I12" i="10" s="1"/>
  <c r="H13" i="10"/>
  <c r="F13" i="10"/>
  <c r="I13" i="10" s="1"/>
  <c r="F9" i="10"/>
  <c r="I9" i="10" s="1"/>
  <c r="H9" i="10"/>
  <c r="F4" i="10"/>
  <c r="I4" i="10" s="1"/>
  <c r="F16" i="7"/>
  <c r="I16" i="7" s="1"/>
  <c r="H16" i="7"/>
  <c r="K4" i="9"/>
  <c r="E26" i="3"/>
  <c r="G6" i="9" s="1"/>
  <c r="E22" i="7"/>
  <c r="F2" i="7"/>
  <c r="I2" i="7" s="1"/>
  <c r="H5" i="7"/>
  <c r="F5" i="7"/>
  <c r="I5" i="7" s="1"/>
  <c r="F4" i="7"/>
  <c r="I4" i="7" s="1"/>
  <c r="H4" i="7"/>
  <c r="H7" i="7"/>
  <c r="F7" i="7"/>
  <c r="I7" i="7" s="1"/>
  <c r="H8" i="7"/>
  <c r="F8" i="7"/>
  <c r="I8" i="7" s="1"/>
  <c r="H10" i="7"/>
  <c r="F10" i="7"/>
  <c r="I10" i="7" s="1"/>
  <c r="H11" i="7"/>
  <c r="F11" i="7"/>
  <c r="I11" i="7" s="1"/>
  <c r="H12" i="7"/>
  <c r="F12" i="7"/>
  <c r="I12" i="7" s="1"/>
  <c r="H13" i="7"/>
  <c r="F13" i="7"/>
  <c r="I13" i="7" s="1"/>
  <c r="F6" i="7"/>
  <c r="I6" i="7" s="1"/>
  <c r="H6" i="7"/>
  <c r="H14" i="7"/>
  <c r="F14" i="7"/>
  <c r="I14" i="7" s="1"/>
  <c r="H15" i="7"/>
  <c r="F15" i="7"/>
  <c r="I15" i="7" s="1"/>
  <c r="H3" i="7"/>
  <c r="F3" i="7"/>
  <c r="I3" i="7" s="1"/>
  <c r="H9" i="7"/>
  <c r="F9" i="7"/>
  <c r="I9" i="7" s="1"/>
  <c r="H2" i="7"/>
  <c r="E22" i="6"/>
  <c r="F2" i="6"/>
  <c r="I2" i="6" s="1"/>
  <c r="H16" i="6"/>
  <c r="H8" i="6"/>
  <c r="H4" i="6"/>
  <c r="F6" i="6"/>
  <c r="I6" i="6" s="1"/>
  <c r="H6" i="6"/>
  <c r="H12" i="6"/>
  <c r="F12" i="6"/>
  <c r="I12" i="6" s="1"/>
  <c r="H13" i="6"/>
  <c r="F13" i="6"/>
  <c r="I13" i="6" s="1"/>
  <c r="H7" i="6"/>
  <c r="F7" i="6"/>
  <c r="I7" i="6" s="1"/>
  <c r="H9" i="6"/>
  <c r="F9" i="6"/>
  <c r="I9" i="6" s="1"/>
  <c r="H10" i="6"/>
  <c r="F10" i="6"/>
  <c r="I10" i="6" s="1"/>
  <c r="H17" i="6"/>
  <c r="F17" i="6"/>
  <c r="I17" i="6" s="1"/>
  <c r="F15" i="6"/>
  <c r="I15" i="6" s="1"/>
  <c r="H15" i="6"/>
  <c r="F5" i="6"/>
  <c r="H14" i="6"/>
  <c r="F14" i="6"/>
  <c r="I14" i="6" s="1"/>
  <c r="H3" i="6"/>
  <c r="F3" i="6"/>
  <c r="I3" i="6" s="1"/>
  <c r="F11" i="6"/>
  <c r="I11" i="6" s="1"/>
  <c r="H11" i="6"/>
  <c r="F4" i="6"/>
  <c r="I4" i="6" s="1"/>
  <c r="F16" i="6"/>
  <c r="I16" i="6" s="1"/>
  <c r="H2" i="6"/>
  <c r="F8" i="6"/>
  <c r="I8" i="6" s="1"/>
  <c r="E22" i="5"/>
  <c r="H8" i="5"/>
  <c r="H9" i="5"/>
  <c r="H7" i="5"/>
  <c r="H4" i="5"/>
  <c r="H5" i="5"/>
  <c r="F4" i="5"/>
  <c r="I4" i="5" s="1"/>
  <c r="H12" i="5"/>
  <c r="F12" i="5"/>
  <c r="I12" i="5" s="1"/>
  <c r="H3" i="5"/>
  <c r="F3" i="5"/>
  <c r="I3" i="5" s="1"/>
  <c r="H14" i="5"/>
  <c r="F14" i="5"/>
  <c r="I14" i="5" s="1"/>
  <c r="H15" i="5"/>
  <c r="F15" i="5"/>
  <c r="I15" i="5" s="1"/>
  <c r="F6" i="5"/>
  <c r="I6" i="5" s="1"/>
  <c r="H6" i="5"/>
  <c r="H10" i="5"/>
  <c r="F10" i="5"/>
  <c r="I10" i="5" s="1"/>
  <c r="F17" i="5"/>
  <c r="I17" i="5" s="1"/>
  <c r="H17" i="5"/>
  <c r="H16" i="5"/>
  <c r="F16" i="5"/>
  <c r="I16" i="5" s="1"/>
  <c r="H13" i="5"/>
  <c r="F13" i="5"/>
  <c r="I13" i="5" s="1"/>
  <c r="H11" i="5"/>
  <c r="F11" i="5"/>
  <c r="I11" i="5" s="1"/>
  <c r="F2" i="5"/>
  <c r="I2" i="5" s="1"/>
  <c r="H2" i="5"/>
  <c r="F7" i="5"/>
  <c r="I7" i="5" s="1"/>
  <c r="F9" i="5"/>
  <c r="I9" i="5" s="1"/>
  <c r="F5" i="5"/>
  <c r="I5" i="5" s="1"/>
  <c r="F8" i="5"/>
  <c r="I8" i="5" s="1"/>
  <c r="E22" i="3"/>
  <c r="E22" i="4"/>
  <c r="F17" i="4"/>
  <c r="I17" i="4" s="1"/>
  <c r="H17" i="4"/>
  <c r="H16" i="4"/>
  <c r="F16" i="4"/>
  <c r="I16" i="4" s="1"/>
  <c r="F6" i="4"/>
  <c r="I6" i="4" s="1"/>
  <c r="F4" i="4"/>
  <c r="I4" i="4" s="1"/>
  <c r="H4" i="4"/>
  <c r="H9" i="4"/>
  <c r="F9" i="4"/>
  <c r="I9" i="4" s="1"/>
  <c r="H10" i="4"/>
  <c r="F10" i="4"/>
  <c r="I10" i="4" s="1"/>
  <c r="H5" i="4"/>
  <c r="F5" i="4"/>
  <c r="I5" i="4" s="1"/>
  <c r="H11" i="4"/>
  <c r="F11" i="4"/>
  <c r="I11" i="4" s="1"/>
  <c r="H12" i="4"/>
  <c r="F12" i="4"/>
  <c r="I12" i="4" s="1"/>
  <c r="H2" i="4"/>
  <c r="F2" i="4"/>
  <c r="I2" i="4" s="1"/>
  <c r="F13" i="4"/>
  <c r="I13" i="4" s="1"/>
  <c r="H13" i="4"/>
  <c r="H7" i="4"/>
  <c r="F7" i="4"/>
  <c r="I7" i="4" s="1"/>
  <c r="H3" i="4"/>
  <c r="F3" i="4"/>
  <c r="I3" i="4" s="1"/>
  <c r="H14" i="4"/>
  <c r="F14" i="4"/>
  <c r="I14" i="4" s="1"/>
  <c r="H8" i="4"/>
  <c r="F8" i="4"/>
  <c r="I8" i="4" s="1"/>
  <c r="H15" i="4"/>
  <c r="F15" i="4"/>
  <c r="I15" i="4" s="1"/>
  <c r="H6" i="4"/>
  <c r="E2" i="3" a="1"/>
  <c r="E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2" i="3" a="1"/>
  <c r="D2" i="3" s="1"/>
  <c r="B21" i="20" l="1"/>
  <c r="B20" i="20"/>
  <c r="B21" i="17"/>
  <c r="B20" i="17"/>
  <c r="B21" i="16"/>
  <c r="B20" i="16"/>
  <c r="B20" i="15"/>
  <c r="B21" i="15"/>
  <c r="B21" i="13"/>
  <c r="B20" i="13"/>
  <c r="E26" i="10"/>
  <c r="B21" i="10"/>
  <c r="B20" i="10"/>
  <c r="B21" i="5"/>
  <c r="H13" i="3"/>
  <c r="H5" i="3"/>
  <c r="H7" i="3"/>
  <c r="B20" i="4"/>
  <c r="B21" i="4"/>
  <c r="H6" i="3"/>
  <c r="B21" i="7"/>
  <c r="H15" i="3"/>
  <c r="H8" i="3"/>
  <c r="H4" i="3"/>
  <c r="H3" i="3"/>
  <c r="K6" i="9"/>
  <c r="K19" i="9" s="1"/>
  <c r="K20" i="9" s="1"/>
  <c r="C6" i="9"/>
  <c r="O6" i="9"/>
  <c r="O19" i="9" s="1"/>
  <c r="O20" i="9" s="1"/>
  <c r="G19" i="9"/>
  <c r="G20" i="9" s="1"/>
  <c r="B20" i="7"/>
  <c r="B20" i="6"/>
  <c r="B21" i="6"/>
  <c r="B20" i="5"/>
  <c r="H2" i="3"/>
  <c r="H11" i="3"/>
  <c r="H12" i="3"/>
  <c r="H10" i="3"/>
  <c r="H14" i="3"/>
  <c r="H9" i="3"/>
  <c r="F7" i="3"/>
  <c r="I7" i="3" s="1"/>
  <c r="F3" i="3"/>
  <c r="I3" i="3" s="1"/>
  <c r="F15" i="3"/>
  <c r="I15" i="3" s="1"/>
  <c r="F8" i="3"/>
  <c r="I8" i="3" s="1"/>
  <c r="F6" i="3"/>
  <c r="I6" i="3" s="1"/>
  <c r="F5" i="3"/>
  <c r="I5" i="3" s="1"/>
  <c r="F13" i="3"/>
  <c r="I13" i="3" s="1"/>
  <c r="F11" i="3"/>
  <c r="I11" i="3" s="1"/>
  <c r="F4" i="3"/>
  <c r="I4" i="3" s="1"/>
  <c r="F14" i="3"/>
  <c r="I14" i="3" s="1"/>
  <c r="F12" i="3"/>
  <c r="I12" i="3" s="1"/>
  <c r="F10" i="3"/>
  <c r="I10" i="3" s="1"/>
  <c r="F9" i="3"/>
  <c r="I9" i="3" s="1"/>
  <c r="F2" i="3"/>
  <c r="I2" i="3" s="1"/>
  <c r="B25" i="20" l="1"/>
  <c r="B24" i="20"/>
  <c r="B22" i="20"/>
  <c r="B25" i="17"/>
  <c r="B24" i="17"/>
  <c r="B22" i="17"/>
  <c r="B25" i="16"/>
  <c r="B24" i="16"/>
  <c r="B22" i="16"/>
  <c r="B25" i="15"/>
  <c r="B24" i="15"/>
  <c r="B22" i="15"/>
  <c r="B25" i="13"/>
  <c r="B24" i="13"/>
  <c r="B22" i="13"/>
  <c r="B25" i="10"/>
  <c r="B24" i="10"/>
  <c r="B22" i="10"/>
  <c r="B21" i="3"/>
  <c r="B25" i="6"/>
  <c r="B24" i="6"/>
  <c r="B24" i="7"/>
  <c r="B25" i="7"/>
  <c r="B25" i="5"/>
  <c r="B24" i="5"/>
  <c r="B24" i="4"/>
  <c r="B25" i="4"/>
  <c r="B22" i="4"/>
  <c r="B20" i="3"/>
  <c r="B22" i="7"/>
  <c r="C19" i="9"/>
  <c r="C20" i="9" s="1"/>
  <c r="B22" i="6"/>
  <c r="B22" i="5"/>
  <c r="B26" i="20" l="1"/>
  <c r="B26" i="17"/>
  <c r="B6" i="19" s="1"/>
  <c r="B26" i="16"/>
  <c r="B5" i="19" s="1"/>
  <c r="B26" i="15"/>
  <c r="B4" i="19" s="1"/>
  <c r="B26" i="13"/>
  <c r="B3" i="19" s="1"/>
  <c r="B26" i="10"/>
  <c r="B26" i="4"/>
  <c r="F2" i="9" s="1"/>
  <c r="B2" i="9" s="1"/>
  <c r="B26" i="7"/>
  <c r="F5" i="9" s="1"/>
  <c r="N5" i="9" s="1"/>
  <c r="B26" i="5"/>
  <c r="F3" i="9" s="1"/>
  <c r="J2" i="9"/>
  <c r="N2" i="9"/>
  <c r="J3" i="9"/>
  <c r="B3" i="9"/>
  <c r="N3" i="9"/>
  <c r="B5" i="9"/>
  <c r="J5" i="9"/>
  <c r="B26" i="6"/>
  <c r="F4" i="9" s="1"/>
  <c r="B24" i="3"/>
  <c r="B25" i="3"/>
  <c r="B22" i="3"/>
  <c r="B19" i="19" l="1"/>
  <c r="B21" i="19" s="1"/>
  <c r="N4" i="9"/>
  <c r="B4" i="9"/>
  <c r="J4" i="9"/>
  <c r="B26" i="3"/>
  <c r="F6" i="9" s="1"/>
  <c r="N6" i="9" s="1"/>
  <c r="B20" i="19" l="1"/>
  <c r="N19" i="9"/>
  <c r="N20" i="9" s="1"/>
  <c r="B6" i="9"/>
  <c r="B19" i="9" s="1"/>
  <c r="B20" i="9" s="1"/>
  <c r="F19" i="9"/>
  <c r="F20" i="9" s="1"/>
  <c r="J6" i="9"/>
  <c r="J19" i="9" s="1"/>
  <c r="J21" i="9" s="1"/>
  <c r="J22" i="9" s="1"/>
  <c r="N21" i="9" l="1"/>
  <c r="N22" i="9" s="1"/>
  <c r="F21" i="9"/>
  <c r="F22" i="9" s="1"/>
  <c r="J20" i="9"/>
  <c r="B21" i="9"/>
  <c r="B2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<sst xmlns="http://schemas.openxmlformats.org/spreadsheetml/2006/main" count="1271" uniqueCount="102">
  <si>
    <t>Week 4</t>
  </si>
  <si>
    <t>Week 5</t>
  </si>
  <si>
    <t>Week 1</t>
  </si>
  <si>
    <t>Week 2</t>
  </si>
  <si>
    <t>Week 3</t>
  </si>
  <si>
    <t>Team/Elo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</si>
  <si>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</si>
  <si>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</si>
  <si>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</si>
  <si>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</si>
  <si>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</si>
  <si>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</si>
  <si>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</si>
  <si>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</si>
  <si>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</si>
  <si>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</si>
  <si>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</si>
  <si>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</si>
  <si>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Chiefs</t>
  </si>
  <si>
    <t>Ravens</t>
  </si>
  <si>
    <t>Saints</t>
  </si>
  <si>
    <t>Packers</t>
  </si>
  <si>
    <t>Steelers</t>
  </si>
  <si>
    <t>Seahawks</t>
  </si>
  <si>
    <t>49ers</t>
  </si>
  <si>
    <t>Patriots</t>
  </si>
  <si>
    <t>Titans</t>
  </si>
  <si>
    <t>Bills</t>
  </si>
  <si>
    <t>Rams</t>
  </si>
  <si>
    <t>Cowboys</t>
  </si>
  <si>
    <t>Bears</t>
  </si>
  <si>
    <t>Vikings</t>
  </si>
  <si>
    <t>Buccaneers</t>
  </si>
  <si>
    <t>Colts</t>
  </si>
  <si>
    <t>Eagles</t>
  </si>
  <si>
    <t>Cardinals</t>
  </si>
  <si>
    <t>Texans</t>
  </si>
  <si>
    <t>Raiders</t>
  </si>
  <si>
    <t>Falcons</t>
  </si>
  <si>
    <t>Broncos</t>
  </si>
  <si>
    <t>Browns</t>
  </si>
  <si>
    <t>Chargers</t>
  </si>
  <si>
    <t>Jets</t>
  </si>
  <si>
    <t>Lions</t>
  </si>
  <si>
    <t>Jaguars</t>
  </si>
  <si>
    <t>Panthers</t>
  </si>
  <si>
    <t>Dolphins</t>
  </si>
  <si>
    <t>Washington</t>
  </si>
  <si>
    <t>Giants</t>
  </si>
  <si>
    <t>Bengals</t>
  </si>
  <si>
    <t>Predicted</t>
  </si>
  <si>
    <t>Team 1</t>
  </si>
  <si>
    <t>Team 2</t>
  </si>
  <si>
    <t>Team 1 Elo</t>
  </si>
  <si>
    <t>Team 2 Elo</t>
  </si>
  <si>
    <t>Actual</t>
  </si>
  <si>
    <t>Win/Loss</t>
  </si>
  <si>
    <t>Win</t>
  </si>
  <si>
    <t>Loss</t>
  </si>
  <si>
    <t xml:space="preserve"> +/-</t>
  </si>
  <si>
    <t xml:space="preserve"> Game 1</t>
  </si>
  <si>
    <t xml:space="preserve"> Game 2</t>
  </si>
  <si>
    <t xml:space="preserve"> Game 3</t>
  </si>
  <si>
    <t xml:space="preserve"> Game 4</t>
  </si>
  <si>
    <t xml:space="preserve"> Game 5</t>
  </si>
  <si>
    <t xml:space="preserve"> Game 6</t>
  </si>
  <si>
    <t xml:space="preserve"> Game 7</t>
  </si>
  <si>
    <t xml:space="preserve"> Game 8</t>
  </si>
  <si>
    <t xml:space="preserve"> Game 9</t>
  </si>
  <si>
    <t xml:space="preserve"> Game 10</t>
  </si>
  <si>
    <t xml:space="preserve"> Game 11</t>
  </si>
  <si>
    <t xml:space="preserve"> Game 12</t>
  </si>
  <si>
    <t xml:space="preserve"> Game 13</t>
  </si>
  <si>
    <t xml:space="preserve"> Game 14</t>
  </si>
  <si>
    <t>Spread</t>
  </si>
  <si>
    <t>Moneyline</t>
  </si>
  <si>
    <t>Win Lost ATS</t>
  </si>
  <si>
    <t>ATS</t>
  </si>
  <si>
    <t xml:space="preserve">Initial </t>
  </si>
  <si>
    <t>Payout</t>
  </si>
  <si>
    <t>Assuming average ATS odds of -110</t>
  </si>
  <si>
    <t>Multiplier</t>
  </si>
  <si>
    <t>Assuming average moneyline of -200</t>
  </si>
  <si>
    <t>Odds</t>
  </si>
  <si>
    <t>Game 15</t>
  </si>
  <si>
    <t>Game 16</t>
  </si>
  <si>
    <t>Net</t>
  </si>
  <si>
    <t>Tie</t>
  </si>
  <si>
    <t>Total Profit</t>
  </si>
  <si>
    <t>ATS*</t>
  </si>
  <si>
    <t>ML*</t>
  </si>
  <si>
    <t>*ML - took an average value of 200, varies each game</t>
  </si>
  <si>
    <t>*ATS - not offered at the same line, this is my own line</t>
  </si>
  <si>
    <t>Total Winnings</t>
  </si>
  <si>
    <t>Total Games Bet</t>
  </si>
  <si>
    <t>ROI</t>
  </si>
  <si>
    <t>Return</t>
  </si>
  <si>
    <t xml:space="preserve">$10 </t>
  </si>
  <si>
    <t xml:space="preserve">$100 </t>
  </si>
  <si>
    <t xml:space="preserve">$1,000 </t>
  </si>
  <si>
    <t xml:space="preserve">$10,000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</si>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</sst>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1" fillId="0" borderId="0" xfId="0" applyFont="1"/>
    <xf numFmtId="8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Border="1"/>
    <xf numFmtId="8" fontId="0" fillId="0" borderId="0" xfId="0" applyNumberFormat="1" applyBorder="1"/>
    <xf numFmtId="8" fontId="1" fillId="0" borderId="0" xfId="0" applyNumberFormat="1" applyFont="1"/>
    <xf numFmtId="0" fontId="1" fillId="2" borderId="0" xfId="0" applyFont="1" applyFill="1"/>
    <xf numFmtId="8" fontId="1" fillId="2" borderId="0" xfId="0" applyNumberFormat="1" applyFont="1" applyFill="1"/>
    <xf numFmtId="10" fontId="0" fillId="0" borderId="0" xfId="0" applyNumberFormat="1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73">
    <dxf>
      <numFmt numFmtId="12" formatCode="&quot;$&quot;#,##0.00_);[Red]\(&quot;$&quot;#,##0.00\)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</dxf>
    <dxf>
      <numFmt numFmtId="12" formatCode="&quot;$&quot;#,##0.00_);[Red]\(&quot;$&quot;#,##0.00\)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Elo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187019804342642E-2"/>
          <c:y val="0.10244878481098954"/>
          <c:w val="0.91025750417561446"/>
          <c:h val="0.529556532706139"/>
        </c:manualLayout>
      </c:layout>
      <c:lineChart>
        <c:grouping val="standard"/>
        <c:varyColors val="0"/>
        <c:ser>
          <c:idx val="0"/>
          <c:order val="0"/>
          <c:tx>
            <c:strRef>
              <c:f>elo_data!$A$2</c:f>
              <c:strCache>
                <c:ptCount val="1"/>
                <c:pt idx="0">
                  <c:v>Chiefs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elo_data!$B$2:$R$2</c:f>
              <c:numCache>
                <c:formatCode>General</c:formatCode>
                <c:ptCount val="17"/>
                <c:pt idx="0">
                  <c:v>1658</c:v>
                </c:pt>
                <c:pt idx="1">
                  <c:v>1671</c:v>
                </c:pt>
                <c:pt idx="2">
                  <c:v>1682</c:v>
                </c:pt>
                <c:pt idx="3">
                  <c:v>1729</c:v>
                </c:pt>
                <c:pt idx="4">
                  <c:v>1737</c:v>
                </c:pt>
                <c:pt idx="5">
                  <c:v>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2FB-B6E7-96D72FC50C5B}"/>
            </c:ext>
          </c:extLst>
        </c:ser>
        <c:ser>
          <c:idx val="1"/>
          <c:order val="1"/>
          <c:tx>
            <c:strRef>
              <c:f>elo_data!$A$3</c:f>
              <c:strCache>
                <c:ptCount val="1"/>
                <c:pt idx="0">
                  <c:v>Ravens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elo_data!$B$3:$R$3</c:f>
              <c:numCache>
                <c:formatCode>General</c:formatCode>
                <c:ptCount val="17"/>
                <c:pt idx="0">
                  <c:v>1647</c:v>
                </c:pt>
                <c:pt idx="1">
                  <c:v>1667</c:v>
                </c:pt>
                <c:pt idx="2">
                  <c:v>1675</c:v>
                </c:pt>
                <c:pt idx="3">
                  <c:v>1638</c:v>
                </c:pt>
                <c:pt idx="4">
                  <c:v>1648</c:v>
                </c:pt>
                <c:pt idx="5">
                  <c:v>1649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2FB-B6E7-96D72FC50C5B}"/>
            </c:ext>
          </c:extLst>
        </c:ser>
        <c:ser>
          <c:idx val="2"/>
          <c:order val="2"/>
          <c:tx>
            <c:strRef>
              <c:f>elo_data!$A$4</c:f>
              <c:strCache>
                <c:ptCount val="1"/>
                <c:pt idx="0">
                  <c:v>Saints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elo_data!$B$4:$R$4</c:f>
              <c:numCache>
                <c:formatCode>General</c:formatCode>
                <c:ptCount val="17"/>
                <c:pt idx="0">
                  <c:v>1614</c:v>
                </c:pt>
                <c:pt idx="1">
                  <c:v>1629</c:v>
                </c:pt>
                <c:pt idx="2">
                  <c:v>1594</c:v>
                </c:pt>
                <c:pt idx="3">
                  <c:v>1577</c:v>
                </c:pt>
                <c:pt idx="4">
                  <c:v>1584</c:v>
                </c:pt>
                <c:pt idx="5">
                  <c:v>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2FB-B6E7-96D72FC50C5B}"/>
            </c:ext>
          </c:extLst>
        </c:ser>
        <c:ser>
          <c:idx val="3"/>
          <c:order val="3"/>
          <c:tx>
            <c:strRef>
              <c:f>elo_data!$A$5</c:f>
              <c:strCache>
                <c:ptCount val="1"/>
                <c:pt idx="0">
                  <c:v>Packers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elo_data!$B$5:$R$5</c:f>
              <c:numCache>
                <c:formatCode>General</c:formatCode>
                <c:ptCount val="17"/>
                <c:pt idx="0">
                  <c:v>1556</c:v>
                </c:pt>
                <c:pt idx="1">
                  <c:v>1596</c:v>
                </c:pt>
                <c:pt idx="2">
                  <c:v>1609</c:v>
                </c:pt>
                <c:pt idx="3">
                  <c:v>1636</c:v>
                </c:pt>
                <c:pt idx="4">
                  <c:v>1655</c:v>
                </c:pt>
                <c:pt idx="5">
                  <c:v>1655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2FB-B6E7-96D72FC50C5B}"/>
            </c:ext>
          </c:extLst>
        </c:ser>
        <c:ser>
          <c:idx val="4"/>
          <c:order val="4"/>
          <c:tx>
            <c:strRef>
              <c:f>elo_data!$A$6</c:f>
              <c:strCache>
                <c:ptCount val="1"/>
                <c:pt idx="0">
                  <c:v>Steelers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elo_data!$B$6:$R$6</c:f>
              <c:numCache>
                <c:formatCode>General</c:formatCode>
                <c:ptCount val="17"/>
                <c:pt idx="0">
                  <c:v>1573</c:v>
                </c:pt>
                <c:pt idx="1">
                  <c:v>1588</c:v>
                </c:pt>
                <c:pt idx="2">
                  <c:v>1598</c:v>
                </c:pt>
                <c:pt idx="3">
                  <c:v>1603</c:v>
                </c:pt>
                <c:pt idx="4">
                  <c:v>1603</c:v>
                </c:pt>
                <c:pt idx="5">
                  <c:v>1619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6D-42FB-B6E7-96D72FC50C5B}"/>
            </c:ext>
          </c:extLst>
        </c:ser>
        <c:ser>
          <c:idx val="5"/>
          <c:order val="5"/>
          <c:tx>
            <c:strRef>
              <c:f>elo_data!$A$7</c:f>
              <c:strCache>
                <c:ptCount val="1"/>
                <c:pt idx="0">
                  <c:v>Seahawks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elo_data!$B$7:$R$7</c:f>
              <c:numCache>
                <c:formatCode>General</c:formatCode>
                <c:ptCount val="17"/>
                <c:pt idx="0">
                  <c:v>1548</c:v>
                </c:pt>
                <c:pt idx="1">
                  <c:v>1586</c:v>
                </c:pt>
                <c:pt idx="2">
                  <c:v>1610</c:v>
                </c:pt>
                <c:pt idx="3">
                  <c:v>1629</c:v>
                </c:pt>
                <c:pt idx="4">
                  <c:v>1639</c:v>
                </c:pt>
                <c:pt idx="5">
                  <c:v>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6D-42FB-B6E7-96D72FC50C5B}"/>
            </c:ext>
          </c:extLst>
        </c:ser>
        <c:ser>
          <c:idx val="6"/>
          <c:order val="6"/>
          <c:tx>
            <c:strRef>
              <c:f>elo_data!$A$8</c:f>
              <c:strCache>
                <c:ptCount val="1"/>
                <c:pt idx="0">
                  <c:v>49ers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elo_data!$B$8:$R$8</c:f>
              <c:numCache>
                <c:formatCode>General</c:formatCode>
                <c:ptCount val="17"/>
                <c:pt idx="0">
                  <c:v>1601</c:v>
                </c:pt>
                <c:pt idx="1">
                  <c:v>1575</c:v>
                </c:pt>
                <c:pt idx="2">
                  <c:v>1597</c:v>
                </c:pt>
                <c:pt idx="3">
                  <c:v>1616</c:v>
                </c:pt>
                <c:pt idx="4">
                  <c:v>1595</c:v>
                </c:pt>
                <c:pt idx="5">
                  <c:v>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6D-42FB-B6E7-96D72FC50C5B}"/>
            </c:ext>
          </c:extLst>
        </c:ser>
        <c:ser>
          <c:idx val="7"/>
          <c:order val="7"/>
          <c:tx>
            <c:strRef>
              <c:f>elo_data!$A$9</c:f>
              <c:strCache>
                <c:ptCount val="1"/>
                <c:pt idx="0">
                  <c:v>Patriots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elo_data!$B$9:$R$9</c:f>
              <c:numCache>
                <c:formatCode>General</c:formatCode>
                <c:ptCount val="17"/>
                <c:pt idx="0">
                  <c:v>1552</c:v>
                </c:pt>
                <c:pt idx="1">
                  <c:v>1571</c:v>
                </c:pt>
                <c:pt idx="2">
                  <c:v>1569</c:v>
                </c:pt>
                <c:pt idx="3">
                  <c:v>1581</c:v>
                </c:pt>
                <c:pt idx="4">
                  <c:v>1577</c:v>
                </c:pt>
                <c:pt idx="5">
                  <c:v>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6D-42FB-B6E7-96D72FC50C5B}"/>
            </c:ext>
          </c:extLst>
        </c:ser>
        <c:ser>
          <c:idx val="8"/>
          <c:order val="8"/>
          <c:tx>
            <c:strRef>
              <c:f>elo_data!$A$10</c:f>
              <c:strCache>
                <c:ptCount val="1"/>
                <c:pt idx="0">
                  <c:v>Titans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elo_data!$B$10:$R$10</c:f>
              <c:numCache>
                <c:formatCode>General</c:formatCode>
                <c:ptCount val="17"/>
                <c:pt idx="0">
                  <c:v>1549</c:v>
                </c:pt>
                <c:pt idx="1">
                  <c:v>1564</c:v>
                </c:pt>
                <c:pt idx="2">
                  <c:v>1577</c:v>
                </c:pt>
                <c:pt idx="3">
                  <c:v>1580</c:v>
                </c:pt>
                <c:pt idx="4">
                  <c:v>1580</c:v>
                </c:pt>
                <c:pt idx="5">
                  <c:v>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6D-42FB-B6E7-96D72FC50C5B}"/>
            </c:ext>
          </c:extLst>
        </c:ser>
        <c:ser>
          <c:idx val="9"/>
          <c:order val="9"/>
          <c:tx>
            <c:strRef>
              <c:f>elo_data!$A$11</c:f>
              <c:strCache>
                <c:ptCount val="1"/>
                <c:pt idx="0">
                  <c:v>Bills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elo_data!$B$11:$R$11</c:f>
              <c:numCache>
                <c:formatCode>General</c:formatCode>
                <c:ptCount val="17"/>
                <c:pt idx="0">
                  <c:v>1533</c:v>
                </c:pt>
                <c:pt idx="1">
                  <c:v>1561</c:v>
                </c:pt>
                <c:pt idx="2">
                  <c:v>1582</c:v>
                </c:pt>
                <c:pt idx="3">
                  <c:v>1599</c:v>
                </c:pt>
                <c:pt idx="4">
                  <c:v>1619</c:v>
                </c:pt>
                <c:pt idx="5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86D-42FB-B6E7-96D72FC50C5B}"/>
            </c:ext>
          </c:extLst>
        </c:ser>
        <c:ser>
          <c:idx val="10"/>
          <c:order val="10"/>
          <c:tx>
            <c:strRef>
              <c:f>elo_data!$A$12</c:f>
              <c:strCache>
                <c:ptCount val="1"/>
                <c:pt idx="0">
                  <c:v>Rams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elo_data!$B$12:$R$12</c:f>
              <c:numCache>
                <c:formatCode>General</c:formatCode>
                <c:ptCount val="17"/>
                <c:pt idx="0">
                  <c:v>1541</c:v>
                </c:pt>
                <c:pt idx="1">
                  <c:v>1552</c:v>
                </c:pt>
                <c:pt idx="2">
                  <c:v>1587</c:v>
                </c:pt>
                <c:pt idx="3">
                  <c:v>1580</c:v>
                </c:pt>
                <c:pt idx="4">
                  <c:v>1585</c:v>
                </c:pt>
                <c:pt idx="5">
                  <c:v>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86D-42FB-B6E7-96D72FC50C5B}"/>
            </c:ext>
          </c:extLst>
        </c:ser>
        <c:ser>
          <c:idx val="11"/>
          <c:order val="11"/>
          <c:tx>
            <c:strRef>
              <c:f>elo_data!$A$13</c:f>
              <c:strCache>
                <c:ptCount val="1"/>
                <c:pt idx="0">
                  <c:v>Cowboys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elo_data!$B$13:$R$13</c:f>
              <c:numCache>
                <c:formatCode>General</c:formatCode>
                <c:ptCount val="17"/>
                <c:pt idx="0">
                  <c:v>1561</c:v>
                </c:pt>
                <c:pt idx="1">
                  <c:v>1547</c:v>
                </c:pt>
                <c:pt idx="2">
                  <c:v>1567</c:v>
                </c:pt>
                <c:pt idx="3">
                  <c:v>1554</c:v>
                </c:pt>
                <c:pt idx="4">
                  <c:v>1530</c:v>
                </c:pt>
                <c:pt idx="5">
                  <c:v>1523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86D-42FB-B6E7-96D72FC50C5B}"/>
            </c:ext>
          </c:extLst>
        </c:ser>
        <c:ser>
          <c:idx val="12"/>
          <c:order val="12"/>
          <c:tx>
            <c:strRef>
              <c:f>elo_data!$A$14</c:f>
              <c:strCache>
                <c:ptCount val="1"/>
                <c:pt idx="0">
                  <c:v>Bears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elo_data!$B$14:$R$14</c:f>
              <c:numCache>
                <c:formatCode>General</c:formatCode>
                <c:ptCount val="17"/>
                <c:pt idx="0">
                  <c:v>1526</c:v>
                </c:pt>
                <c:pt idx="1">
                  <c:v>1545</c:v>
                </c:pt>
                <c:pt idx="2">
                  <c:v>1545</c:v>
                </c:pt>
                <c:pt idx="3">
                  <c:v>1571</c:v>
                </c:pt>
                <c:pt idx="4">
                  <c:v>1544</c:v>
                </c:pt>
                <c:pt idx="5">
                  <c:v>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86D-42FB-B6E7-96D72FC50C5B}"/>
            </c:ext>
          </c:extLst>
        </c:ser>
        <c:ser>
          <c:idx val="13"/>
          <c:order val="13"/>
          <c:tx>
            <c:strRef>
              <c:f>elo_data!$A$15</c:f>
              <c:strCache>
                <c:ptCount val="1"/>
                <c:pt idx="0">
                  <c:v>Vikings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elo_data!$B$15:$R$15</c:f>
              <c:numCache>
                <c:formatCode>General</c:formatCode>
                <c:ptCount val="17"/>
                <c:pt idx="0">
                  <c:v>1544</c:v>
                </c:pt>
                <c:pt idx="1">
                  <c:v>1525</c:v>
                </c:pt>
                <c:pt idx="2">
                  <c:v>1478</c:v>
                </c:pt>
                <c:pt idx="3">
                  <c:v>1473</c:v>
                </c:pt>
                <c:pt idx="4">
                  <c:v>1497</c:v>
                </c:pt>
                <c:pt idx="5">
                  <c:v>1491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86D-42FB-B6E7-96D72FC50C5B}"/>
            </c:ext>
          </c:extLst>
        </c:ser>
        <c:ser>
          <c:idx val="14"/>
          <c:order val="14"/>
          <c:tx>
            <c:strRef>
              <c:f>elo_data!$A$16</c:f>
              <c:strCache>
                <c:ptCount val="1"/>
                <c:pt idx="0">
                  <c:v>Buccaneers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elo_data!$B$16:$R$16</c:f>
              <c:numCache>
                <c:formatCode>General</c:formatCode>
                <c:ptCount val="17"/>
                <c:pt idx="0">
                  <c:v>1540</c:v>
                </c:pt>
                <c:pt idx="1">
                  <c:v>1519</c:v>
                </c:pt>
                <c:pt idx="2">
                  <c:v>1535</c:v>
                </c:pt>
                <c:pt idx="3">
                  <c:v>1558</c:v>
                </c:pt>
                <c:pt idx="4">
                  <c:v>1581</c:v>
                </c:pt>
                <c:pt idx="5">
                  <c:v>1570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86D-42FB-B6E7-96D72FC50C5B}"/>
            </c:ext>
          </c:extLst>
        </c:ser>
        <c:ser>
          <c:idx val="15"/>
          <c:order val="15"/>
          <c:tx>
            <c:strRef>
              <c:f>elo_data!$A$17</c:f>
              <c:strCache>
                <c:ptCount val="1"/>
                <c:pt idx="0">
                  <c:v>Colts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elo_data!$B$17:$R$17</c:f>
              <c:numCache>
                <c:formatCode>General</c:formatCode>
                <c:ptCount val="17"/>
                <c:pt idx="0">
                  <c:v>1525</c:v>
                </c:pt>
                <c:pt idx="1">
                  <c:v>1502</c:v>
                </c:pt>
                <c:pt idx="2">
                  <c:v>1527</c:v>
                </c:pt>
                <c:pt idx="3">
                  <c:v>1549</c:v>
                </c:pt>
                <c:pt idx="4">
                  <c:v>1572</c:v>
                </c:pt>
                <c:pt idx="5">
                  <c:v>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86D-42FB-B6E7-96D72FC50C5B}"/>
            </c:ext>
          </c:extLst>
        </c:ser>
        <c:ser>
          <c:idx val="16"/>
          <c:order val="16"/>
          <c:tx>
            <c:strRef>
              <c:f>elo_data!$A$18</c:f>
              <c:strCache>
                <c:ptCount val="1"/>
                <c:pt idx="0">
                  <c:v>Eagles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elo_data!$B$18:$R$18</c:f>
              <c:numCache>
                <c:formatCode>General</c:formatCode>
                <c:ptCount val="17"/>
                <c:pt idx="0">
                  <c:v>1548</c:v>
                </c:pt>
                <c:pt idx="1">
                  <c:v>1500</c:v>
                </c:pt>
                <c:pt idx="2">
                  <c:v>1472</c:v>
                </c:pt>
                <c:pt idx="3">
                  <c:v>1468</c:v>
                </c:pt>
                <c:pt idx="4">
                  <c:v>1496</c:v>
                </c:pt>
                <c:pt idx="5">
                  <c:v>1480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86D-42FB-B6E7-96D72FC50C5B}"/>
            </c:ext>
          </c:extLst>
        </c:ser>
        <c:ser>
          <c:idx val="17"/>
          <c:order val="17"/>
          <c:tx>
            <c:strRef>
              <c:f>elo_data!$A$19</c:f>
              <c:strCache>
                <c:ptCount val="1"/>
                <c:pt idx="0">
                  <c:v>Cardinals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elo_data!$B$19:$R$19</c:f>
              <c:numCache>
                <c:formatCode>General</c:formatCode>
                <c:ptCount val="17"/>
                <c:pt idx="0">
                  <c:v>1465</c:v>
                </c:pt>
                <c:pt idx="1">
                  <c:v>1498</c:v>
                </c:pt>
                <c:pt idx="2">
                  <c:v>1522</c:v>
                </c:pt>
                <c:pt idx="3">
                  <c:v>1500</c:v>
                </c:pt>
                <c:pt idx="4">
                  <c:v>1481</c:v>
                </c:pt>
                <c:pt idx="5">
                  <c:v>1509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6D-42FB-B6E7-96D72FC50C5B}"/>
            </c:ext>
          </c:extLst>
        </c:ser>
        <c:ser>
          <c:idx val="18"/>
          <c:order val="18"/>
          <c:tx>
            <c:strRef>
              <c:f>elo_data!$A$20</c:f>
              <c:strCache>
                <c:ptCount val="1"/>
                <c:pt idx="0">
                  <c:v>Texans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elo_data!$B$20:$R$20</c:f>
              <c:numCache>
                <c:formatCode>General</c:formatCode>
                <c:ptCount val="17"/>
                <c:pt idx="0">
                  <c:v>1501</c:v>
                </c:pt>
                <c:pt idx="1">
                  <c:v>1487</c:v>
                </c:pt>
                <c:pt idx="2">
                  <c:v>1469</c:v>
                </c:pt>
                <c:pt idx="3">
                  <c:v>1456</c:v>
                </c:pt>
                <c:pt idx="4">
                  <c:v>1434</c:v>
                </c:pt>
                <c:pt idx="5">
                  <c:v>1459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6D-42FB-B6E7-96D72FC50C5B}"/>
            </c:ext>
          </c:extLst>
        </c:ser>
        <c:ser>
          <c:idx val="19"/>
          <c:order val="19"/>
          <c:tx>
            <c:strRef>
              <c:f>elo_data!$A$21</c:f>
              <c:strCache>
                <c:ptCount val="1"/>
                <c:pt idx="0">
                  <c:v>Raiders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elo_data!$B$21:$R$21</c:f>
              <c:numCache>
                <c:formatCode>General</c:formatCode>
                <c:ptCount val="17"/>
                <c:pt idx="0">
                  <c:v>1466</c:v>
                </c:pt>
                <c:pt idx="1">
                  <c:v>1485</c:v>
                </c:pt>
                <c:pt idx="2">
                  <c:v>1522</c:v>
                </c:pt>
                <c:pt idx="3">
                  <c:v>1506</c:v>
                </c:pt>
                <c:pt idx="4">
                  <c:v>1495</c:v>
                </c:pt>
                <c:pt idx="5">
                  <c:v>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6D-42FB-B6E7-96D72FC50C5B}"/>
            </c:ext>
          </c:extLst>
        </c:ser>
        <c:ser>
          <c:idx val="20"/>
          <c:order val="20"/>
          <c:tx>
            <c:strRef>
              <c:f>elo_data!$A$22</c:f>
              <c:strCache>
                <c:ptCount val="1"/>
                <c:pt idx="0">
                  <c:v>Falcons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elo_data!$B$22:$R$22</c:f>
              <c:numCache>
                <c:formatCode>General</c:formatCode>
                <c:ptCount val="17"/>
                <c:pt idx="0">
                  <c:v>1499</c:v>
                </c:pt>
                <c:pt idx="1">
                  <c:v>1480</c:v>
                </c:pt>
                <c:pt idx="2">
                  <c:v>1483</c:v>
                </c:pt>
                <c:pt idx="3">
                  <c:v>1460</c:v>
                </c:pt>
                <c:pt idx="4">
                  <c:v>1447</c:v>
                </c:pt>
                <c:pt idx="5">
                  <c:v>1416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86D-42FB-B6E7-96D72FC50C5B}"/>
            </c:ext>
          </c:extLst>
        </c:ser>
        <c:ser>
          <c:idx val="21"/>
          <c:order val="21"/>
          <c:tx>
            <c:strRef>
              <c:f>elo_data!$A$23</c:f>
              <c:strCache>
                <c:ptCount val="1"/>
                <c:pt idx="0">
                  <c:v>Broncos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elo_data!$B$23:$R$23</c:f>
              <c:numCache>
                <c:formatCode>General</c:formatCode>
                <c:ptCount val="17"/>
                <c:pt idx="0">
                  <c:v>1485</c:v>
                </c:pt>
                <c:pt idx="1">
                  <c:v>1479</c:v>
                </c:pt>
                <c:pt idx="2">
                  <c:v>1463</c:v>
                </c:pt>
                <c:pt idx="3">
                  <c:v>1452</c:v>
                </c:pt>
                <c:pt idx="4">
                  <c:v>1485</c:v>
                </c:pt>
                <c:pt idx="5">
                  <c:v>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86D-42FB-B6E7-96D72FC50C5B}"/>
            </c:ext>
          </c:extLst>
        </c:ser>
        <c:ser>
          <c:idx val="22"/>
          <c:order val="22"/>
          <c:tx>
            <c:strRef>
              <c:f>elo_data!$A$24</c:f>
              <c:strCache>
                <c:ptCount val="1"/>
                <c:pt idx="0">
                  <c:v>Browns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elo_data!$B$24:$R$24</c:f>
              <c:numCache>
                <c:formatCode>General</c:formatCode>
                <c:ptCount val="17"/>
                <c:pt idx="0">
                  <c:v>1496</c:v>
                </c:pt>
                <c:pt idx="1">
                  <c:v>1476</c:v>
                </c:pt>
                <c:pt idx="2">
                  <c:v>1491</c:v>
                </c:pt>
                <c:pt idx="3">
                  <c:v>1507</c:v>
                </c:pt>
                <c:pt idx="4">
                  <c:v>1539</c:v>
                </c:pt>
                <c:pt idx="5">
                  <c:v>1563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86D-42FB-B6E7-96D72FC50C5B}"/>
            </c:ext>
          </c:extLst>
        </c:ser>
        <c:ser>
          <c:idx val="23"/>
          <c:order val="23"/>
          <c:tx>
            <c:strRef>
              <c:f>elo_data!$A$25</c:f>
              <c:strCache>
                <c:ptCount val="1"/>
                <c:pt idx="0">
                  <c:v>Chargers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elo_data!$B$25:$R$25</c:f>
              <c:numCache>
                <c:formatCode>General</c:formatCode>
                <c:ptCount val="17"/>
                <c:pt idx="0">
                  <c:v>1462</c:v>
                </c:pt>
                <c:pt idx="1">
                  <c:v>1471</c:v>
                </c:pt>
                <c:pt idx="2">
                  <c:v>1457</c:v>
                </c:pt>
                <c:pt idx="3">
                  <c:v>1426</c:v>
                </c:pt>
                <c:pt idx="4">
                  <c:v>1454</c:v>
                </c:pt>
                <c:pt idx="5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86D-42FB-B6E7-96D72FC50C5B}"/>
            </c:ext>
          </c:extLst>
        </c:ser>
        <c:ser>
          <c:idx val="24"/>
          <c:order val="24"/>
          <c:tx>
            <c:strRef>
              <c:f>elo_data!$A$26</c:f>
              <c:strCache>
                <c:ptCount val="1"/>
                <c:pt idx="0">
                  <c:v>Jets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elo_data!$B$26:$R$26</c:f>
              <c:numCache>
                <c:formatCode>General</c:formatCode>
                <c:ptCount val="17"/>
                <c:pt idx="0">
                  <c:v>1456</c:v>
                </c:pt>
                <c:pt idx="1">
                  <c:v>1438</c:v>
                </c:pt>
                <c:pt idx="2">
                  <c:v>1419</c:v>
                </c:pt>
                <c:pt idx="3">
                  <c:v>1391</c:v>
                </c:pt>
                <c:pt idx="4">
                  <c:v>1364</c:v>
                </c:pt>
                <c:pt idx="5">
                  <c:v>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86D-42FB-B6E7-96D72FC50C5B}"/>
            </c:ext>
          </c:extLst>
        </c:ser>
        <c:ser>
          <c:idx val="25"/>
          <c:order val="25"/>
          <c:tx>
            <c:strRef>
              <c:f>elo_data!$A$27</c:f>
              <c:strCache>
                <c:ptCount val="1"/>
                <c:pt idx="0">
                  <c:v>Lions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elo_data!$B$27:$R$27</c:f>
              <c:numCache>
                <c:formatCode>General</c:formatCode>
                <c:ptCount val="17"/>
                <c:pt idx="0">
                  <c:v>1453</c:v>
                </c:pt>
                <c:pt idx="1">
                  <c:v>1438</c:v>
                </c:pt>
                <c:pt idx="2">
                  <c:v>1419</c:v>
                </c:pt>
                <c:pt idx="3">
                  <c:v>1437</c:v>
                </c:pt>
                <c:pt idx="4">
                  <c:v>1421</c:v>
                </c:pt>
                <c:pt idx="5">
                  <c:v>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86D-42FB-B6E7-96D72FC50C5B}"/>
            </c:ext>
          </c:extLst>
        </c:ser>
        <c:ser>
          <c:idx val="26"/>
          <c:order val="26"/>
          <c:tx>
            <c:strRef>
              <c:f>elo_data!$A$28</c:f>
              <c:strCache>
                <c:ptCount val="1"/>
                <c:pt idx="0">
                  <c:v>Jaguars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elo_data!$B$28:$R$28</c:f>
              <c:numCache>
                <c:formatCode>General</c:formatCode>
                <c:ptCount val="17"/>
                <c:pt idx="0">
                  <c:v>1383</c:v>
                </c:pt>
                <c:pt idx="1">
                  <c:v>1417</c:v>
                </c:pt>
                <c:pt idx="2">
                  <c:v>1416</c:v>
                </c:pt>
                <c:pt idx="3">
                  <c:v>1379</c:v>
                </c:pt>
                <c:pt idx="4">
                  <c:v>1364</c:v>
                </c:pt>
                <c:pt idx="5">
                  <c:v>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86D-42FB-B6E7-96D72FC50C5B}"/>
            </c:ext>
          </c:extLst>
        </c:ser>
        <c:ser>
          <c:idx val="27"/>
          <c:order val="27"/>
          <c:tx>
            <c:strRef>
              <c:f>elo_data!$A$29</c:f>
              <c:strCache>
                <c:ptCount val="1"/>
                <c:pt idx="0">
                  <c:v>Panthers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elo_data!$B$29:$R$29</c:f>
              <c:numCache>
                <c:formatCode>General</c:formatCode>
                <c:ptCount val="17"/>
                <c:pt idx="0">
                  <c:v>1428</c:v>
                </c:pt>
                <c:pt idx="1">
                  <c:v>1415</c:v>
                </c:pt>
                <c:pt idx="2">
                  <c:v>1396</c:v>
                </c:pt>
                <c:pt idx="3">
                  <c:v>1423</c:v>
                </c:pt>
                <c:pt idx="4">
                  <c:v>1458</c:v>
                </c:pt>
                <c:pt idx="5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86D-42FB-B6E7-96D72FC50C5B}"/>
            </c:ext>
          </c:extLst>
        </c:ser>
        <c:ser>
          <c:idx val="28"/>
          <c:order val="28"/>
          <c:tx>
            <c:strRef>
              <c:f>elo_data!$A$30</c:f>
              <c:strCache>
                <c:ptCount val="1"/>
                <c:pt idx="0">
                  <c:v>Dolphins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elo_data!$B$30:$R$30</c:f>
              <c:numCache>
                <c:formatCode>General</c:formatCode>
                <c:ptCount val="17"/>
                <c:pt idx="0">
                  <c:v>1435</c:v>
                </c:pt>
                <c:pt idx="1">
                  <c:v>1414</c:v>
                </c:pt>
                <c:pt idx="2">
                  <c:v>1411</c:v>
                </c:pt>
                <c:pt idx="3">
                  <c:v>1451</c:v>
                </c:pt>
                <c:pt idx="4">
                  <c:v>1438</c:v>
                </c:pt>
                <c:pt idx="5">
                  <c:v>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86D-42FB-B6E7-96D72FC50C5B}"/>
            </c:ext>
          </c:extLst>
        </c:ser>
        <c:ser>
          <c:idx val="29"/>
          <c:order val="29"/>
          <c:tx>
            <c:strRef>
              <c:f>elo_data!$A$31</c:f>
              <c:strCache>
                <c:ptCount val="1"/>
                <c:pt idx="0">
                  <c:v>Washington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elo_data!$B$31:$R$31</c:f>
              <c:numCache>
                <c:formatCode>General</c:formatCode>
                <c:ptCount val="17"/>
                <c:pt idx="0">
                  <c:v>1372</c:v>
                </c:pt>
                <c:pt idx="1">
                  <c:v>1408</c:v>
                </c:pt>
                <c:pt idx="2">
                  <c:v>1390</c:v>
                </c:pt>
                <c:pt idx="3">
                  <c:v>1369</c:v>
                </c:pt>
                <c:pt idx="4">
                  <c:v>1364</c:v>
                </c:pt>
                <c:pt idx="5">
                  <c:v>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86D-42FB-B6E7-96D72FC50C5B}"/>
            </c:ext>
          </c:extLst>
        </c:ser>
        <c:ser>
          <c:idx val="30"/>
          <c:order val="30"/>
          <c:tx>
            <c:strRef>
              <c:f>elo_data!$A$32</c:f>
              <c:strCache>
                <c:ptCount val="1"/>
                <c:pt idx="0">
                  <c:v>Giants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elo_data!$B$32:$R$32</c:f>
              <c:numCache>
                <c:formatCode>General</c:formatCode>
                <c:ptCount val="17"/>
                <c:pt idx="0">
                  <c:v>1419</c:v>
                </c:pt>
                <c:pt idx="1">
                  <c:v>1405</c:v>
                </c:pt>
                <c:pt idx="2">
                  <c:v>1392</c:v>
                </c:pt>
                <c:pt idx="3">
                  <c:v>1366</c:v>
                </c:pt>
                <c:pt idx="4">
                  <c:v>1354</c:v>
                </c:pt>
                <c:pt idx="5">
                  <c:v>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86D-42FB-B6E7-96D72FC50C5B}"/>
            </c:ext>
          </c:extLst>
        </c:ser>
        <c:ser>
          <c:idx val="31"/>
          <c:order val="31"/>
          <c:tx>
            <c:strRef>
              <c:f>elo_data!$A$33</c:f>
              <c:strCache>
                <c:ptCount val="1"/>
                <c:pt idx="0">
                  <c:v>Bengals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elo_data!$B$33:$R$33</c:f>
              <c:numCache>
                <c:formatCode>General</c:formatCode>
                <c:ptCount val="17"/>
                <c:pt idx="0">
                  <c:v>1390</c:v>
                </c:pt>
                <c:pt idx="1">
                  <c:v>1379</c:v>
                </c:pt>
                <c:pt idx="2">
                  <c:v>1375</c:v>
                </c:pt>
                <c:pt idx="3">
                  <c:v>1379</c:v>
                </c:pt>
                <c:pt idx="4">
                  <c:v>1402</c:v>
                </c:pt>
                <c:pt idx="5">
                  <c:v>1382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86D-42FB-B6E7-96D72FC50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8979871"/>
        <c:axId val="1479937455"/>
      </c:lineChart>
      <c:catAx>
        <c:axId val="160897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37455"/>
        <c:crosses val="autoZero"/>
        <c:auto val="1"/>
        <c:lblAlgn val="ctr"/>
        <c:lblOffset val="100"/>
        <c:noMultiLvlLbl val="0"/>
      </c:catAx>
      <c:valAx>
        <c:axId val="1479937455"/>
        <c:scaling>
          <c:orientation val="minMax"/>
          <c:max val="1850"/>
          <c:min val="1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97987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950560725363876E-2"/>
          <c:y val="0.70851234504777827"/>
          <c:w val="0.91355342400381767"/>
          <c:h val="0.27417163763620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elo_data_mine!$A$2</c:f>
              <c:strCache>
                <c:ptCount val="1"/>
                <c:pt idx="0">
                  <c:v>Chiefs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elo_data_mine!$B$2:$R$2</c:f>
              <c:numCache>
                <c:formatCode>General</c:formatCode>
                <c:ptCount val="17"/>
                <c:pt idx="0">
                  <c:v>1658</c:v>
                </c:pt>
                <c:pt idx="1">
                  <c:v>1672</c:v>
                </c:pt>
                <c:pt idx="2">
                  <c:v>1679</c:v>
                </c:pt>
                <c:pt idx="3">
                  <c:v>1705</c:v>
                </c:pt>
                <c:pt idx="4">
                  <c:v>1718</c:v>
                </c:pt>
                <c:pt idx="5">
                  <c:v>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C-4E9D-844D-F920125E39A5}"/>
            </c:ext>
          </c:extLst>
        </c:ser>
        <c:ser>
          <c:idx val="1"/>
          <c:order val="1"/>
          <c:tx>
            <c:strRef>
              <c:f>elo_data_mine!$A$3</c:f>
              <c:strCache>
                <c:ptCount val="1"/>
                <c:pt idx="0">
                  <c:v>Ravens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elo_data_mine!$B$3:$R$3</c:f>
              <c:numCache>
                <c:formatCode>General</c:formatCode>
                <c:ptCount val="17"/>
                <c:pt idx="0">
                  <c:v>1647</c:v>
                </c:pt>
                <c:pt idx="1">
                  <c:v>1666</c:v>
                </c:pt>
                <c:pt idx="2">
                  <c:v>1678</c:v>
                </c:pt>
                <c:pt idx="3">
                  <c:v>1650</c:v>
                </c:pt>
                <c:pt idx="4">
                  <c:v>1656</c:v>
                </c:pt>
                <c:pt idx="5">
                  <c:v>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C-4E9D-844D-F920125E39A5}"/>
            </c:ext>
          </c:extLst>
        </c:ser>
        <c:ser>
          <c:idx val="2"/>
          <c:order val="2"/>
          <c:tx>
            <c:strRef>
              <c:f>elo_data_mine!$A$4</c:f>
              <c:strCache>
                <c:ptCount val="1"/>
                <c:pt idx="0">
                  <c:v>Saints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elo_data_mine!$B$4:$R$4</c:f>
              <c:numCache>
                <c:formatCode>General</c:formatCode>
                <c:ptCount val="17"/>
                <c:pt idx="0">
                  <c:v>1614</c:v>
                </c:pt>
                <c:pt idx="1">
                  <c:v>1632</c:v>
                </c:pt>
                <c:pt idx="2">
                  <c:v>1616</c:v>
                </c:pt>
                <c:pt idx="3">
                  <c:v>1596</c:v>
                </c:pt>
                <c:pt idx="4">
                  <c:v>1605</c:v>
                </c:pt>
                <c:pt idx="5">
                  <c:v>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9C-4E9D-844D-F920125E39A5}"/>
            </c:ext>
          </c:extLst>
        </c:ser>
        <c:ser>
          <c:idx val="3"/>
          <c:order val="3"/>
          <c:tx>
            <c:strRef>
              <c:f>elo_data_mine!$A$5</c:f>
              <c:strCache>
                <c:ptCount val="1"/>
                <c:pt idx="0">
                  <c:v>Packers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elo_data_mine!$B$5:$R$5</c:f>
              <c:numCache>
                <c:formatCode>General</c:formatCode>
                <c:ptCount val="17"/>
                <c:pt idx="0">
                  <c:v>1556</c:v>
                </c:pt>
                <c:pt idx="1">
                  <c:v>1578</c:v>
                </c:pt>
                <c:pt idx="2">
                  <c:v>1595</c:v>
                </c:pt>
                <c:pt idx="3">
                  <c:v>1617</c:v>
                </c:pt>
                <c:pt idx="4">
                  <c:v>1630</c:v>
                </c:pt>
                <c:pt idx="5">
                  <c:v>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9C-4E9D-844D-F920125E39A5}"/>
            </c:ext>
          </c:extLst>
        </c:ser>
        <c:ser>
          <c:idx val="4"/>
          <c:order val="4"/>
          <c:tx>
            <c:strRef>
              <c:f>elo_data_mine!$A$6</c:f>
              <c:strCache>
                <c:ptCount val="1"/>
                <c:pt idx="0">
                  <c:v>Steelers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elo_data_mine!$B$6:$R$6</c:f>
              <c:numCache>
                <c:formatCode>General</c:formatCode>
                <c:ptCount val="17"/>
                <c:pt idx="0">
                  <c:v>1573</c:v>
                </c:pt>
                <c:pt idx="1">
                  <c:v>1586</c:v>
                </c:pt>
                <c:pt idx="2">
                  <c:v>1597</c:v>
                </c:pt>
                <c:pt idx="3">
                  <c:v>1607</c:v>
                </c:pt>
                <c:pt idx="4">
                  <c:v>1607</c:v>
                </c:pt>
                <c:pt idx="5">
                  <c:v>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9C-4E9D-844D-F920125E39A5}"/>
            </c:ext>
          </c:extLst>
        </c:ser>
        <c:ser>
          <c:idx val="5"/>
          <c:order val="5"/>
          <c:tx>
            <c:strRef>
              <c:f>elo_data_mine!$A$7</c:f>
              <c:strCache>
                <c:ptCount val="1"/>
                <c:pt idx="0">
                  <c:v>Seahawks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elo_data_mine!$B$7:$R$7</c:f>
              <c:numCache>
                <c:formatCode>General</c:formatCode>
                <c:ptCount val="17"/>
                <c:pt idx="0">
                  <c:v>1548</c:v>
                </c:pt>
                <c:pt idx="1">
                  <c:v>1570</c:v>
                </c:pt>
                <c:pt idx="2">
                  <c:v>1587</c:v>
                </c:pt>
                <c:pt idx="3">
                  <c:v>1605</c:v>
                </c:pt>
                <c:pt idx="4">
                  <c:v>1615</c:v>
                </c:pt>
                <c:pt idx="5">
                  <c:v>1619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9C-4E9D-844D-F920125E39A5}"/>
            </c:ext>
          </c:extLst>
        </c:ser>
        <c:ser>
          <c:idx val="6"/>
          <c:order val="6"/>
          <c:tx>
            <c:strRef>
              <c:f>elo_data_mine!$A$8</c:f>
              <c:strCache>
                <c:ptCount val="1"/>
                <c:pt idx="0">
                  <c:v>49ers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elo_data_mine!$B$8:$R$8</c:f>
              <c:numCache>
                <c:formatCode>General</c:formatCode>
                <c:ptCount val="17"/>
                <c:pt idx="0">
                  <c:v>1601</c:v>
                </c:pt>
                <c:pt idx="1">
                  <c:v>1590</c:v>
                </c:pt>
                <c:pt idx="2">
                  <c:v>1605</c:v>
                </c:pt>
                <c:pt idx="3">
                  <c:v>1617</c:v>
                </c:pt>
                <c:pt idx="4">
                  <c:v>1604</c:v>
                </c:pt>
                <c:pt idx="5">
                  <c:v>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9C-4E9D-844D-F920125E39A5}"/>
            </c:ext>
          </c:extLst>
        </c:ser>
        <c:ser>
          <c:idx val="7"/>
          <c:order val="7"/>
          <c:tx>
            <c:strRef>
              <c:f>elo_data_mine!$A$9</c:f>
              <c:strCache>
                <c:ptCount val="1"/>
                <c:pt idx="0">
                  <c:v>Patriots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elo_data_mine!$B$9:$R$9</c:f>
              <c:numCache>
                <c:formatCode>General</c:formatCode>
                <c:ptCount val="17"/>
                <c:pt idx="0">
                  <c:v>1552</c:v>
                </c:pt>
                <c:pt idx="1">
                  <c:v>1567</c:v>
                </c:pt>
                <c:pt idx="2">
                  <c:v>1548</c:v>
                </c:pt>
                <c:pt idx="3">
                  <c:v>1521</c:v>
                </c:pt>
                <c:pt idx="4">
                  <c:v>1482</c:v>
                </c:pt>
                <c:pt idx="5">
                  <c:v>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9C-4E9D-844D-F920125E39A5}"/>
            </c:ext>
          </c:extLst>
        </c:ser>
        <c:ser>
          <c:idx val="8"/>
          <c:order val="8"/>
          <c:tx>
            <c:strRef>
              <c:f>elo_data_mine!$A$10</c:f>
              <c:strCache>
                <c:ptCount val="1"/>
                <c:pt idx="0">
                  <c:v>Titans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elo_data_mine!$B$10:$R$10</c:f>
              <c:numCache>
                <c:formatCode>General</c:formatCode>
                <c:ptCount val="17"/>
                <c:pt idx="0">
                  <c:v>1549</c:v>
                </c:pt>
                <c:pt idx="1">
                  <c:v>1557</c:v>
                </c:pt>
                <c:pt idx="2">
                  <c:v>1564</c:v>
                </c:pt>
                <c:pt idx="3">
                  <c:v>1569</c:v>
                </c:pt>
                <c:pt idx="4">
                  <c:v>1569</c:v>
                </c:pt>
                <c:pt idx="5">
                  <c:v>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9C-4E9D-844D-F920125E39A5}"/>
            </c:ext>
          </c:extLst>
        </c:ser>
        <c:ser>
          <c:idx val="9"/>
          <c:order val="9"/>
          <c:tx>
            <c:strRef>
              <c:f>elo_data_mine!$A$11</c:f>
              <c:strCache>
                <c:ptCount val="1"/>
                <c:pt idx="0">
                  <c:v>Bills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elo_data_mine!$B$11:$R$11</c:f>
              <c:numCache>
                <c:formatCode>General</c:formatCode>
                <c:ptCount val="17"/>
                <c:pt idx="0">
                  <c:v>1533</c:v>
                </c:pt>
                <c:pt idx="1">
                  <c:v>1551</c:v>
                </c:pt>
                <c:pt idx="2">
                  <c:v>1558</c:v>
                </c:pt>
                <c:pt idx="3">
                  <c:v>1572</c:v>
                </c:pt>
                <c:pt idx="4">
                  <c:v>1591</c:v>
                </c:pt>
                <c:pt idx="5">
                  <c:v>1559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9C-4E9D-844D-F920125E39A5}"/>
            </c:ext>
          </c:extLst>
        </c:ser>
        <c:ser>
          <c:idx val="10"/>
          <c:order val="10"/>
          <c:tx>
            <c:strRef>
              <c:f>elo_data_mine!$A$12</c:f>
              <c:strCache>
                <c:ptCount val="1"/>
                <c:pt idx="0">
                  <c:v>Rams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elo_data_mine!$B$12:$R$12</c:f>
              <c:numCache>
                <c:formatCode>General</c:formatCode>
                <c:ptCount val="17"/>
                <c:pt idx="0">
                  <c:v>1541</c:v>
                </c:pt>
                <c:pt idx="1">
                  <c:v>1555</c:v>
                </c:pt>
                <c:pt idx="2">
                  <c:v>1582</c:v>
                </c:pt>
                <c:pt idx="3">
                  <c:v>1568</c:v>
                </c:pt>
                <c:pt idx="4">
                  <c:v>1575</c:v>
                </c:pt>
                <c:pt idx="5">
                  <c:v>1584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9C-4E9D-844D-F920125E39A5}"/>
            </c:ext>
          </c:extLst>
        </c:ser>
        <c:ser>
          <c:idx val="11"/>
          <c:order val="11"/>
          <c:tx>
            <c:strRef>
              <c:f>elo_data_mine!$A$13</c:f>
              <c:strCache>
                <c:ptCount val="1"/>
                <c:pt idx="0">
                  <c:v>Cowboys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elo_data_mine!$B$13:$R$13</c:f>
              <c:numCache>
                <c:formatCode>General</c:formatCode>
                <c:ptCount val="17"/>
                <c:pt idx="0">
                  <c:v>1561</c:v>
                </c:pt>
                <c:pt idx="1">
                  <c:v>1547</c:v>
                </c:pt>
                <c:pt idx="2">
                  <c:v>1552</c:v>
                </c:pt>
                <c:pt idx="3">
                  <c:v>1529</c:v>
                </c:pt>
                <c:pt idx="4">
                  <c:v>1505</c:v>
                </c:pt>
                <c:pt idx="5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9C-4E9D-844D-F920125E39A5}"/>
            </c:ext>
          </c:extLst>
        </c:ser>
        <c:ser>
          <c:idx val="12"/>
          <c:order val="12"/>
          <c:tx>
            <c:strRef>
              <c:f>elo_data_mine!$A$14</c:f>
              <c:strCache>
                <c:ptCount val="1"/>
                <c:pt idx="0">
                  <c:v>Bears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elo_data_mine!$B$14:$R$14</c:f>
              <c:numCache>
                <c:formatCode>General</c:formatCode>
                <c:ptCount val="17"/>
                <c:pt idx="0">
                  <c:v>1526</c:v>
                </c:pt>
                <c:pt idx="1">
                  <c:v>1538</c:v>
                </c:pt>
                <c:pt idx="2">
                  <c:v>1546</c:v>
                </c:pt>
                <c:pt idx="3">
                  <c:v>1557</c:v>
                </c:pt>
                <c:pt idx="4">
                  <c:v>1534</c:v>
                </c:pt>
                <c:pt idx="5">
                  <c:v>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9C-4E9D-844D-F920125E39A5}"/>
            </c:ext>
          </c:extLst>
        </c:ser>
        <c:ser>
          <c:idx val="13"/>
          <c:order val="13"/>
          <c:tx>
            <c:strRef>
              <c:f>elo_data_mine!$A$15</c:f>
              <c:strCache>
                <c:ptCount val="1"/>
                <c:pt idx="0">
                  <c:v>Vikings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elo_data_mine!$B$15:$R$15</c:f>
              <c:numCache>
                <c:formatCode>General</c:formatCode>
                <c:ptCount val="17"/>
                <c:pt idx="0">
                  <c:v>1544</c:v>
                </c:pt>
                <c:pt idx="1">
                  <c:v>1520</c:v>
                </c:pt>
                <c:pt idx="2">
                  <c:v>1491</c:v>
                </c:pt>
                <c:pt idx="3">
                  <c:v>1482</c:v>
                </c:pt>
                <c:pt idx="4">
                  <c:v>1497</c:v>
                </c:pt>
                <c:pt idx="5">
                  <c:v>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9C-4E9D-844D-F920125E39A5}"/>
            </c:ext>
          </c:extLst>
        </c:ser>
        <c:ser>
          <c:idx val="14"/>
          <c:order val="14"/>
          <c:tx>
            <c:strRef>
              <c:f>elo_data_mine!$A$16</c:f>
              <c:strCache>
                <c:ptCount val="1"/>
                <c:pt idx="0">
                  <c:v>Buccaneers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elo_data_mine!$B$16:$R$16</c:f>
              <c:numCache>
                <c:formatCode>General</c:formatCode>
                <c:ptCount val="17"/>
                <c:pt idx="0">
                  <c:v>1540</c:v>
                </c:pt>
                <c:pt idx="1">
                  <c:v>1510</c:v>
                </c:pt>
                <c:pt idx="2">
                  <c:v>1528</c:v>
                </c:pt>
                <c:pt idx="3">
                  <c:v>1550</c:v>
                </c:pt>
                <c:pt idx="4">
                  <c:v>1563</c:v>
                </c:pt>
                <c:pt idx="5">
                  <c:v>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9C-4E9D-844D-F920125E39A5}"/>
            </c:ext>
          </c:extLst>
        </c:ser>
        <c:ser>
          <c:idx val="15"/>
          <c:order val="15"/>
          <c:tx>
            <c:strRef>
              <c:f>elo_data_mine!$A$17</c:f>
              <c:strCache>
                <c:ptCount val="1"/>
                <c:pt idx="0">
                  <c:v>Colts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elo_data_mine!$B$17:$R$17</c:f>
              <c:numCache>
                <c:formatCode>General</c:formatCode>
                <c:ptCount val="17"/>
                <c:pt idx="0">
                  <c:v>1525</c:v>
                </c:pt>
                <c:pt idx="1">
                  <c:v>1511</c:v>
                </c:pt>
                <c:pt idx="2">
                  <c:v>1540</c:v>
                </c:pt>
                <c:pt idx="3">
                  <c:v>1558</c:v>
                </c:pt>
                <c:pt idx="4">
                  <c:v>1579</c:v>
                </c:pt>
                <c:pt idx="5">
                  <c:v>1558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B9C-4E9D-844D-F920125E39A5}"/>
            </c:ext>
          </c:extLst>
        </c:ser>
        <c:ser>
          <c:idx val="16"/>
          <c:order val="16"/>
          <c:tx>
            <c:strRef>
              <c:f>elo_data_mine!$A$18</c:f>
              <c:strCache>
                <c:ptCount val="1"/>
                <c:pt idx="0">
                  <c:v>Eagles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elo_data_mine!$B$18:$R$18</c:f>
              <c:numCache>
                <c:formatCode>General</c:formatCode>
                <c:ptCount val="17"/>
                <c:pt idx="0">
                  <c:v>1548</c:v>
                </c:pt>
                <c:pt idx="1">
                  <c:v>1534</c:v>
                </c:pt>
                <c:pt idx="2">
                  <c:v>1503</c:v>
                </c:pt>
                <c:pt idx="3">
                  <c:v>1503</c:v>
                </c:pt>
                <c:pt idx="4">
                  <c:v>1524</c:v>
                </c:pt>
                <c:pt idx="5">
                  <c:v>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B9C-4E9D-844D-F920125E39A5}"/>
            </c:ext>
          </c:extLst>
        </c:ser>
        <c:ser>
          <c:idx val="17"/>
          <c:order val="17"/>
          <c:tx>
            <c:strRef>
              <c:f>elo_data_mine!$A$19</c:f>
              <c:strCache>
                <c:ptCount val="1"/>
                <c:pt idx="0">
                  <c:v>Cardinals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elo_data_mine!$B$19:$R$19</c:f>
              <c:numCache>
                <c:formatCode>General</c:formatCode>
                <c:ptCount val="17"/>
                <c:pt idx="0">
                  <c:v>1465</c:v>
                </c:pt>
                <c:pt idx="1">
                  <c:v>1478</c:v>
                </c:pt>
                <c:pt idx="2">
                  <c:v>1499</c:v>
                </c:pt>
                <c:pt idx="3">
                  <c:v>1488</c:v>
                </c:pt>
                <c:pt idx="4">
                  <c:v>1469</c:v>
                </c:pt>
                <c:pt idx="5">
                  <c:v>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B9C-4E9D-844D-F920125E39A5}"/>
            </c:ext>
          </c:extLst>
        </c:ser>
        <c:ser>
          <c:idx val="18"/>
          <c:order val="18"/>
          <c:tx>
            <c:strRef>
              <c:f>elo_data_mine!$A$20</c:f>
              <c:strCache>
                <c:ptCount val="1"/>
                <c:pt idx="0">
                  <c:v>Texans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elo_data_mine!$B$20:$R$20</c:f>
              <c:numCache>
                <c:formatCode>General</c:formatCode>
                <c:ptCount val="17"/>
                <c:pt idx="0">
                  <c:v>1501</c:v>
                </c:pt>
                <c:pt idx="1">
                  <c:v>1465</c:v>
                </c:pt>
                <c:pt idx="2">
                  <c:v>1424</c:v>
                </c:pt>
                <c:pt idx="3">
                  <c:v>1395</c:v>
                </c:pt>
                <c:pt idx="4">
                  <c:v>1369</c:v>
                </c:pt>
                <c:pt idx="5">
                  <c:v>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B9C-4E9D-844D-F920125E39A5}"/>
            </c:ext>
          </c:extLst>
        </c:ser>
        <c:ser>
          <c:idx val="19"/>
          <c:order val="19"/>
          <c:tx>
            <c:strRef>
              <c:f>elo_data_mine!$A$21</c:f>
              <c:strCache>
                <c:ptCount val="1"/>
                <c:pt idx="0">
                  <c:v>Raiders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elo_data_mine!$B$21:$R$21</c:f>
              <c:numCache>
                <c:formatCode>General</c:formatCode>
                <c:ptCount val="17"/>
                <c:pt idx="0">
                  <c:v>1466</c:v>
                </c:pt>
                <c:pt idx="1">
                  <c:v>1480</c:v>
                </c:pt>
                <c:pt idx="2">
                  <c:v>1516</c:v>
                </c:pt>
                <c:pt idx="3">
                  <c:v>1547</c:v>
                </c:pt>
                <c:pt idx="4">
                  <c:v>1524</c:v>
                </c:pt>
                <c:pt idx="5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B9C-4E9D-844D-F920125E39A5}"/>
            </c:ext>
          </c:extLst>
        </c:ser>
        <c:ser>
          <c:idx val="20"/>
          <c:order val="20"/>
          <c:tx>
            <c:strRef>
              <c:f>elo_data_mine!$A$22</c:f>
              <c:strCache>
                <c:ptCount val="1"/>
                <c:pt idx="0">
                  <c:v>Falcons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elo_data_mine!$B$22:$R$22</c:f>
              <c:numCache>
                <c:formatCode>General</c:formatCode>
                <c:ptCount val="17"/>
                <c:pt idx="0">
                  <c:v>1499</c:v>
                </c:pt>
                <c:pt idx="1">
                  <c:v>1469</c:v>
                </c:pt>
                <c:pt idx="2">
                  <c:v>1460</c:v>
                </c:pt>
                <c:pt idx="3">
                  <c:v>1440</c:v>
                </c:pt>
                <c:pt idx="4">
                  <c:v>1403</c:v>
                </c:pt>
                <c:pt idx="5">
                  <c:v>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B9C-4E9D-844D-F920125E39A5}"/>
            </c:ext>
          </c:extLst>
        </c:ser>
        <c:ser>
          <c:idx val="21"/>
          <c:order val="21"/>
          <c:tx>
            <c:strRef>
              <c:f>elo_data_mine!$A$23</c:f>
              <c:strCache>
                <c:ptCount val="1"/>
                <c:pt idx="0">
                  <c:v>Broncos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elo_data_mine!$B$23:$R$23</c:f>
              <c:numCache>
                <c:formatCode>General</c:formatCode>
                <c:ptCount val="17"/>
                <c:pt idx="0">
                  <c:v>1485</c:v>
                </c:pt>
                <c:pt idx="1">
                  <c:v>1472</c:v>
                </c:pt>
                <c:pt idx="2">
                  <c:v>1449</c:v>
                </c:pt>
                <c:pt idx="3">
                  <c:v>1414</c:v>
                </c:pt>
                <c:pt idx="4">
                  <c:v>1431</c:v>
                </c:pt>
                <c:pt idx="5">
                  <c:v>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B9C-4E9D-844D-F920125E39A5}"/>
            </c:ext>
          </c:extLst>
        </c:ser>
        <c:ser>
          <c:idx val="22"/>
          <c:order val="22"/>
          <c:tx>
            <c:strRef>
              <c:f>elo_data_mine!$A$24</c:f>
              <c:strCache>
                <c:ptCount val="1"/>
                <c:pt idx="0">
                  <c:v>Browns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elo_data_mine!$B$24:$R$24</c:f>
              <c:numCache>
                <c:formatCode>General</c:formatCode>
                <c:ptCount val="17"/>
                <c:pt idx="0">
                  <c:v>1496</c:v>
                </c:pt>
                <c:pt idx="1">
                  <c:v>1449</c:v>
                </c:pt>
                <c:pt idx="2">
                  <c:v>1462</c:v>
                </c:pt>
                <c:pt idx="3">
                  <c:v>1513</c:v>
                </c:pt>
                <c:pt idx="4">
                  <c:v>1539</c:v>
                </c:pt>
                <c:pt idx="5">
                  <c:v>1565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B9C-4E9D-844D-F920125E39A5}"/>
            </c:ext>
          </c:extLst>
        </c:ser>
        <c:ser>
          <c:idx val="23"/>
          <c:order val="23"/>
          <c:tx>
            <c:strRef>
              <c:f>elo_data_mine!$A$25</c:f>
              <c:strCache>
                <c:ptCount val="1"/>
                <c:pt idx="0">
                  <c:v>Chargers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elo_data_mine!$B$25:$R$25</c:f>
              <c:numCache>
                <c:formatCode>General</c:formatCode>
                <c:ptCount val="17"/>
                <c:pt idx="0">
                  <c:v>1462</c:v>
                </c:pt>
                <c:pt idx="1">
                  <c:v>1472</c:v>
                </c:pt>
                <c:pt idx="2">
                  <c:v>1452</c:v>
                </c:pt>
                <c:pt idx="3">
                  <c:v>1437</c:v>
                </c:pt>
                <c:pt idx="4">
                  <c:v>1411</c:v>
                </c:pt>
                <c:pt idx="5">
                  <c:v>1391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B9C-4E9D-844D-F920125E39A5}"/>
            </c:ext>
          </c:extLst>
        </c:ser>
        <c:ser>
          <c:idx val="24"/>
          <c:order val="24"/>
          <c:tx>
            <c:strRef>
              <c:f>elo_data_mine!$A$26</c:f>
              <c:strCache>
                <c:ptCount val="1"/>
                <c:pt idx="0">
                  <c:v>Jets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elo_data_mine!$B$26:$R$26</c:f>
              <c:numCache>
                <c:formatCode>General</c:formatCode>
                <c:ptCount val="17"/>
                <c:pt idx="0">
                  <c:v>1456</c:v>
                </c:pt>
                <c:pt idx="1">
                  <c:v>1427</c:v>
                </c:pt>
                <c:pt idx="2">
                  <c:v>1387</c:v>
                </c:pt>
                <c:pt idx="3">
                  <c:v>1342</c:v>
                </c:pt>
                <c:pt idx="4">
                  <c:v>1315</c:v>
                </c:pt>
                <c:pt idx="5">
                  <c:v>1274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B9C-4E9D-844D-F920125E39A5}"/>
            </c:ext>
          </c:extLst>
        </c:ser>
        <c:ser>
          <c:idx val="25"/>
          <c:order val="25"/>
          <c:tx>
            <c:strRef>
              <c:f>elo_data_mine!$A$27</c:f>
              <c:strCache>
                <c:ptCount val="1"/>
                <c:pt idx="0">
                  <c:v>Lions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elo_data_mine!$B$27:$R$27</c:f>
              <c:numCache>
                <c:formatCode>General</c:formatCode>
                <c:ptCount val="17"/>
                <c:pt idx="0">
                  <c:v>1453</c:v>
                </c:pt>
                <c:pt idx="1">
                  <c:v>1434</c:v>
                </c:pt>
                <c:pt idx="2">
                  <c:v>1393</c:v>
                </c:pt>
                <c:pt idx="3">
                  <c:v>1411</c:v>
                </c:pt>
                <c:pt idx="4">
                  <c:v>1384</c:v>
                </c:pt>
                <c:pt idx="5">
                  <c:v>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B9C-4E9D-844D-F920125E39A5}"/>
            </c:ext>
          </c:extLst>
        </c:ser>
        <c:ser>
          <c:idx val="26"/>
          <c:order val="26"/>
          <c:tx>
            <c:strRef>
              <c:f>elo_data_mine!$A$28</c:f>
              <c:strCache>
                <c:ptCount val="1"/>
                <c:pt idx="0">
                  <c:v>Jaguars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elo_data_mine!$B$28:$R$28</c:f>
              <c:numCache>
                <c:formatCode>General</c:formatCode>
                <c:ptCount val="17"/>
                <c:pt idx="0">
                  <c:v>1383</c:v>
                </c:pt>
                <c:pt idx="1">
                  <c:v>1413</c:v>
                </c:pt>
                <c:pt idx="2">
                  <c:v>1394</c:v>
                </c:pt>
                <c:pt idx="3">
                  <c:v>1365</c:v>
                </c:pt>
                <c:pt idx="4">
                  <c:v>1343</c:v>
                </c:pt>
                <c:pt idx="5">
                  <c:v>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B9C-4E9D-844D-F920125E39A5}"/>
            </c:ext>
          </c:extLst>
        </c:ser>
        <c:ser>
          <c:idx val="27"/>
          <c:order val="27"/>
          <c:tx>
            <c:strRef>
              <c:f>elo_data_mine!$A$29</c:f>
              <c:strCache>
                <c:ptCount val="1"/>
                <c:pt idx="0">
                  <c:v>Panthers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elo_data_mine!$B$29:$R$29</c:f>
              <c:numCache>
                <c:formatCode>General</c:formatCode>
                <c:ptCount val="17"/>
                <c:pt idx="0">
                  <c:v>1428</c:v>
                </c:pt>
                <c:pt idx="1">
                  <c:v>1410</c:v>
                </c:pt>
                <c:pt idx="2">
                  <c:v>1376</c:v>
                </c:pt>
                <c:pt idx="3">
                  <c:v>1398</c:v>
                </c:pt>
                <c:pt idx="4">
                  <c:v>1429</c:v>
                </c:pt>
                <c:pt idx="5">
                  <c:v>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B9C-4E9D-844D-F920125E39A5}"/>
            </c:ext>
          </c:extLst>
        </c:ser>
        <c:ser>
          <c:idx val="28"/>
          <c:order val="28"/>
          <c:tx>
            <c:strRef>
              <c:f>elo_data_mine!$A$30</c:f>
              <c:strCache>
                <c:ptCount val="1"/>
                <c:pt idx="0">
                  <c:v>Dolphins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elo_data_mine!$B$30:$R$30</c:f>
              <c:numCache>
                <c:formatCode>General</c:formatCode>
                <c:ptCount val="17"/>
                <c:pt idx="0">
                  <c:v>1435</c:v>
                </c:pt>
                <c:pt idx="1">
                  <c:v>1404</c:v>
                </c:pt>
                <c:pt idx="2">
                  <c:v>1385</c:v>
                </c:pt>
                <c:pt idx="3">
                  <c:v>1415</c:v>
                </c:pt>
                <c:pt idx="4">
                  <c:v>1384</c:v>
                </c:pt>
                <c:pt idx="5">
                  <c:v>1441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B9C-4E9D-844D-F920125E39A5}"/>
            </c:ext>
          </c:extLst>
        </c:ser>
        <c:ser>
          <c:idx val="29"/>
          <c:order val="29"/>
          <c:tx>
            <c:strRef>
              <c:f>elo_data_mine!$A$31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elo_data_mine!$B$31:$R$31</c:f>
              <c:numCache>
                <c:formatCode>General</c:formatCode>
                <c:ptCount val="17"/>
                <c:pt idx="0">
                  <c:v>1372</c:v>
                </c:pt>
                <c:pt idx="1">
                  <c:v>1410</c:v>
                </c:pt>
                <c:pt idx="2">
                  <c:v>1377</c:v>
                </c:pt>
                <c:pt idx="3">
                  <c:v>1342</c:v>
                </c:pt>
                <c:pt idx="4">
                  <c:v>1301</c:v>
                </c:pt>
                <c:pt idx="5">
                  <c:v>1256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B9C-4E9D-844D-F920125E39A5}"/>
            </c:ext>
          </c:extLst>
        </c:ser>
        <c:ser>
          <c:idx val="30"/>
          <c:order val="30"/>
          <c:tx>
            <c:strRef>
              <c:f>elo_data_mine!$A$32</c:f>
              <c:strCache>
                <c:ptCount val="1"/>
                <c:pt idx="0">
                  <c:v>Giants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elo_data_mine!$B$32:$R$32</c:f>
              <c:numCache>
                <c:formatCode>General</c:formatCode>
                <c:ptCount val="17"/>
                <c:pt idx="0">
                  <c:v>1419</c:v>
                </c:pt>
                <c:pt idx="1">
                  <c:v>1387</c:v>
                </c:pt>
                <c:pt idx="2">
                  <c:v>1365</c:v>
                </c:pt>
                <c:pt idx="3">
                  <c:v>1316</c:v>
                </c:pt>
                <c:pt idx="4">
                  <c:v>1284</c:v>
                </c:pt>
                <c:pt idx="5">
                  <c:v>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B9C-4E9D-844D-F920125E39A5}"/>
            </c:ext>
          </c:extLst>
        </c:ser>
        <c:ser>
          <c:idx val="31"/>
          <c:order val="31"/>
          <c:tx>
            <c:strRef>
              <c:f>elo_data_mine!$A$33</c:f>
              <c:strCache>
                <c:ptCount val="1"/>
                <c:pt idx="0">
                  <c:v>Bengals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elo_data_mine!$B$1:$R$1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elo_data_mine!$B$33:$R$33</c:f>
              <c:numCache>
                <c:formatCode>General</c:formatCode>
                <c:ptCount val="17"/>
                <c:pt idx="0">
                  <c:v>1390</c:v>
                </c:pt>
                <c:pt idx="1">
                  <c:v>1373</c:v>
                </c:pt>
                <c:pt idx="2">
                  <c:v>1351</c:v>
                </c:pt>
                <c:pt idx="3">
                  <c:v>1351</c:v>
                </c:pt>
                <c:pt idx="4">
                  <c:v>1374</c:v>
                </c:pt>
                <c:pt idx="5">
                  <c:v>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B9C-4E9D-844D-F920125E3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60495"/>
        <c:axId val="742623055"/>
      </c:lineChart>
      <c:catAx>
        <c:axId val="87716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23055"/>
        <c:crosses val="autoZero"/>
        <c:auto val="1"/>
        <c:lblAlgn val="ctr"/>
        <c:lblOffset val="100"/>
        <c:noMultiLvlLbl val="0"/>
      </c:catAx>
      <c:valAx>
        <c:axId val="742623055"/>
        <c:scaling>
          <c:orientation val="minMax"/>
          <c:max val="1750"/>
          <c:min val="1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6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chart" Target="../charts/chart2.xml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142875</xdr:rowOff>
    </xdr:from>
    <xdr:to>
      <xdr:col>0</xdr:col>
      <xdr:colOff>923925</xdr:colOff>
      <xdr:row>2</xdr:row>
      <xdr:rowOff>28575</xdr:rowOff>
    </xdr:to>
    <xdr:pic>
      <xdr:nvPicPr>
        <xdr:cNvPr id="71" name="Picture 70" descr="KC-logo">
          <a:extLst>
            <a:ext uri="{FF2B5EF4-FFF2-40B4-BE49-F238E27FC236}">
              <a16:creationId xmlns:a16="http://schemas.microsoft.com/office/drawing/2014/main" id="{F719FA54-05B5-47B9-8064-5334A68F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42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1</xdr:row>
      <xdr:rowOff>142875</xdr:rowOff>
    </xdr:from>
    <xdr:to>
      <xdr:col>0</xdr:col>
      <xdr:colOff>885825</xdr:colOff>
      <xdr:row>3</xdr:row>
      <xdr:rowOff>28575</xdr:rowOff>
    </xdr:to>
    <xdr:pic>
      <xdr:nvPicPr>
        <xdr:cNvPr id="72" name="Picture 71" descr="BAL-logo">
          <a:extLst>
            <a:ext uri="{FF2B5EF4-FFF2-40B4-BE49-F238E27FC236}">
              <a16:creationId xmlns:a16="http://schemas.microsoft.com/office/drawing/2014/main" id="{29C162A4-94ED-4C1F-9A1C-E46F54A0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33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2</xdr:row>
      <xdr:rowOff>142875</xdr:rowOff>
    </xdr:from>
    <xdr:to>
      <xdr:col>0</xdr:col>
      <xdr:colOff>904875</xdr:colOff>
      <xdr:row>4</xdr:row>
      <xdr:rowOff>28575</xdr:rowOff>
    </xdr:to>
    <xdr:pic>
      <xdr:nvPicPr>
        <xdr:cNvPr id="73" name="Picture 72" descr="NO-logo">
          <a:extLst>
            <a:ext uri="{FF2B5EF4-FFF2-40B4-BE49-F238E27FC236}">
              <a16:creationId xmlns:a16="http://schemas.microsoft.com/office/drawing/2014/main" id="{F0F49DEA-7DEB-454A-A13D-91FEDC68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23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3</xdr:row>
      <xdr:rowOff>161925</xdr:rowOff>
    </xdr:from>
    <xdr:to>
      <xdr:col>0</xdr:col>
      <xdr:colOff>904875</xdr:colOff>
      <xdr:row>5</xdr:row>
      <xdr:rowOff>47625</xdr:rowOff>
    </xdr:to>
    <xdr:pic>
      <xdr:nvPicPr>
        <xdr:cNvPr id="74" name="Picture 73" descr="GB-logo">
          <a:extLst>
            <a:ext uri="{FF2B5EF4-FFF2-40B4-BE49-F238E27FC236}">
              <a16:creationId xmlns:a16="http://schemas.microsoft.com/office/drawing/2014/main" id="{0FD928AD-C8C3-49BB-ACE3-4940451F1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733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4</xdr:row>
      <xdr:rowOff>161925</xdr:rowOff>
    </xdr:from>
    <xdr:to>
      <xdr:col>0</xdr:col>
      <xdr:colOff>904875</xdr:colOff>
      <xdr:row>6</xdr:row>
      <xdr:rowOff>47625</xdr:rowOff>
    </xdr:to>
    <xdr:pic>
      <xdr:nvPicPr>
        <xdr:cNvPr id="75" name="Picture 74" descr="PIT-logo">
          <a:extLst>
            <a:ext uri="{FF2B5EF4-FFF2-40B4-BE49-F238E27FC236}">
              <a16:creationId xmlns:a16="http://schemas.microsoft.com/office/drawing/2014/main" id="{6D90CB2A-5736-4B97-BF74-6A59FB64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9239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628650</xdr:colOff>
      <xdr:row>5</xdr:row>
      <xdr:rowOff>161925</xdr:rowOff>
    </xdr:from>
    <xdr:to>
      <xdr:col>0</xdr:col>
      <xdr:colOff>895350</xdr:colOff>
      <xdr:row>7</xdr:row>
      <xdr:rowOff>47625</xdr:rowOff>
    </xdr:to>
    <xdr:pic>
      <xdr:nvPicPr>
        <xdr:cNvPr id="76" name="Picture 75" descr="SEA-logo">
          <a:extLst>
            <a:ext uri="{FF2B5EF4-FFF2-40B4-BE49-F238E27FC236}">
              <a16:creationId xmlns:a16="http://schemas.microsoft.com/office/drawing/2014/main" id="{D993A816-221E-4711-A60B-5D7A352E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114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6</xdr:row>
      <xdr:rowOff>152400</xdr:rowOff>
    </xdr:from>
    <xdr:to>
      <xdr:col>0</xdr:col>
      <xdr:colOff>876300</xdr:colOff>
      <xdr:row>8</xdr:row>
      <xdr:rowOff>38100</xdr:rowOff>
    </xdr:to>
    <xdr:pic>
      <xdr:nvPicPr>
        <xdr:cNvPr id="77" name="Picture 76" descr="SF-logo">
          <a:extLst>
            <a:ext uri="{FF2B5EF4-FFF2-40B4-BE49-F238E27FC236}">
              <a16:creationId xmlns:a16="http://schemas.microsoft.com/office/drawing/2014/main" id="{31FCBFE2-93DA-4C8B-A47D-5BE424EB6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553394</xdr:colOff>
      <xdr:row>7</xdr:row>
      <xdr:rowOff>171450</xdr:rowOff>
    </xdr:from>
    <xdr:to>
      <xdr:col>0</xdr:col>
      <xdr:colOff>820094</xdr:colOff>
      <xdr:row>9</xdr:row>
      <xdr:rowOff>57150</xdr:rowOff>
    </xdr:to>
    <xdr:pic>
      <xdr:nvPicPr>
        <xdr:cNvPr id="78" name="Picture 77" descr="NE-logo">
          <a:extLst>
            <a:ext uri="{FF2B5EF4-FFF2-40B4-BE49-F238E27FC236}">
              <a16:creationId xmlns:a16="http://schemas.microsoft.com/office/drawing/2014/main" id="{B6F1288F-3FDB-44F0-AAE1-FA97F028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553394" y="1504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8</xdr:row>
      <xdr:rowOff>152400</xdr:rowOff>
    </xdr:from>
    <xdr:to>
      <xdr:col>0</xdr:col>
      <xdr:colOff>828675</xdr:colOff>
      <xdr:row>10</xdr:row>
      <xdr:rowOff>38100</xdr:rowOff>
    </xdr:to>
    <xdr:pic>
      <xdr:nvPicPr>
        <xdr:cNvPr id="79" name="Picture 78" descr="TEN-logo">
          <a:extLst>
            <a:ext uri="{FF2B5EF4-FFF2-40B4-BE49-F238E27FC236}">
              <a16:creationId xmlns:a16="http://schemas.microsoft.com/office/drawing/2014/main" id="{465E399A-4F7C-4974-B6FA-41C55272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6859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581025</xdr:colOff>
      <xdr:row>9</xdr:row>
      <xdr:rowOff>171450</xdr:rowOff>
    </xdr:from>
    <xdr:to>
      <xdr:col>0</xdr:col>
      <xdr:colOff>847725</xdr:colOff>
      <xdr:row>11</xdr:row>
      <xdr:rowOff>57150</xdr:rowOff>
    </xdr:to>
    <xdr:pic>
      <xdr:nvPicPr>
        <xdr:cNvPr id="80" name="Picture 79" descr="BUF-logo">
          <a:extLst>
            <a:ext uri="{FF2B5EF4-FFF2-40B4-BE49-F238E27FC236}">
              <a16:creationId xmlns:a16="http://schemas.microsoft.com/office/drawing/2014/main" id="{D9938C8E-DB1F-4AA4-A817-86C46CCB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90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10</xdr:row>
      <xdr:rowOff>142875</xdr:rowOff>
    </xdr:from>
    <xdr:to>
      <xdr:col>0</xdr:col>
      <xdr:colOff>876300</xdr:colOff>
      <xdr:row>12</xdr:row>
      <xdr:rowOff>28575</xdr:rowOff>
    </xdr:to>
    <xdr:pic>
      <xdr:nvPicPr>
        <xdr:cNvPr id="81" name="Picture 80" descr="LAR-logo">
          <a:extLst>
            <a:ext uri="{FF2B5EF4-FFF2-40B4-BE49-F238E27FC236}">
              <a16:creationId xmlns:a16="http://schemas.microsoft.com/office/drawing/2014/main" id="{E9EF0B72-0181-4445-B71B-1DB5369C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11</xdr:row>
      <xdr:rowOff>171450</xdr:rowOff>
    </xdr:from>
    <xdr:to>
      <xdr:col>0</xdr:col>
      <xdr:colOff>866775</xdr:colOff>
      <xdr:row>13</xdr:row>
      <xdr:rowOff>57150</xdr:rowOff>
    </xdr:to>
    <xdr:pic>
      <xdr:nvPicPr>
        <xdr:cNvPr id="82" name="Picture 81" descr="DAL-logo">
          <a:extLst>
            <a:ext uri="{FF2B5EF4-FFF2-40B4-BE49-F238E27FC236}">
              <a16:creationId xmlns:a16="http://schemas.microsoft.com/office/drawing/2014/main" id="{56323FC0-42F2-4FAD-BD23-014C470C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305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12</xdr:row>
      <xdr:rowOff>171450</xdr:rowOff>
    </xdr:from>
    <xdr:to>
      <xdr:col>0</xdr:col>
      <xdr:colOff>866775</xdr:colOff>
      <xdr:row>14</xdr:row>
      <xdr:rowOff>57150</xdr:rowOff>
    </xdr:to>
    <xdr:pic>
      <xdr:nvPicPr>
        <xdr:cNvPr id="83" name="Picture 82" descr="CHI-logo">
          <a:extLst>
            <a:ext uri="{FF2B5EF4-FFF2-40B4-BE49-F238E27FC236}">
              <a16:creationId xmlns:a16="http://schemas.microsoft.com/office/drawing/2014/main" id="{96DBF756-ECA1-4513-B25F-E50EC437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505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13</xdr:row>
      <xdr:rowOff>180975</xdr:rowOff>
    </xdr:from>
    <xdr:to>
      <xdr:col>0</xdr:col>
      <xdr:colOff>828675</xdr:colOff>
      <xdr:row>15</xdr:row>
      <xdr:rowOff>66675</xdr:rowOff>
    </xdr:to>
    <xdr:pic>
      <xdr:nvPicPr>
        <xdr:cNvPr id="84" name="Picture 83" descr="MIN-logo">
          <a:extLst>
            <a:ext uri="{FF2B5EF4-FFF2-40B4-BE49-F238E27FC236}">
              <a16:creationId xmlns:a16="http://schemas.microsoft.com/office/drawing/2014/main" id="{C543C120-7BC2-435E-B7F5-47489692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7146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14</xdr:row>
      <xdr:rowOff>171450</xdr:rowOff>
    </xdr:from>
    <xdr:to>
      <xdr:col>1</xdr:col>
      <xdr:colOff>9525</xdr:colOff>
      <xdr:row>16</xdr:row>
      <xdr:rowOff>57150</xdr:rowOff>
    </xdr:to>
    <xdr:pic>
      <xdr:nvPicPr>
        <xdr:cNvPr id="85" name="Picture 84" descr="TB-logo">
          <a:extLst>
            <a:ext uri="{FF2B5EF4-FFF2-40B4-BE49-F238E27FC236}">
              <a16:creationId xmlns:a16="http://schemas.microsoft.com/office/drawing/2014/main" id="{ADF1833B-65AD-4916-BE17-686F2728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05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628650</xdr:colOff>
      <xdr:row>16</xdr:row>
      <xdr:rowOff>9525</xdr:rowOff>
    </xdr:from>
    <xdr:to>
      <xdr:col>0</xdr:col>
      <xdr:colOff>895350</xdr:colOff>
      <xdr:row>17</xdr:row>
      <xdr:rowOff>85725</xdr:rowOff>
    </xdr:to>
    <xdr:pic>
      <xdr:nvPicPr>
        <xdr:cNvPr id="86" name="Picture 85" descr="IND-logo">
          <a:extLst>
            <a:ext uri="{FF2B5EF4-FFF2-40B4-BE49-F238E27FC236}">
              <a16:creationId xmlns:a16="http://schemas.microsoft.com/office/drawing/2014/main" id="{028E6192-F7F2-4794-BA83-91C5358E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143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16</xdr:row>
      <xdr:rowOff>180975</xdr:rowOff>
    </xdr:from>
    <xdr:to>
      <xdr:col>0</xdr:col>
      <xdr:colOff>876300</xdr:colOff>
      <xdr:row>18</xdr:row>
      <xdr:rowOff>66675</xdr:rowOff>
    </xdr:to>
    <xdr:pic>
      <xdr:nvPicPr>
        <xdr:cNvPr id="87" name="Picture 86" descr="PHI-logo">
          <a:extLst>
            <a:ext uri="{FF2B5EF4-FFF2-40B4-BE49-F238E27FC236}">
              <a16:creationId xmlns:a16="http://schemas.microsoft.com/office/drawing/2014/main" id="{275C1DB6-B673-4964-A9AF-BCDABEF67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17</xdr:row>
      <xdr:rowOff>161925</xdr:rowOff>
    </xdr:from>
    <xdr:to>
      <xdr:col>0</xdr:col>
      <xdr:colOff>857250</xdr:colOff>
      <xdr:row>19</xdr:row>
      <xdr:rowOff>47625</xdr:rowOff>
    </xdr:to>
    <xdr:pic>
      <xdr:nvPicPr>
        <xdr:cNvPr id="88" name="Picture 87" descr="ARI-logo">
          <a:extLst>
            <a:ext uri="{FF2B5EF4-FFF2-40B4-BE49-F238E27FC236}">
              <a16:creationId xmlns:a16="http://schemas.microsoft.com/office/drawing/2014/main" id="{3C2A7F27-B0CA-4757-8661-98C07D8B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4956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18</xdr:row>
      <xdr:rowOff>171450</xdr:rowOff>
    </xdr:from>
    <xdr:to>
      <xdr:col>0</xdr:col>
      <xdr:colOff>876300</xdr:colOff>
      <xdr:row>20</xdr:row>
      <xdr:rowOff>57150</xdr:rowOff>
    </xdr:to>
    <xdr:pic>
      <xdr:nvPicPr>
        <xdr:cNvPr id="89" name="Picture 88" descr="HOU-logo">
          <a:extLst>
            <a:ext uri="{FF2B5EF4-FFF2-40B4-BE49-F238E27FC236}">
              <a16:creationId xmlns:a16="http://schemas.microsoft.com/office/drawing/2014/main" id="{1C44CA90-58BF-49A3-AEA0-BADD555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19</xdr:row>
      <xdr:rowOff>171450</xdr:rowOff>
    </xdr:from>
    <xdr:to>
      <xdr:col>0</xdr:col>
      <xdr:colOff>866775</xdr:colOff>
      <xdr:row>21</xdr:row>
      <xdr:rowOff>57150</xdr:rowOff>
    </xdr:to>
    <xdr:pic>
      <xdr:nvPicPr>
        <xdr:cNvPr id="90" name="Picture 89" descr="OAK-logo">
          <a:extLst>
            <a:ext uri="{FF2B5EF4-FFF2-40B4-BE49-F238E27FC236}">
              <a16:creationId xmlns:a16="http://schemas.microsoft.com/office/drawing/2014/main" id="{932471CD-1799-4DE9-9C8E-9CA1B9195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905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20</xdr:row>
      <xdr:rowOff>171450</xdr:rowOff>
    </xdr:from>
    <xdr:to>
      <xdr:col>0</xdr:col>
      <xdr:colOff>876300</xdr:colOff>
      <xdr:row>22</xdr:row>
      <xdr:rowOff>57150</xdr:rowOff>
    </xdr:to>
    <xdr:pic>
      <xdr:nvPicPr>
        <xdr:cNvPr id="91" name="Picture 90" descr="ATL-logo">
          <a:extLst>
            <a:ext uri="{FF2B5EF4-FFF2-40B4-BE49-F238E27FC236}">
              <a16:creationId xmlns:a16="http://schemas.microsoft.com/office/drawing/2014/main" id="{4AD5560A-2A18-4D0F-AB20-3C2BB004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21</xdr:row>
      <xdr:rowOff>152400</xdr:rowOff>
    </xdr:from>
    <xdr:to>
      <xdr:col>0</xdr:col>
      <xdr:colOff>866775</xdr:colOff>
      <xdr:row>23</xdr:row>
      <xdr:rowOff>38100</xdr:rowOff>
    </xdr:to>
    <xdr:pic>
      <xdr:nvPicPr>
        <xdr:cNvPr id="92" name="Picture 91" descr="DEN-logo">
          <a:extLst>
            <a:ext uri="{FF2B5EF4-FFF2-40B4-BE49-F238E27FC236}">
              <a16:creationId xmlns:a16="http://schemas.microsoft.com/office/drawing/2014/main" id="{BD5C4F96-F0A2-472D-AC5F-206B8FDC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286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22</xdr:row>
      <xdr:rowOff>142875</xdr:rowOff>
    </xdr:from>
    <xdr:to>
      <xdr:col>0</xdr:col>
      <xdr:colOff>828675</xdr:colOff>
      <xdr:row>24</xdr:row>
      <xdr:rowOff>28575</xdr:rowOff>
    </xdr:to>
    <xdr:pic>
      <xdr:nvPicPr>
        <xdr:cNvPr id="93" name="Picture 92" descr="CLE-logo">
          <a:extLst>
            <a:ext uri="{FF2B5EF4-FFF2-40B4-BE49-F238E27FC236}">
              <a16:creationId xmlns:a16="http://schemas.microsoft.com/office/drawing/2014/main" id="{57BCC06F-C040-49FB-84A2-A579A602D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4767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23</xdr:row>
      <xdr:rowOff>161925</xdr:rowOff>
    </xdr:from>
    <xdr:to>
      <xdr:col>0</xdr:col>
      <xdr:colOff>885825</xdr:colOff>
      <xdr:row>25</xdr:row>
      <xdr:rowOff>47625</xdr:rowOff>
    </xdr:to>
    <xdr:pic>
      <xdr:nvPicPr>
        <xdr:cNvPr id="94" name="Picture 93" descr="LAC-logo">
          <a:extLst>
            <a:ext uri="{FF2B5EF4-FFF2-40B4-BE49-F238E27FC236}">
              <a16:creationId xmlns:a16="http://schemas.microsoft.com/office/drawing/2014/main" id="{6EA3866C-D6CF-4DAE-ACB9-30B8BF25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6958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610544</xdr:colOff>
      <xdr:row>24</xdr:row>
      <xdr:rowOff>133351</xdr:rowOff>
    </xdr:from>
    <xdr:to>
      <xdr:col>0</xdr:col>
      <xdr:colOff>877244</xdr:colOff>
      <xdr:row>26</xdr:row>
      <xdr:rowOff>19051</xdr:rowOff>
    </xdr:to>
    <xdr:pic>
      <xdr:nvPicPr>
        <xdr:cNvPr id="95" name="Picture 94" descr="NYJ-logo">
          <a:extLst>
            <a:ext uri="{FF2B5EF4-FFF2-40B4-BE49-F238E27FC236}">
              <a16:creationId xmlns:a16="http://schemas.microsoft.com/office/drawing/2014/main" id="{B3C6EA4E-278A-4F4F-B55B-45AE9FD71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610544" y="4867276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562919</xdr:colOff>
      <xdr:row>25</xdr:row>
      <xdr:rowOff>171452</xdr:rowOff>
    </xdr:from>
    <xdr:to>
      <xdr:col>0</xdr:col>
      <xdr:colOff>829619</xdr:colOff>
      <xdr:row>27</xdr:row>
      <xdr:rowOff>57152</xdr:rowOff>
    </xdr:to>
    <xdr:pic>
      <xdr:nvPicPr>
        <xdr:cNvPr id="96" name="Picture 95" descr="DET-logo">
          <a:extLst>
            <a:ext uri="{FF2B5EF4-FFF2-40B4-BE49-F238E27FC236}">
              <a16:creationId xmlns:a16="http://schemas.microsoft.com/office/drawing/2014/main" id="{31225F55-02E4-4278-800D-A4D61EE0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562919" y="5105402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610544</xdr:colOff>
      <xdr:row>26</xdr:row>
      <xdr:rowOff>180977</xdr:rowOff>
    </xdr:from>
    <xdr:to>
      <xdr:col>0</xdr:col>
      <xdr:colOff>877244</xdr:colOff>
      <xdr:row>28</xdr:row>
      <xdr:rowOff>66677</xdr:rowOff>
    </xdr:to>
    <xdr:pic>
      <xdr:nvPicPr>
        <xdr:cNvPr id="97" name="Picture 96" descr="JAX-logo">
          <a:extLst>
            <a:ext uri="{FF2B5EF4-FFF2-40B4-BE49-F238E27FC236}">
              <a16:creationId xmlns:a16="http://schemas.microsoft.com/office/drawing/2014/main" id="{0DA2A3F1-A67C-4033-BCBC-572948FA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610544" y="5314952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601019</xdr:colOff>
      <xdr:row>27</xdr:row>
      <xdr:rowOff>171451</xdr:rowOff>
    </xdr:from>
    <xdr:to>
      <xdr:col>0</xdr:col>
      <xdr:colOff>867719</xdr:colOff>
      <xdr:row>29</xdr:row>
      <xdr:rowOff>57151</xdr:rowOff>
    </xdr:to>
    <xdr:pic>
      <xdr:nvPicPr>
        <xdr:cNvPr id="98" name="Picture 97" descr="CAR-logo">
          <a:extLst>
            <a:ext uri="{FF2B5EF4-FFF2-40B4-BE49-F238E27FC236}">
              <a16:creationId xmlns:a16="http://schemas.microsoft.com/office/drawing/2014/main" id="{355E6E2C-4A30-4DCC-893D-88FE0BDC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601019" y="5505451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591494</xdr:colOff>
      <xdr:row>28</xdr:row>
      <xdr:rowOff>161926</xdr:rowOff>
    </xdr:from>
    <xdr:to>
      <xdr:col>0</xdr:col>
      <xdr:colOff>858194</xdr:colOff>
      <xdr:row>30</xdr:row>
      <xdr:rowOff>47626</xdr:rowOff>
    </xdr:to>
    <xdr:pic>
      <xdr:nvPicPr>
        <xdr:cNvPr id="99" name="Picture 98" descr="MIA-logo">
          <a:extLst>
            <a:ext uri="{FF2B5EF4-FFF2-40B4-BE49-F238E27FC236}">
              <a16:creationId xmlns:a16="http://schemas.microsoft.com/office/drawing/2014/main" id="{6589FDCF-0695-4EC2-BB34-1F8F50652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591494" y="5695951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724844</xdr:colOff>
      <xdr:row>29</xdr:row>
      <xdr:rowOff>152400</xdr:rowOff>
    </xdr:from>
    <xdr:to>
      <xdr:col>1</xdr:col>
      <xdr:colOff>48569</xdr:colOff>
      <xdr:row>31</xdr:row>
      <xdr:rowOff>38100</xdr:rowOff>
    </xdr:to>
    <xdr:pic>
      <xdr:nvPicPr>
        <xdr:cNvPr id="100" name="Picture 99" descr="WSH-logo">
          <a:extLst>
            <a:ext uri="{FF2B5EF4-FFF2-40B4-BE49-F238E27FC236}">
              <a16:creationId xmlns:a16="http://schemas.microsoft.com/office/drawing/2014/main" id="{5091CD09-CE9E-420C-A4D8-A3506116F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44" y="5886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30</xdr:row>
      <xdr:rowOff>152400</xdr:rowOff>
    </xdr:from>
    <xdr:to>
      <xdr:col>0</xdr:col>
      <xdr:colOff>857250</xdr:colOff>
      <xdr:row>32</xdr:row>
      <xdr:rowOff>38100</xdr:rowOff>
    </xdr:to>
    <xdr:pic>
      <xdr:nvPicPr>
        <xdr:cNvPr id="101" name="Picture 100" descr="NYG-logo">
          <a:extLst>
            <a:ext uri="{FF2B5EF4-FFF2-40B4-BE49-F238E27FC236}">
              <a16:creationId xmlns:a16="http://schemas.microsoft.com/office/drawing/2014/main" id="{662D1E97-2D96-4039-8187-9F496619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0864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629594</xdr:colOff>
      <xdr:row>31</xdr:row>
      <xdr:rowOff>171451</xdr:rowOff>
    </xdr:from>
    <xdr:to>
      <xdr:col>0</xdr:col>
      <xdr:colOff>896294</xdr:colOff>
      <xdr:row>33</xdr:row>
      <xdr:rowOff>57151</xdr:rowOff>
    </xdr:to>
    <xdr:pic>
      <xdr:nvPicPr>
        <xdr:cNvPr id="102" name="Picture 101" descr="CIN-logo">
          <a:extLst>
            <a:ext uri="{FF2B5EF4-FFF2-40B4-BE49-F238E27FC236}">
              <a16:creationId xmlns:a16="http://schemas.microsoft.com/office/drawing/2014/main" id="{E00B402F-0298-40EB-97AE-B1B1028D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594" y="6305551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152400</xdr:rowOff>
    </xdr:from>
    <xdr:to>
      <xdr:col>28</xdr:col>
      <xdr:colOff>323850</xdr:colOff>
      <xdr:row>36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B359-B23A-4646-856D-82BCE07DD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142875</xdr:rowOff>
    </xdr:from>
    <xdr:to>
      <xdr:col>1</xdr:col>
      <xdr:colOff>0</xdr:colOff>
      <xdr:row>2</xdr:row>
      <xdr:rowOff>28575</xdr:rowOff>
    </xdr:to>
    <xdr:pic>
      <xdr:nvPicPr>
        <xdr:cNvPr id="2" name="Picture 1" descr="KC-logo">
          <a:extLst>
            <a:ext uri="{FF2B5EF4-FFF2-40B4-BE49-F238E27FC236}">
              <a16:creationId xmlns:a16="http://schemas.microsoft.com/office/drawing/2014/main" id="{2BBCB0A6-E2C1-4008-B396-1109A565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42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1</xdr:row>
      <xdr:rowOff>142875</xdr:rowOff>
    </xdr:from>
    <xdr:to>
      <xdr:col>0</xdr:col>
      <xdr:colOff>885825</xdr:colOff>
      <xdr:row>3</xdr:row>
      <xdr:rowOff>28575</xdr:rowOff>
    </xdr:to>
    <xdr:pic>
      <xdr:nvPicPr>
        <xdr:cNvPr id="3" name="Picture 2" descr="BAL-logo">
          <a:extLst>
            <a:ext uri="{FF2B5EF4-FFF2-40B4-BE49-F238E27FC236}">
              <a16:creationId xmlns:a16="http://schemas.microsoft.com/office/drawing/2014/main" id="{9A9E702B-647C-40EC-BCBB-51103DB2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33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2</xdr:row>
      <xdr:rowOff>142875</xdr:rowOff>
    </xdr:from>
    <xdr:to>
      <xdr:col>0</xdr:col>
      <xdr:colOff>904875</xdr:colOff>
      <xdr:row>4</xdr:row>
      <xdr:rowOff>28575</xdr:rowOff>
    </xdr:to>
    <xdr:pic>
      <xdr:nvPicPr>
        <xdr:cNvPr id="4" name="Picture 3" descr="NO-logo">
          <a:extLst>
            <a:ext uri="{FF2B5EF4-FFF2-40B4-BE49-F238E27FC236}">
              <a16:creationId xmlns:a16="http://schemas.microsoft.com/office/drawing/2014/main" id="{138F5C66-BCD9-4F63-B7A3-082671A9D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23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3</xdr:row>
      <xdr:rowOff>161925</xdr:rowOff>
    </xdr:from>
    <xdr:to>
      <xdr:col>0</xdr:col>
      <xdr:colOff>904875</xdr:colOff>
      <xdr:row>5</xdr:row>
      <xdr:rowOff>47625</xdr:rowOff>
    </xdr:to>
    <xdr:pic>
      <xdr:nvPicPr>
        <xdr:cNvPr id="5" name="Picture 4" descr="GB-logo">
          <a:extLst>
            <a:ext uri="{FF2B5EF4-FFF2-40B4-BE49-F238E27FC236}">
              <a16:creationId xmlns:a16="http://schemas.microsoft.com/office/drawing/2014/main" id="{C76C0143-687A-4C38-83C2-6A7762BDA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733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4</xdr:row>
      <xdr:rowOff>161925</xdr:rowOff>
    </xdr:from>
    <xdr:to>
      <xdr:col>0</xdr:col>
      <xdr:colOff>904875</xdr:colOff>
      <xdr:row>6</xdr:row>
      <xdr:rowOff>47625</xdr:rowOff>
    </xdr:to>
    <xdr:pic>
      <xdr:nvPicPr>
        <xdr:cNvPr id="6" name="Picture 5" descr="PIT-logo">
          <a:extLst>
            <a:ext uri="{FF2B5EF4-FFF2-40B4-BE49-F238E27FC236}">
              <a16:creationId xmlns:a16="http://schemas.microsoft.com/office/drawing/2014/main" id="{DB7721B7-64B9-4FF1-A839-93990F98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9239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628650</xdr:colOff>
      <xdr:row>5</xdr:row>
      <xdr:rowOff>161925</xdr:rowOff>
    </xdr:from>
    <xdr:to>
      <xdr:col>0</xdr:col>
      <xdr:colOff>895350</xdr:colOff>
      <xdr:row>7</xdr:row>
      <xdr:rowOff>47625</xdr:rowOff>
    </xdr:to>
    <xdr:pic>
      <xdr:nvPicPr>
        <xdr:cNvPr id="7" name="Picture 6" descr="SEA-logo">
          <a:extLst>
            <a:ext uri="{FF2B5EF4-FFF2-40B4-BE49-F238E27FC236}">
              <a16:creationId xmlns:a16="http://schemas.microsoft.com/office/drawing/2014/main" id="{7CD8B46E-B631-4886-A701-C518FB04A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114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6</xdr:row>
      <xdr:rowOff>152400</xdr:rowOff>
    </xdr:from>
    <xdr:to>
      <xdr:col>0</xdr:col>
      <xdr:colOff>876300</xdr:colOff>
      <xdr:row>8</xdr:row>
      <xdr:rowOff>38100</xdr:rowOff>
    </xdr:to>
    <xdr:pic>
      <xdr:nvPicPr>
        <xdr:cNvPr id="8" name="Picture 7" descr="SF-logo">
          <a:extLst>
            <a:ext uri="{FF2B5EF4-FFF2-40B4-BE49-F238E27FC236}">
              <a16:creationId xmlns:a16="http://schemas.microsoft.com/office/drawing/2014/main" id="{C069438D-BD42-49F7-A371-F86632CAE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553394</xdr:colOff>
      <xdr:row>7</xdr:row>
      <xdr:rowOff>171450</xdr:rowOff>
    </xdr:from>
    <xdr:to>
      <xdr:col>0</xdr:col>
      <xdr:colOff>820094</xdr:colOff>
      <xdr:row>9</xdr:row>
      <xdr:rowOff>57150</xdr:rowOff>
    </xdr:to>
    <xdr:pic>
      <xdr:nvPicPr>
        <xdr:cNvPr id="9" name="Picture 8" descr="NE-logo">
          <a:extLst>
            <a:ext uri="{FF2B5EF4-FFF2-40B4-BE49-F238E27FC236}">
              <a16:creationId xmlns:a16="http://schemas.microsoft.com/office/drawing/2014/main" id="{3EBA51EF-C889-4729-9F93-A3444D0A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553394" y="1504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8</xdr:row>
      <xdr:rowOff>152400</xdr:rowOff>
    </xdr:from>
    <xdr:to>
      <xdr:col>0</xdr:col>
      <xdr:colOff>828675</xdr:colOff>
      <xdr:row>10</xdr:row>
      <xdr:rowOff>38100</xdr:rowOff>
    </xdr:to>
    <xdr:pic>
      <xdr:nvPicPr>
        <xdr:cNvPr id="10" name="Picture 9" descr="TEN-logo">
          <a:extLst>
            <a:ext uri="{FF2B5EF4-FFF2-40B4-BE49-F238E27FC236}">
              <a16:creationId xmlns:a16="http://schemas.microsoft.com/office/drawing/2014/main" id="{399782EA-19DB-4FCA-BE06-6507D300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676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581025</xdr:colOff>
      <xdr:row>9</xdr:row>
      <xdr:rowOff>171450</xdr:rowOff>
    </xdr:from>
    <xdr:to>
      <xdr:col>0</xdr:col>
      <xdr:colOff>847725</xdr:colOff>
      <xdr:row>11</xdr:row>
      <xdr:rowOff>57150</xdr:rowOff>
    </xdr:to>
    <xdr:pic>
      <xdr:nvPicPr>
        <xdr:cNvPr id="11" name="Picture 10" descr="BUF-logo">
          <a:extLst>
            <a:ext uri="{FF2B5EF4-FFF2-40B4-BE49-F238E27FC236}">
              <a16:creationId xmlns:a16="http://schemas.microsoft.com/office/drawing/2014/main" id="{6224FE6F-BCE6-4A6B-A6BF-87863B076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85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10</xdr:row>
      <xdr:rowOff>142875</xdr:rowOff>
    </xdr:from>
    <xdr:to>
      <xdr:col>0</xdr:col>
      <xdr:colOff>876300</xdr:colOff>
      <xdr:row>12</xdr:row>
      <xdr:rowOff>28575</xdr:rowOff>
    </xdr:to>
    <xdr:pic>
      <xdr:nvPicPr>
        <xdr:cNvPr id="12" name="Picture 11" descr="LAR-logo">
          <a:extLst>
            <a:ext uri="{FF2B5EF4-FFF2-40B4-BE49-F238E27FC236}">
              <a16:creationId xmlns:a16="http://schemas.microsoft.com/office/drawing/2014/main" id="{B97D4DC6-57DE-4D2C-953B-3DA13C4C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7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11</xdr:row>
      <xdr:rowOff>171450</xdr:rowOff>
    </xdr:from>
    <xdr:to>
      <xdr:col>0</xdr:col>
      <xdr:colOff>866775</xdr:colOff>
      <xdr:row>13</xdr:row>
      <xdr:rowOff>57150</xdr:rowOff>
    </xdr:to>
    <xdr:pic>
      <xdr:nvPicPr>
        <xdr:cNvPr id="13" name="Picture 12" descr="DAL-logo">
          <a:extLst>
            <a:ext uri="{FF2B5EF4-FFF2-40B4-BE49-F238E27FC236}">
              <a16:creationId xmlns:a16="http://schemas.microsoft.com/office/drawing/2014/main" id="{88FDF834-953D-4DE4-B378-A01C771A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66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12</xdr:row>
      <xdr:rowOff>171450</xdr:rowOff>
    </xdr:from>
    <xdr:to>
      <xdr:col>0</xdr:col>
      <xdr:colOff>866775</xdr:colOff>
      <xdr:row>14</xdr:row>
      <xdr:rowOff>57150</xdr:rowOff>
    </xdr:to>
    <xdr:pic>
      <xdr:nvPicPr>
        <xdr:cNvPr id="14" name="Picture 13" descr="CHI-logo">
          <a:extLst>
            <a:ext uri="{FF2B5EF4-FFF2-40B4-BE49-F238E27FC236}">
              <a16:creationId xmlns:a16="http://schemas.microsoft.com/office/drawing/2014/main" id="{4836C8E1-42CC-469C-B397-F493885FE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457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13</xdr:row>
      <xdr:rowOff>180975</xdr:rowOff>
    </xdr:from>
    <xdr:to>
      <xdr:col>0</xdr:col>
      <xdr:colOff>828675</xdr:colOff>
      <xdr:row>15</xdr:row>
      <xdr:rowOff>66675</xdr:rowOff>
    </xdr:to>
    <xdr:pic>
      <xdr:nvPicPr>
        <xdr:cNvPr id="15" name="Picture 14" descr="MIN-logo">
          <a:extLst>
            <a:ext uri="{FF2B5EF4-FFF2-40B4-BE49-F238E27FC236}">
              <a16:creationId xmlns:a16="http://schemas.microsoft.com/office/drawing/2014/main" id="{1E73CACB-3566-49A5-A982-BF506813A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6574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14</xdr:row>
      <xdr:rowOff>171450</xdr:rowOff>
    </xdr:from>
    <xdr:to>
      <xdr:col>1</xdr:col>
      <xdr:colOff>28575</xdr:colOff>
      <xdr:row>16</xdr:row>
      <xdr:rowOff>57150</xdr:rowOff>
    </xdr:to>
    <xdr:pic>
      <xdr:nvPicPr>
        <xdr:cNvPr id="16" name="Picture 15" descr="TB-logo">
          <a:extLst>
            <a:ext uri="{FF2B5EF4-FFF2-40B4-BE49-F238E27FC236}">
              <a16:creationId xmlns:a16="http://schemas.microsoft.com/office/drawing/2014/main" id="{A08380DB-0A57-44AE-9334-5563186D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38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628650</xdr:colOff>
      <xdr:row>16</xdr:row>
      <xdr:rowOff>9525</xdr:rowOff>
    </xdr:from>
    <xdr:to>
      <xdr:col>0</xdr:col>
      <xdr:colOff>895350</xdr:colOff>
      <xdr:row>17</xdr:row>
      <xdr:rowOff>85725</xdr:rowOff>
    </xdr:to>
    <xdr:pic>
      <xdr:nvPicPr>
        <xdr:cNvPr id="17" name="Picture 16" descr="IND-logo">
          <a:extLst>
            <a:ext uri="{FF2B5EF4-FFF2-40B4-BE49-F238E27FC236}">
              <a16:creationId xmlns:a16="http://schemas.microsoft.com/office/drawing/2014/main" id="{2C3FC08D-43B3-4ACA-B70B-A7AF8DA27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0575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16</xdr:row>
      <xdr:rowOff>180975</xdr:rowOff>
    </xdr:from>
    <xdr:to>
      <xdr:col>0</xdr:col>
      <xdr:colOff>876300</xdr:colOff>
      <xdr:row>18</xdr:row>
      <xdr:rowOff>66675</xdr:rowOff>
    </xdr:to>
    <xdr:pic>
      <xdr:nvPicPr>
        <xdr:cNvPr id="18" name="Picture 17" descr="PHI-logo">
          <a:extLst>
            <a:ext uri="{FF2B5EF4-FFF2-40B4-BE49-F238E27FC236}">
              <a16:creationId xmlns:a16="http://schemas.microsoft.com/office/drawing/2014/main" id="{6C1BF107-7B78-4702-83EB-C30460A7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17</xdr:row>
      <xdr:rowOff>161925</xdr:rowOff>
    </xdr:from>
    <xdr:to>
      <xdr:col>0</xdr:col>
      <xdr:colOff>857250</xdr:colOff>
      <xdr:row>19</xdr:row>
      <xdr:rowOff>47625</xdr:rowOff>
    </xdr:to>
    <xdr:pic>
      <xdr:nvPicPr>
        <xdr:cNvPr id="19" name="Picture 18" descr="ARI-logo">
          <a:extLst>
            <a:ext uri="{FF2B5EF4-FFF2-40B4-BE49-F238E27FC236}">
              <a16:creationId xmlns:a16="http://schemas.microsoft.com/office/drawing/2014/main" id="{F8ABE2E4-FEF5-4FF4-98DF-84AB181B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400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18</xdr:row>
      <xdr:rowOff>171450</xdr:rowOff>
    </xdr:from>
    <xdr:to>
      <xdr:col>0</xdr:col>
      <xdr:colOff>876300</xdr:colOff>
      <xdr:row>20</xdr:row>
      <xdr:rowOff>57150</xdr:rowOff>
    </xdr:to>
    <xdr:pic>
      <xdr:nvPicPr>
        <xdr:cNvPr id="20" name="Picture 19" descr="HOU-logo">
          <a:extLst>
            <a:ext uri="{FF2B5EF4-FFF2-40B4-BE49-F238E27FC236}">
              <a16:creationId xmlns:a16="http://schemas.microsoft.com/office/drawing/2014/main" id="{132BEF3F-09B5-4273-838E-05F6CB73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19</xdr:row>
      <xdr:rowOff>171450</xdr:rowOff>
    </xdr:from>
    <xdr:to>
      <xdr:col>0</xdr:col>
      <xdr:colOff>866775</xdr:colOff>
      <xdr:row>21</xdr:row>
      <xdr:rowOff>57150</xdr:rowOff>
    </xdr:to>
    <xdr:pic>
      <xdr:nvPicPr>
        <xdr:cNvPr id="21" name="Picture 20" descr="OAK-logo">
          <a:extLst>
            <a:ext uri="{FF2B5EF4-FFF2-40B4-BE49-F238E27FC236}">
              <a16:creationId xmlns:a16="http://schemas.microsoft.com/office/drawing/2014/main" id="{1597F9A3-8F39-4470-B738-7DBEFBD2E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790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20</xdr:row>
      <xdr:rowOff>171450</xdr:rowOff>
    </xdr:from>
    <xdr:to>
      <xdr:col>0</xdr:col>
      <xdr:colOff>876300</xdr:colOff>
      <xdr:row>22</xdr:row>
      <xdr:rowOff>57150</xdr:rowOff>
    </xdr:to>
    <xdr:pic>
      <xdr:nvPicPr>
        <xdr:cNvPr id="22" name="Picture 21" descr="ATL-logo">
          <a:extLst>
            <a:ext uri="{FF2B5EF4-FFF2-40B4-BE49-F238E27FC236}">
              <a16:creationId xmlns:a16="http://schemas.microsoft.com/office/drawing/2014/main" id="{AB443033-AAD8-47FE-BF5F-FDB3EDD4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21</xdr:row>
      <xdr:rowOff>152400</xdr:rowOff>
    </xdr:from>
    <xdr:to>
      <xdr:col>0</xdr:col>
      <xdr:colOff>866775</xdr:colOff>
      <xdr:row>23</xdr:row>
      <xdr:rowOff>38100</xdr:rowOff>
    </xdr:to>
    <xdr:pic>
      <xdr:nvPicPr>
        <xdr:cNvPr id="23" name="Picture 22" descr="DEN-logo">
          <a:extLst>
            <a:ext uri="{FF2B5EF4-FFF2-40B4-BE49-F238E27FC236}">
              <a16:creationId xmlns:a16="http://schemas.microsoft.com/office/drawing/2014/main" id="{BB48124A-4FD9-484B-AD39-5C55B591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152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22</xdr:row>
      <xdr:rowOff>142875</xdr:rowOff>
    </xdr:from>
    <xdr:to>
      <xdr:col>0</xdr:col>
      <xdr:colOff>828675</xdr:colOff>
      <xdr:row>24</xdr:row>
      <xdr:rowOff>28575</xdr:rowOff>
    </xdr:to>
    <xdr:pic>
      <xdr:nvPicPr>
        <xdr:cNvPr id="24" name="Picture 23" descr="CLE-logo">
          <a:extLst>
            <a:ext uri="{FF2B5EF4-FFF2-40B4-BE49-F238E27FC236}">
              <a16:creationId xmlns:a16="http://schemas.microsoft.com/office/drawing/2014/main" id="{085DC78C-4DAD-4AC3-B11D-B0786FA4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333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23</xdr:row>
      <xdr:rowOff>161925</xdr:rowOff>
    </xdr:from>
    <xdr:to>
      <xdr:col>0</xdr:col>
      <xdr:colOff>885825</xdr:colOff>
      <xdr:row>25</xdr:row>
      <xdr:rowOff>47625</xdr:rowOff>
    </xdr:to>
    <xdr:pic>
      <xdr:nvPicPr>
        <xdr:cNvPr id="25" name="Picture 24" descr="LAC-logo">
          <a:extLst>
            <a:ext uri="{FF2B5EF4-FFF2-40B4-BE49-F238E27FC236}">
              <a16:creationId xmlns:a16="http://schemas.microsoft.com/office/drawing/2014/main" id="{FB920F22-EF65-46C2-8C0E-11C5D7BB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543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610544</xdr:colOff>
      <xdr:row>24</xdr:row>
      <xdr:rowOff>133351</xdr:rowOff>
    </xdr:from>
    <xdr:to>
      <xdr:col>0</xdr:col>
      <xdr:colOff>877244</xdr:colOff>
      <xdr:row>26</xdr:row>
      <xdr:rowOff>19051</xdr:rowOff>
    </xdr:to>
    <xdr:pic>
      <xdr:nvPicPr>
        <xdr:cNvPr id="26" name="Picture 25" descr="NYJ-logo">
          <a:extLst>
            <a:ext uri="{FF2B5EF4-FFF2-40B4-BE49-F238E27FC236}">
              <a16:creationId xmlns:a16="http://schemas.microsoft.com/office/drawing/2014/main" id="{B4D7876F-5E35-4DD7-BD02-38A316F5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610544" y="4705351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562919</xdr:colOff>
      <xdr:row>25</xdr:row>
      <xdr:rowOff>171452</xdr:rowOff>
    </xdr:from>
    <xdr:to>
      <xdr:col>0</xdr:col>
      <xdr:colOff>829619</xdr:colOff>
      <xdr:row>27</xdr:row>
      <xdr:rowOff>57152</xdr:rowOff>
    </xdr:to>
    <xdr:pic>
      <xdr:nvPicPr>
        <xdr:cNvPr id="27" name="Picture 26" descr="DET-logo">
          <a:extLst>
            <a:ext uri="{FF2B5EF4-FFF2-40B4-BE49-F238E27FC236}">
              <a16:creationId xmlns:a16="http://schemas.microsoft.com/office/drawing/2014/main" id="{CC36BB7E-388B-400C-8D87-33390ABA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562919" y="4933952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610544</xdr:colOff>
      <xdr:row>26</xdr:row>
      <xdr:rowOff>180977</xdr:rowOff>
    </xdr:from>
    <xdr:to>
      <xdr:col>0</xdr:col>
      <xdr:colOff>877244</xdr:colOff>
      <xdr:row>28</xdr:row>
      <xdr:rowOff>66677</xdr:rowOff>
    </xdr:to>
    <xdr:pic>
      <xdr:nvPicPr>
        <xdr:cNvPr id="28" name="Picture 27" descr="JAX-logo">
          <a:extLst>
            <a:ext uri="{FF2B5EF4-FFF2-40B4-BE49-F238E27FC236}">
              <a16:creationId xmlns:a16="http://schemas.microsoft.com/office/drawing/2014/main" id="{CC80B307-E721-47B7-A33A-BD97E756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610544" y="5133977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601019</xdr:colOff>
      <xdr:row>27</xdr:row>
      <xdr:rowOff>171451</xdr:rowOff>
    </xdr:from>
    <xdr:to>
      <xdr:col>0</xdr:col>
      <xdr:colOff>867719</xdr:colOff>
      <xdr:row>29</xdr:row>
      <xdr:rowOff>57151</xdr:rowOff>
    </xdr:to>
    <xdr:pic>
      <xdr:nvPicPr>
        <xdr:cNvPr id="29" name="Picture 28" descr="CAR-logo">
          <a:extLst>
            <a:ext uri="{FF2B5EF4-FFF2-40B4-BE49-F238E27FC236}">
              <a16:creationId xmlns:a16="http://schemas.microsoft.com/office/drawing/2014/main" id="{39386B4F-E7F2-4362-A7ED-1DB3E234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601019" y="5314951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591494</xdr:colOff>
      <xdr:row>28</xdr:row>
      <xdr:rowOff>161926</xdr:rowOff>
    </xdr:from>
    <xdr:to>
      <xdr:col>0</xdr:col>
      <xdr:colOff>858194</xdr:colOff>
      <xdr:row>30</xdr:row>
      <xdr:rowOff>47626</xdr:rowOff>
    </xdr:to>
    <xdr:pic>
      <xdr:nvPicPr>
        <xdr:cNvPr id="30" name="Picture 29" descr="MIA-logo">
          <a:extLst>
            <a:ext uri="{FF2B5EF4-FFF2-40B4-BE49-F238E27FC236}">
              <a16:creationId xmlns:a16="http://schemas.microsoft.com/office/drawing/2014/main" id="{C5129A3B-3595-4158-92A2-11302EE67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1756">
          <a:off x="591494" y="5495926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724844</xdr:colOff>
      <xdr:row>29</xdr:row>
      <xdr:rowOff>152400</xdr:rowOff>
    </xdr:from>
    <xdr:to>
      <xdr:col>1</xdr:col>
      <xdr:colOff>67619</xdr:colOff>
      <xdr:row>31</xdr:row>
      <xdr:rowOff>38100</xdr:rowOff>
    </xdr:to>
    <xdr:pic>
      <xdr:nvPicPr>
        <xdr:cNvPr id="31" name="Picture 30" descr="WSH-logo">
          <a:extLst>
            <a:ext uri="{FF2B5EF4-FFF2-40B4-BE49-F238E27FC236}">
              <a16:creationId xmlns:a16="http://schemas.microsoft.com/office/drawing/2014/main" id="{1AD01E06-6DBF-4901-B39A-D900ED54F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44" y="567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30</xdr:row>
      <xdr:rowOff>152400</xdr:rowOff>
    </xdr:from>
    <xdr:to>
      <xdr:col>0</xdr:col>
      <xdr:colOff>857250</xdr:colOff>
      <xdr:row>32</xdr:row>
      <xdr:rowOff>38100</xdr:rowOff>
    </xdr:to>
    <xdr:pic>
      <xdr:nvPicPr>
        <xdr:cNvPr id="32" name="Picture 31" descr="NYG-logo">
          <a:extLst>
            <a:ext uri="{FF2B5EF4-FFF2-40B4-BE49-F238E27FC236}">
              <a16:creationId xmlns:a16="http://schemas.microsoft.com/office/drawing/2014/main" id="{D0B573E8-DE8A-4815-A28B-A67D4D4A1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86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629594</xdr:colOff>
      <xdr:row>31</xdr:row>
      <xdr:rowOff>171451</xdr:rowOff>
    </xdr:from>
    <xdr:to>
      <xdr:col>0</xdr:col>
      <xdr:colOff>896294</xdr:colOff>
      <xdr:row>33</xdr:row>
      <xdr:rowOff>57151</xdr:rowOff>
    </xdr:to>
    <xdr:pic>
      <xdr:nvPicPr>
        <xdr:cNvPr id="33" name="Picture 32" descr="CIN-logo">
          <a:extLst>
            <a:ext uri="{FF2B5EF4-FFF2-40B4-BE49-F238E27FC236}">
              <a16:creationId xmlns:a16="http://schemas.microsoft.com/office/drawing/2014/main" id="{F6400E1B-08B8-4DE9-8638-33FADE5F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594" y="6076951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133350</xdr:colOff>
      <xdr:row>33</xdr:row>
      <xdr:rowOff>133350</xdr:rowOff>
    </xdr:from>
    <xdr:to>
      <xdr:col>19</xdr:col>
      <xdr:colOff>542925</xdr:colOff>
      <xdr:row>65</xdr:row>
      <xdr:rowOff>104775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1BFF7D4-D80F-46C9-8009-E7A83776D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374B1-EB6A-42FD-9B77-881F4268FB4A}" name="Table2" displayName="Table2" ref="A1:R33" totalsRowShown="0" headerRowDxfId="72" headerRowBorderDxfId="71" tableBorderDxfId="70" totalsRowBorderDxfId="69">
  <tableColumns count="18">
    <tableColumn id="1" xr3:uid="{B746FCF7-FB9E-4C11-8241-3A7F7AED75ED}" name="Team/Elo" dataDxfId="68"/>
    <tableColumn id="2" xr3:uid="{3D30A579-834B-4228-92D9-25FD384AE12D}" name="Week 1" dataDxfId="67"/>
    <tableColumn id="3" xr3:uid="{7877C55C-416E-4E70-B78D-A4062DEA6D21}" name="Week 2" dataDxfId="66"/>
    <tableColumn id="4" xr3:uid="{DDCA7A10-65D3-4402-8461-EE82293718BC}" name="Week 3" dataDxfId="65"/>
    <tableColumn id="5" xr3:uid="{0A0E5526-BE56-4049-8D76-BF5B26AF426C}" name="Week 4" dataDxfId="64"/>
    <tableColumn id="6" xr3:uid="{8FA926C9-E2F6-4E5A-BBE7-1B9B92E95FE8}" name="Week 5" dataDxfId="63"/>
    <tableColumn id="7" xr3:uid="{D7AEF5D5-7754-4D3C-B558-1638631ACF4D}" name="Week 6" dataDxfId="62"/>
    <tableColumn id="8" xr3:uid="{1806C023-62A6-4F94-8116-E078E47DD5B0}" name="Week 7" dataDxfId="61"/>
    <tableColumn id="9" xr3:uid="{C3274D13-DF00-4EAE-9361-968FB5C7CAB0}" name="Week 8" dataDxfId="60"/>
    <tableColumn id="10" xr3:uid="{9DBFDFB0-627D-43CC-AA2F-716C5B795FE9}" name="Week 9" dataDxfId="59"/>
    <tableColumn id="11" xr3:uid="{FB163A16-7BE1-4C01-823C-25773414417F}" name="Week 10" dataDxfId="58"/>
    <tableColumn id="12" xr3:uid="{4F827D53-5BF6-4FA1-8256-57FB650FD2B0}" name="Week 11" dataDxfId="57"/>
    <tableColumn id="13" xr3:uid="{A3A3C478-0E51-4D7A-8896-17D2775BAC2B}" name="Week 12" dataDxfId="56"/>
    <tableColumn id="14" xr3:uid="{24B7A942-EF2B-4B5C-BCEE-93F62DC4E756}" name="Week 13" dataDxfId="55"/>
    <tableColumn id="15" xr3:uid="{AFBEC79E-A766-42FF-B6C8-BE48CE07CA00}" name="Week 14" dataDxfId="54"/>
    <tableColumn id="16" xr3:uid="{B201BDEF-655E-414F-9994-F64151DBBAC1}" name="Week 15" dataDxfId="53"/>
    <tableColumn id="17" xr3:uid="{6777397A-1509-4269-8252-7E21F12F5A1B}" name="Week 16" dataDxfId="52"/>
    <tableColumn id="18" xr3:uid="{436979C4-8A12-44A7-BC26-E609E2E1E910}" name="Week 17" dataDxfId="5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93F5E-4FC4-43B5-A00E-AC91EF8D6532}" name="Table14" displayName="Table14" ref="A1:J17" totalsRowShown="0">
  <tableColumns count="10">
    <tableColumn id="1" xr3:uid="{6FB2E222-3258-4CF5-AA96-E86F9622F250}" name="Week 1"/>
    <tableColumn id="2" xr3:uid="{B52D6B7D-5E79-45F2-8DF3-84339BDE49D8}" name="Team 1"/>
    <tableColumn id="3" xr3:uid="{38916115-BD73-478A-A79F-82EB70E80D51}" name="Team 2"/>
    <tableColumn id="4" xr3:uid="{EFCA4B7A-1889-4087-A61B-47CDB1D14619}" name="Team 1 Elo" dataDxfId="50">
      <calculatedColumnFormula array="1">INDEX(Table2[[#All],[Week 1]:[Week 5]],MATCH(Week_1!B2,Table2[Team/Elo],0)+1,MATCH($A$1,Table2[[#Headers],[Week 1]:[Week 5]],0))</calculatedColumnFormula>
    </tableColumn>
    <tableColumn id="5" xr3:uid="{F4304679-2499-4A67-BFB5-81A505F1CD52}" name="Team 2 Elo" dataDxfId="49">
      <calculatedColumnFormula array="1">INDEX(Table2[[#All],[Week 1]:[Week 5]],MATCH(Week_1!C2,Table2[Team/Elo],0)+1,MATCH($A$1,Table2[[#Headers],[Week 1]:[Week 5]],0))</calculatedColumnFormula>
    </tableColumn>
    <tableColumn id="6" xr3:uid="{60A68023-7D99-4194-864C-7F9FEEAD6C38}" name="Predicted">
      <calculatedColumnFormula>IF(D2&gt;E2,B2,C2)</calculatedColumnFormula>
    </tableColumn>
    <tableColumn id="7" xr3:uid="{680944DC-BFAB-4C25-97DA-F69673B9953B}" name="Actual"/>
    <tableColumn id="8" xr3:uid="{BC21DABA-7685-4FD0-9D2C-15AF7DB7E083}" name="Spread">
      <calculatedColumnFormula>(MAX(D2,E2)-MIN(D2,E2))/25</calculatedColumnFormula>
    </tableColumn>
    <tableColumn id="9" xr3:uid="{D419CC25-3067-4600-8A8C-B8E99C925AA2}" name="Win/Loss">
      <calculatedColumnFormula>IF(F2=G2,1,-1)</calculatedColumnFormula>
    </tableColumn>
    <tableColumn id="10" xr3:uid="{C1A3819A-4FC7-4382-9BA2-1C81464D810B}" name="Win Lost A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CF490F-92BE-42CA-9B17-5D19292E1420}" name="Table145" displayName="Table145" ref="A1:J17" totalsRowShown="0">
  <tableColumns count="10">
    <tableColumn id="1" xr3:uid="{38564149-3243-4B6A-B603-0116A425CD94}" name="Week 2"/>
    <tableColumn id="2" xr3:uid="{F1A4285C-25D9-4E88-A1EF-7C249BA486D3}" name="Team 1"/>
    <tableColumn id="3" xr3:uid="{44A9310D-C6EB-4096-BB7A-DF11DDC3268C}" name="Team 2"/>
    <tableColumn id="4" xr3:uid="{3796F7BA-8DA9-4132-8DBE-FF401210A107}" name="Team 1 Elo" dataDxfId="48">
      <calculatedColumnFormula array="1">INDEX(Table2[[#All],[Week 1]:[Week 5]],MATCH(Week_2!B2,Table2[Team/Elo],0)+1,MATCH($A$1,Table2[[#Headers],[Week 1]:[Week 5]],0))</calculatedColumnFormula>
    </tableColumn>
    <tableColumn id="5" xr3:uid="{4330692F-7459-42E5-96F6-3AA56AF05C5C}" name="Team 2 Elo" dataDxfId="47">
      <calculatedColumnFormula array="1">INDEX(Table2[[#All],[Week 1]:[Week 5]],MATCH(Week_2!C2,Table2[Team/Elo],0)+1,MATCH($A$1,Table2[[#Headers],[Week 1]:[Week 5]],0))</calculatedColumnFormula>
    </tableColumn>
    <tableColumn id="6" xr3:uid="{EA65DCE5-705B-424B-A095-0A1BD48C1AEF}" name="Predicted">
      <calculatedColumnFormula>IF(D2&gt;E2,B2,C2)</calculatedColumnFormula>
    </tableColumn>
    <tableColumn id="7" xr3:uid="{8E0621AD-8829-48AB-B193-BF54282B601A}" name="Actual"/>
    <tableColumn id="8" xr3:uid="{1606AB87-3F3F-452D-B87E-AF87D38951D8}" name="Spread">
      <calculatedColumnFormula>(MAX(D2,E2)-MIN(D2,E2))/25</calculatedColumnFormula>
    </tableColumn>
    <tableColumn id="9" xr3:uid="{44CF070C-0F1E-40F2-993E-62A643C41B87}" name="Win/Loss">
      <calculatedColumnFormula>IF(F2=G2,1,-1)</calculatedColumnFormula>
    </tableColumn>
    <tableColumn id="10" xr3:uid="{564759B4-9609-4225-9D9F-32BDDEF35580}" name="Win Lost A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A60BCC-BECB-4166-AC9D-7EE5FFF150A8}" name="Table1456" displayName="Table1456" ref="A1:J17" totalsRowShown="0">
  <tableColumns count="10">
    <tableColumn id="1" xr3:uid="{B0E56716-FA89-46B5-879E-D69010785856}" name="Week 3"/>
    <tableColumn id="2" xr3:uid="{E57BEF60-7529-4E74-93B1-742712D2BDE9}" name="Team 1"/>
    <tableColumn id="3" xr3:uid="{A9CDEF1A-CC4D-41D0-92D9-D2DF49C32200}" name="Team 2"/>
    <tableColumn id="4" xr3:uid="{DD61198F-9226-46BB-96F2-EDFBC55CD99C}" name="Team 1 Elo" dataDxfId="46">
      <calculatedColumnFormula array="1">INDEX(Table2[[#All],[Week 1]:[Week 5]],MATCH(Week_3!B2,Table2[Team/Elo],0)+1,MATCH($A$1,Table2[[#Headers],[Week 1]:[Week 5]],0))</calculatedColumnFormula>
    </tableColumn>
    <tableColumn id="5" xr3:uid="{E691BE3F-F4C2-46A9-B838-72AEA216044D}" name="Team 2 Elo" dataDxfId="45">
      <calculatedColumnFormula array="1">INDEX(Table2[[#All],[Week 1]:[Week 5]],MATCH(Week_3!C2,Table2[Team/Elo],0)+1,MATCH($A$1,Table2[[#Headers],[Week 1]:[Week 5]],0))</calculatedColumnFormula>
    </tableColumn>
    <tableColumn id="6" xr3:uid="{2F1B96B5-0856-4F26-AC48-045C5543D1D1}" name="Predicted">
      <calculatedColumnFormula>IF(D2&gt;E2,B2,C2)</calculatedColumnFormula>
    </tableColumn>
    <tableColumn id="7" xr3:uid="{E92ECEC7-8AA7-42CC-9CC7-74E2CCD6B2D0}" name="Actual"/>
    <tableColumn id="8" xr3:uid="{CFC4EF6D-087D-4030-9001-0587BA0F8D08}" name="Spread">
      <calculatedColumnFormula>(MAX(D2,E2)-MIN(D2,E2))/25</calculatedColumnFormula>
    </tableColumn>
    <tableColumn id="9" xr3:uid="{E6A8EC43-AB24-4A17-8ABE-1BAADC75DA9E}" name="Win/Loss">
      <calculatedColumnFormula>IF(F2=G2,1,-1)</calculatedColumnFormula>
    </tableColumn>
    <tableColumn id="10" xr3:uid="{56DF1AF5-86D8-43D4-86CE-37918740F5E2}" name="Win Lost A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3D1F1D-3938-41D3-B08D-9C7C4A1EC45B}" name="Table18" displayName="Table18" ref="A1:J17" totalsRowShown="0">
  <tableColumns count="10">
    <tableColumn id="1" xr3:uid="{91C079C4-CB55-4EAA-99CB-33B66F78E12D}" name="Week 4"/>
    <tableColumn id="2" xr3:uid="{69A389D1-A960-42B3-8B2F-305437045346}" name="Team 1"/>
    <tableColumn id="3" xr3:uid="{0E9D54BC-CBD4-4B1B-BFE9-C4094667231E}" name="Team 2"/>
    <tableColumn id="4" xr3:uid="{B160AA2E-36BB-4FEF-9169-15A14C7F4BE1}" name="Team 1 Elo">
      <calculatedColumnFormula array="1">INDEX(Table2[[#All],[Week 1]:[Week 5]],MATCH(Week_4!B2,Table2[Team/Elo],0)+1,MATCH($A$1,Table2[[#Headers],[Week 1]:[Week 5]],0))</calculatedColumnFormula>
    </tableColumn>
    <tableColumn id="5" xr3:uid="{444F6DEF-2764-4B31-8D08-01A4DCAC6C68}" name="Team 2 Elo">
      <calculatedColumnFormula array="1">INDEX(Table2[[#All],[Week 1]:[Week 5]],MATCH(Week_4!C2,Table2[Team/Elo],0)+1,MATCH($A$1,Table2[[#Headers],[Week 1]:[Week 5]],0))</calculatedColumnFormula>
    </tableColumn>
    <tableColumn id="6" xr3:uid="{B8B2B855-9066-49FE-85D3-9ED985D23879}" name="Predicted">
      <calculatedColumnFormula>IF(D2&gt;E2,B2,C2)</calculatedColumnFormula>
    </tableColumn>
    <tableColumn id="7" xr3:uid="{727D3032-99ED-48C7-A4DB-911262B0762E}" name="Actual"/>
    <tableColumn id="8" xr3:uid="{7E3F19C0-6896-408B-98F7-FF6069963B43}" name="Spread">
      <calculatedColumnFormula>(MAX(D2,E2)-MIN(D2,E2))/25</calculatedColumnFormula>
    </tableColumn>
    <tableColumn id="9" xr3:uid="{3772C589-012A-4B18-AECF-75B6070185D5}" name="Win/Loss"/>
    <tableColumn id="10" xr3:uid="{47966C2A-8FF9-42DC-9ADD-9B4D5992FF9F}" name="Win Lost A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3D409-BE20-410C-AC05-2899C536D91A}" name="Table1" displayName="Table1" ref="A1:J17" totalsRowShown="0">
  <tableColumns count="10">
    <tableColumn id="1" xr3:uid="{D15F2B65-0227-4D4A-8751-16ECB3308E9B}" name="Week 5"/>
    <tableColumn id="2" xr3:uid="{ADF740CA-F0C0-4594-98A1-25B7901114D4}" name="Team 1"/>
    <tableColumn id="3" xr3:uid="{95D36C27-986E-4224-B57B-07D93601F10B}" name="Team 2"/>
    <tableColumn id="4" xr3:uid="{4C77D0E3-2989-473F-A036-4F6B02CCD5C7}" name="Team 1 Elo">
      <calculatedColumnFormula array="1">INDEX(Table2[[#All],[Week 1]:[Week 5]],MATCH(Week_5!B2,Table2[Team/Elo],0)+1,MATCH($A$1,Table2[[#Headers],[Week 1]:[Week 5]],0))</calculatedColumnFormula>
    </tableColumn>
    <tableColumn id="5" xr3:uid="{3D4FAC29-F22A-4F8E-83C6-B9E01FF9A61D}" name="Team 2 Elo">
      <calculatedColumnFormula array="1">INDEX(Table2[[#All],[Week 1]:[Week 5]],MATCH(Week_5!C2,Table2[Team/Elo],0)+1,MATCH($A$1,Table2[[#Headers],[Week 1]:[Week 5]],0))</calculatedColumnFormula>
    </tableColumn>
    <tableColumn id="6" xr3:uid="{A8F238DB-B962-4FD3-A580-D9B20E3B9803}" name="Predicted">
      <calculatedColumnFormula>IF(D2&gt;E2,B2,C2)</calculatedColumnFormula>
    </tableColumn>
    <tableColumn id="7" xr3:uid="{856337CA-472F-44F0-A5E4-F50C2244F989}" name="Actual"/>
    <tableColumn id="8" xr3:uid="{42DF72FF-EA48-44E9-A0F2-5576445AB21D}" name="Spread">
      <calculatedColumnFormula>(MAX(D2,E2)-MIN(D2,E2))/25</calculatedColumnFormula>
    </tableColumn>
    <tableColumn id="9" xr3:uid="{7047E7BE-ACE8-4309-9D6C-F09F903D04EC}" name="Win/Loss"/>
    <tableColumn id="10" xr3:uid="{565BE26E-956F-4A4D-808A-74CA4CA05E3C}" name="Win Lost A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5FC5286-68AA-482D-BB26-B8C6305A1670}" name="Table116" displayName="Table116" ref="A1:J17" totalsRowShown="0">
  <tableColumns count="10">
    <tableColumn id="1" xr3:uid="{EC725A37-928F-44F8-B6A5-505E3AE3656B}" name="Week 6"/>
    <tableColumn id="2" xr3:uid="{C5B42708-4A8E-48CF-9CCA-5E2AF98E1297}" name="Team 1"/>
    <tableColumn id="3" xr3:uid="{28E0170E-2FE9-40AD-9D6E-DD92A6B023CE}" name="Team 2"/>
    <tableColumn id="4" xr3:uid="{AF369263-CC0E-48C5-993F-C21E8BB5BA40}" name="Team 1 Elo">
      <calculatedColumnFormula array="1">INDEX(Table2[[#All],[Week 1]:[Week 5]],MATCH(Week_5!B2,Table2[Team/Elo],0)+1,MATCH($A$1,Table2[[#Headers],[Week 1]:[Week 5]],0))</calculatedColumnFormula>
    </tableColumn>
    <tableColumn id="5" xr3:uid="{4CF1EA39-B794-4DB0-AEFD-EF3C944084F6}" name="Team 2 Elo">
      <calculatedColumnFormula array="1">INDEX(Table2[[#All],[Week 1]:[Week 6]],MATCH(Week_6!C2,Table2[Team/Elo],0)+1,MATCH($A$1,Table2[[#Headers],[Week 1]:[Week 6]],0))</calculatedColumnFormula>
    </tableColumn>
    <tableColumn id="6" xr3:uid="{D1C33888-3FCB-4750-92D7-F10E3E291451}" name="Predicted">
      <calculatedColumnFormula>IF(D2&gt;E2,B2,C2)</calculatedColumnFormula>
    </tableColumn>
    <tableColumn id="7" xr3:uid="{62E9562D-68EA-45A4-8DE4-63F4FFF2FA72}" name="Actual"/>
    <tableColumn id="8" xr3:uid="{25B2F201-39D1-48EF-95E2-011ADBF24768}" name="Spread">
      <calculatedColumnFormula>(MAX(D2,E2)-MIN(D2,E2))/25</calculatedColumnFormula>
    </tableColumn>
    <tableColumn id="9" xr3:uid="{EF3CD779-8D93-457A-B70D-83C5CAFD17C2}" name="Win/Loss"/>
    <tableColumn id="10" xr3:uid="{AE324A2B-B766-479E-9D8B-B9899C21C8E0}" name="Win Lost A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F34B6D-D0F7-4F33-9893-03E2BFC27BC2}" name="Table6" displayName="Table6" ref="A1:C18" totalsRowShown="0" headerRowDxfId="44" tableBorderDxfId="43">
  <tableColumns count="3">
    <tableColumn id="1" xr3:uid="{A6CB0A6B-E913-4E2C-A6AB-2F0643123F52}" name="$10 "/>
    <tableColumn id="2" xr3:uid="{B961CD02-EAB6-4127-937C-C04B59700931}" name="ML*" dataDxfId="42"/>
    <tableColumn id="3" xr3:uid="{B769AE48-9889-499A-831C-EE31B989A87D}" name="ATS*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A2A0BC-9DD5-4891-A0BF-18EF8431B142}" name="Table611" displayName="Table611" ref="E1:G18" totalsRowShown="0" headerRowDxfId="40" tableBorderDxfId="39">
  <tableColumns count="3">
    <tableColumn id="1" xr3:uid="{018FCBFB-0AB0-4B8C-AE4D-2977A8088154}" name="$100 "/>
    <tableColumn id="2" xr3:uid="{F071C156-17CA-447D-A117-A801FF537B11}" name="ML*" dataDxfId="38"/>
    <tableColumn id="3" xr3:uid="{59969FAF-03BA-427C-89D0-871E3CAB574E}" name="ATS*" dataDxfId="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30FF9E-E9CC-44BE-A983-ACCCED49315A}" name="Table6912" displayName="Table6912" ref="I1:K18" totalsRowShown="0" headerRowDxfId="36" tableBorderDxfId="35">
  <tableColumns count="3">
    <tableColumn id="1" xr3:uid="{BCDF8C38-28FA-4793-B568-306B54CF1C26}" name="$1,000 "/>
    <tableColumn id="2" xr3:uid="{4D8C3E1E-72C2-479E-98F3-FED64263C1FF}" name="ML*" dataDxfId="34"/>
    <tableColumn id="3" xr3:uid="{63B2A386-B473-46F9-AC07-1DFAF58237CA}" name="ATS*" dataDxfId="3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91792E-7CF3-43A4-8ACD-E0027D6BA84E}" name="Table691013" displayName="Table691013" ref="M1:O18" totalsRowShown="0" headerRowDxfId="32" tableBorderDxfId="31">
  <tableColumns count="3">
    <tableColumn id="1" xr3:uid="{574E8D8B-1D39-4337-86A0-CF923AED7572}" name="$10,000 "/>
    <tableColumn id="2" xr3:uid="{4FD225F1-0F57-4428-8321-DD829B21E039}" name="ML*" dataDxfId="30"/>
    <tableColumn id="3" xr3:uid="{7C17B45D-CEEB-41E0-AFDB-EA2D86D6C0D0}" name="ATS*" dataDxfId="2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D9B11E4-7D13-4F6B-885D-F2EF3428274F}" name="Table217" displayName="Table217" ref="A1:R33" totalsRowShown="0" headerRowDxfId="28" headerRowBorderDxfId="27" tableBorderDxfId="26" totalsRowBorderDxfId="25">
  <tableColumns count="18">
    <tableColumn id="1" xr3:uid="{D0A1BA9D-8F3E-4E2D-B36F-8ABC09C1FB5A}" name="Team/Elo" dataDxfId="24"/>
    <tableColumn id="2" xr3:uid="{0721120A-03C0-439D-A417-DEA98B5237A3}" name="Week 1" dataDxfId="23"/>
    <tableColumn id="3" xr3:uid="{69CF9187-2EAE-4701-89A6-84B39B8DD09E}" name="Week 2" dataDxfId="22"/>
    <tableColumn id="4" xr3:uid="{2669EEC9-336B-4CFA-80AF-42D00519D721}" name="Week 3" dataDxfId="21"/>
    <tableColumn id="5" xr3:uid="{22008398-8800-4709-A0EC-1766D921A003}" name="Week 4" dataDxfId="20"/>
    <tableColumn id="6" xr3:uid="{5CA3C481-8C53-416A-944D-87062C72CB33}" name="Week 5" dataDxfId="19"/>
    <tableColumn id="7" xr3:uid="{9FD9100F-2C77-4F38-A251-4CE4688AA6B4}" name="Week 6" dataDxfId="18"/>
    <tableColumn id="8" xr3:uid="{062142D8-6D15-4FB7-863C-E18893A8DC63}" name="Week 7" dataDxfId="17"/>
    <tableColumn id="9" xr3:uid="{CFFDB057-80EB-4DD6-A169-6BB3B087089B}" name="Week 8" dataDxfId="16"/>
    <tableColumn id="10" xr3:uid="{E0C2C961-EA6A-4902-9222-49F68500CD01}" name="Week 9" dataDxfId="15"/>
    <tableColumn id="11" xr3:uid="{8B2E9268-ECA5-4D38-B7B3-5F3C651BEF0A}" name="Week 10" dataDxfId="14"/>
    <tableColumn id="12" xr3:uid="{6381CE0E-3EB6-4A5E-80D0-923AE3326268}" name="Week 11" dataDxfId="13"/>
    <tableColumn id="13" xr3:uid="{B645948F-EB8E-4072-BBA9-A28B8F0B1D43}" name="Week 12" dataDxfId="12"/>
    <tableColumn id="14" xr3:uid="{88CD8564-9644-4932-BDA6-3F5AE009D0B0}" name="Week 13" dataDxfId="11"/>
    <tableColumn id="15" xr3:uid="{EDF29449-FB64-4F3E-94A6-67C4F34D83D2}" name="Week 14" dataDxfId="10"/>
    <tableColumn id="16" xr3:uid="{BADFAB12-5C3D-446C-8223-1D578CFC8C1F}" name="Week 15" dataDxfId="9"/>
    <tableColumn id="17" xr3:uid="{22661D31-B89A-4E6E-AA08-C71A57501A62}" name="Week 16" dataDxfId="8"/>
    <tableColumn id="18" xr3:uid="{293D26C2-20DB-4E4D-8E2C-2917045FCEE3}" name="Week 17" dataDxfId="7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367544-1C3B-4B51-89B1-3045DCD19303}" name="Table21" displayName="Table21" ref="A1:H17" totalsRowShown="0">
  <tableColumns count="8">
    <tableColumn id="1" xr3:uid="{E1D0F2BF-8F69-4CFB-91A7-B1ABA972EDD5}" name="Week 1"/>
    <tableColumn id="2" xr3:uid="{0DAE7093-E47A-45AA-BFF3-680F21741563}" name="Team 1"/>
    <tableColumn id="3" xr3:uid="{D05421A7-FE05-414D-B2E0-EC008BBD1D0F}" name="Team 2"/>
    <tableColumn id="4" xr3:uid="{7319A418-E97C-4785-9AE6-4BAEE67DA104}" name="Team 1 Elo"/>
    <tableColumn id="5" xr3:uid="{116231F9-3B62-482B-998E-32B679AE1555}" name="Team 2 Elo"/>
    <tableColumn id="6" xr3:uid="{2317CE34-E72F-4E00-BC99-C24A3B8AA5AC}" name="Predicted"/>
    <tableColumn id="7" xr3:uid="{4F161D0E-0CBC-40DD-B057-B78425F20F78}" name="Actual"/>
    <tableColumn id="9" xr3:uid="{C03F9261-32FA-4A4C-B6CF-B2C78FD100E1}" name="Win/Los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02E4F16-22B2-4FDB-835F-CA8410FE2B1A}" name="Table14519" displayName="Table14519" ref="A1:H17" totalsRowShown="0">
  <tableColumns count="8">
    <tableColumn id="1" xr3:uid="{3AAD88BA-59D3-41A0-86B5-60BDEEB9D30F}" name="Week 2"/>
    <tableColumn id="2" xr3:uid="{ED2272F5-3C6B-48F3-9B70-6FEA9E9D3E7E}" name="Team 1"/>
    <tableColumn id="3" xr3:uid="{D0AC83F0-A420-4F42-9CDB-D0E52B281104}" name="Team 2"/>
    <tableColumn id="4" xr3:uid="{E5C198B2-31F3-4EF3-9DA0-CBCE0C12996E}" name="Team 1 Elo" dataDxfId="6">
      <calculatedColumnFormula>INDEX(Table217[#All],MATCH(B2,Table217[[#All],[Team/Elo]],0),MATCH(Table14519[[#Headers],[Week 2]],Table217[#Headers],0))</calculatedColumnFormula>
    </tableColumn>
    <tableColumn id="5" xr3:uid="{5AC48A37-9481-48B6-B028-1B250A85B38B}" name="Team 2 Elo" dataDxfId="5">
      <calculatedColumnFormula>INDEX(Table217[#All],MATCH(C2,Table217[[#All],[Team/Elo]],0),MATCH(Table14519[[#Headers],[Week 2]],Table217[#Headers],0))</calculatedColumnFormula>
    </tableColumn>
    <tableColumn id="6" xr3:uid="{97110CDD-E184-49C0-8925-224EB67A5063}" name="Predicted">
      <calculatedColumnFormula>IF(D2&gt;E2,B2,C2)</calculatedColumnFormula>
    </tableColumn>
    <tableColumn id="7" xr3:uid="{D74C2B43-D1C2-4E7D-BEE1-61AF02727FDF}" name="Actual"/>
    <tableColumn id="8" xr3:uid="{A053A85E-4A3C-4A5A-91BC-73DC24AEEB04}" name="Win/Loss">
      <calculatedColumnFormula>IF(F2=G2,1,-1)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BEA84F6-D733-454E-9D80-612125EE4909}" name="Table145620" displayName="Table145620" ref="A1:H17" totalsRowShown="0">
  <tableColumns count="8">
    <tableColumn id="1" xr3:uid="{91AB6D84-357E-429F-B250-D90D95D872CB}" name="Week 3"/>
    <tableColumn id="2" xr3:uid="{43926CEC-629B-4A8F-879B-7CD053AC9404}" name="Team 1"/>
    <tableColumn id="3" xr3:uid="{B6C8CCFD-2B5B-49FE-A8DF-DAC968ED4C24}" name="Team 2"/>
    <tableColumn id="4" xr3:uid="{70A6DF33-5AC2-4A7B-BD50-542BBB1F28A5}" name="Team 1 Elo" dataDxfId="4">
      <calculatedColumnFormula>INDEX(Table217[#All],MATCH(B2,Table217[[#All],[Team/Elo]],0),MATCH(Table145620[[#Headers],[Week 3]],Table217[#Headers],0))</calculatedColumnFormula>
    </tableColumn>
    <tableColumn id="5" xr3:uid="{F31DEDAA-5BBE-44DD-BAE9-D3D0BAC77924}" name="Team 2 Elo" dataDxfId="3">
      <calculatedColumnFormula>INDEX(Table217[#All],MATCH(C2,Table217[[#All],[Team/Elo]],0),MATCH(Table145620[[#Headers],[Week 3]],Table217[#Headers],0))</calculatedColumnFormula>
    </tableColumn>
    <tableColumn id="6" xr3:uid="{8DE1F2B8-0261-4964-8C83-744DCF67A5BE}" name="Predicted">
      <calculatedColumnFormula>IF(D2&gt;E2,B2,C2)</calculatedColumnFormula>
    </tableColumn>
    <tableColumn id="7" xr3:uid="{C80687C9-1780-4536-AD21-A092A3EC3773}" name="Actual"/>
    <tableColumn id="9" xr3:uid="{C9D3D1BB-B4E2-4D00-9C08-ABAAB825032A}" name="Win/Loss">
      <calculatedColumnFormula>IF(F2=G2,1,-1)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844EAB8-ADEE-4AA1-93F0-A4780649161F}" name="Table1821" displayName="Table1821" ref="A1:H17" totalsRowShown="0">
  <tableColumns count="8">
    <tableColumn id="1" xr3:uid="{468758C7-7634-4DB8-842E-80A9597FE99A}" name="Week 4"/>
    <tableColumn id="2" xr3:uid="{BE451711-45ED-40E2-B7C1-978A9DFC9FC3}" name="Team 1"/>
    <tableColumn id="3" xr3:uid="{9F5C5FBA-59C8-4196-8D06-FA615D372FE8}" name="Team 2"/>
    <tableColumn id="4" xr3:uid="{23F4ABAD-5432-4697-B71A-22CCEA469026}" name="Team 1 Elo">
      <calculatedColumnFormula array="1">INDEX(Table2[[#All],[Week 1]:[Week 5]],MATCH(Week_4!B2,Table2[Team/Elo],0)+1,MATCH($A$1,Table2[[#Headers],[Week 1]:[Week 5]],0))</calculatedColumnFormula>
    </tableColumn>
    <tableColumn id="5" xr3:uid="{8789A62F-9877-4833-A73D-1BFF850BED92}" name="Team 2 Elo">
      <calculatedColumnFormula array="1">INDEX(Table2[[#All],[Week 1]:[Week 5]],MATCH(Week_4!C2,Table2[Team/Elo],0)+1,MATCH($A$1,Table2[[#Headers],[Week 1]:[Week 5]],0))</calculatedColumnFormula>
    </tableColumn>
    <tableColumn id="6" xr3:uid="{380C8F97-F239-4187-9718-13B9B48C0E65}" name="Predicted">
      <calculatedColumnFormula>IF(D2&gt;E2,B2,C2)</calculatedColumnFormula>
    </tableColumn>
    <tableColumn id="7" xr3:uid="{AA71A656-42E3-48FD-A54C-A638186271F3}" name="Actual"/>
    <tableColumn id="9" xr3:uid="{BE8186FA-91B2-4312-8DD5-9E2F6BD1BB79}" name="Win/Los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6D5F2CC-E116-48AC-ADE3-43ECE25CE560}" name="Table124" displayName="Table124" ref="A1:H17" totalsRowShown="0">
  <tableColumns count="8">
    <tableColumn id="1" xr3:uid="{2D101E69-5ECF-4985-8C97-F5EB370C28CF}" name="Week 5"/>
    <tableColumn id="2" xr3:uid="{D81F125E-FD6C-40C9-B4E0-1FC1B6010486}" name="Team 1"/>
    <tableColumn id="3" xr3:uid="{E1FEC90D-249C-495E-BDE9-9BC43D0B78A0}" name="Team 2"/>
    <tableColumn id="4" xr3:uid="{CC460456-E027-49FC-AA42-D11E138FD6C4}" name="Team 1 Elo">
      <calculatedColumnFormula array="1">INDEX(Table2[[#All],[Week 1]:[Week 5]],MATCH(Week_5!B2,Table2[Team/Elo],0)+1,MATCH($A$1,Table2[[#Headers],[Week 1]:[Week 5]],0))</calculatedColumnFormula>
    </tableColumn>
    <tableColumn id="5" xr3:uid="{5D6AD814-1E4B-4DDC-976E-652CDC775FE6}" name="Team 2 Elo">
      <calculatedColumnFormula array="1">INDEX(Table2[[#All],[Week 1]:[Week 5]],MATCH(Week_5!C2,Table2[Team/Elo],0)+1,MATCH($A$1,Table2[[#Headers],[Week 1]:[Week 5]],0))</calculatedColumnFormula>
    </tableColumn>
    <tableColumn id="6" xr3:uid="{884783EA-AC36-412F-B70A-12B92214A7E2}" name="Predicted">
      <calculatedColumnFormula>IF(D2&gt;E2,B2,C2)</calculatedColumnFormula>
    </tableColumn>
    <tableColumn id="7" xr3:uid="{6A0442B6-27A8-45CA-A1EE-A6FBB1CB4C86}" name="Actual"/>
    <tableColumn id="9" xr3:uid="{207A95A1-01C2-4087-8D02-DAADBD1E64C6}" name="Win/Los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3AC3B7D-2338-4BF1-AB75-FA8D9BF270DB}" name="Table11625" displayName="Table11625" ref="A1:H17" totalsRowShown="0">
  <tableColumns count="8">
    <tableColumn id="1" xr3:uid="{D6931759-45ED-4F5E-B171-C80624405B4D}" name="Week 6"/>
    <tableColumn id="2" xr3:uid="{BD29EEBF-A984-4CB7-939F-1010F499032C}" name="Team 1"/>
    <tableColumn id="3" xr3:uid="{F8C114DF-A374-4E21-9469-5EDC9CE9E9B0}" name="Team 2"/>
    <tableColumn id="4" xr3:uid="{892E9F53-A8B8-4049-99E2-D5875F703528}" name="Team 1 Elo">
      <calculatedColumnFormula array="1">INDEX(Table2[[#All],[Week 1]:[Week 5]],MATCH(Week_5!B2,Table2[Team/Elo],0)+1,MATCH($A$1,Table2[[#Headers],[Week 1]:[Week 5]],0))</calculatedColumnFormula>
    </tableColumn>
    <tableColumn id="5" xr3:uid="{9919DC93-C4A6-4F9E-890C-E9C814FCF74F}" name="Team 2 Elo">
      <calculatedColumnFormula array="1">INDEX(Table2[[#All],[Week 1]:[Week 6]],MATCH(Week_6!C2,Table2[Team/Elo],0)+1,MATCH($A$1,Table2[[#Headers],[Week 1]:[Week 6]],0))</calculatedColumnFormula>
    </tableColumn>
    <tableColumn id="6" xr3:uid="{E08E6D8A-3F28-4030-AE05-9AFA6E83EDC7}" name="Predicted">
      <calculatedColumnFormula>IF(D2&gt;E2,B2,C2)</calculatedColumnFormula>
    </tableColumn>
    <tableColumn id="7" xr3:uid="{96FABE9C-A0CF-4603-BF53-47800DC8EF26}" name="Actual"/>
    <tableColumn id="9" xr3:uid="{F0705C6F-2962-4AE7-ACD4-B8041AB73C39}" name="Win/Los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1E2BE3F-D7B2-40DA-A411-1FDDA9F05E0F}" name="Table61123" displayName="Table61123" ref="A1:B18" totalsRowShown="0" headerRowDxfId="2" tableBorderDxfId="1">
  <tableColumns count="2">
    <tableColumn id="1" xr3:uid="{2BE2A265-30F3-445D-881E-3ABC7A0143D7}" name="$100 "/>
    <tableColumn id="2" xr3:uid="{643A1361-3E7B-4451-8580-A4705DA196B0}" name="ML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FF12-AF9F-4382-AB69-726B34BE6D2A}">
  <dimension ref="A1:R33"/>
  <sheetViews>
    <sheetView workbookViewId="0">
      <selection activeCell="G19" sqref="G19"/>
    </sheetView>
  </sheetViews>
  <sheetFormatPr defaultRowHeight="15" x14ac:dyDescent="0.25"/>
  <cols>
    <col min="1" max="1" width="14.140625" customWidth="1"/>
    <col min="2" max="10" width="9.7109375" customWidth="1"/>
    <col min="11" max="18" width="10.7109375" customWidth="1"/>
  </cols>
  <sheetData>
    <row r="1" spans="1:18" x14ac:dyDescent="0.25">
      <c r="A1" s="1" t="s">
        <v>5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8" t="s">
        <v>18</v>
      </c>
      <c r="B2" s="4">
        <v>1658</v>
      </c>
      <c r="C2" s="4">
        <v>1671</v>
      </c>
      <c r="D2" s="4">
        <v>1682</v>
      </c>
      <c r="E2" s="4">
        <v>1729</v>
      </c>
      <c r="F2" s="4">
        <v>1737</v>
      </c>
      <c r="G2" s="4">
        <v>1688</v>
      </c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25">
      <c r="A3" s="8" t="s">
        <v>19</v>
      </c>
      <c r="B3" s="4">
        <v>1647</v>
      </c>
      <c r="C3" s="4">
        <v>1667</v>
      </c>
      <c r="D3" s="4">
        <v>1675</v>
      </c>
      <c r="E3" s="4">
        <v>1638</v>
      </c>
      <c r="F3" s="4">
        <v>1648</v>
      </c>
      <c r="G3" s="4">
        <v>1649</v>
      </c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25">
      <c r="A4" s="8" t="s">
        <v>20</v>
      </c>
      <c r="B4" s="4">
        <v>1614</v>
      </c>
      <c r="C4" s="4">
        <v>1629</v>
      </c>
      <c r="D4" s="4">
        <v>1594</v>
      </c>
      <c r="E4" s="4">
        <v>1577</v>
      </c>
      <c r="F4" s="4">
        <v>1584</v>
      </c>
      <c r="G4" s="4">
        <v>1591</v>
      </c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8" x14ac:dyDescent="0.25">
      <c r="A5" s="8" t="s">
        <v>21</v>
      </c>
      <c r="B5" s="4">
        <v>1556</v>
      </c>
      <c r="C5" s="4">
        <v>1596</v>
      </c>
      <c r="D5" s="4">
        <v>1609</v>
      </c>
      <c r="E5" s="4">
        <v>1636</v>
      </c>
      <c r="F5" s="4">
        <v>1655</v>
      </c>
      <c r="G5" s="4">
        <v>1655</v>
      </c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x14ac:dyDescent="0.25">
      <c r="A6" s="8" t="s">
        <v>22</v>
      </c>
      <c r="B6" s="4">
        <v>1573</v>
      </c>
      <c r="C6" s="4">
        <v>1588</v>
      </c>
      <c r="D6" s="4">
        <v>1598</v>
      </c>
      <c r="E6" s="4">
        <v>1603</v>
      </c>
      <c r="F6" s="4">
        <v>1603</v>
      </c>
      <c r="G6" s="4">
        <v>1619</v>
      </c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18" x14ac:dyDescent="0.25">
      <c r="A7" s="8" t="s">
        <v>23</v>
      </c>
      <c r="B7" s="4">
        <v>1548</v>
      </c>
      <c r="C7" s="4">
        <v>1586</v>
      </c>
      <c r="D7" s="4">
        <v>1610</v>
      </c>
      <c r="E7" s="4">
        <v>1629</v>
      </c>
      <c r="F7" s="4">
        <v>1639</v>
      </c>
      <c r="G7" s="4">
        <v>1640</v>
      </c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8" t="s">
        <v>24</v>
      </c>
      <c r="B8" s="4">
        <v>1601</v>
      </c>
      <c r="C8" s="4">
        <v>1575</v>
      </c>
      <c r="D8" s="4">
        <v>1597</v>
      </c>
      <c r="E8" s="4">
        <v>1616</v>
      </c>
      <c r="F8" s="4">
        <v>1595</v>
      </c>
      <c r="G8" s="4">
        <v>1524</v>
      </c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8" t="s">
        <v>25</v>
      </c>
      <c r="B9" s="4">
        <v>1552</v>
      </c>
      <c r="C9" s="4">
        <v>1571</v>
      </c>
      <c r="D9" s="4">
        <v>1569</v>
      </c>
      <c r="E9" s="4">
        <v>1581</v>
      </c>
      <c r="F9" s="4">
        <v>1577</v>
      </c>
      <c r="G9" s="4">
        <v>1577</v>
      </c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25">
      <c r="A10" s="8" t="s">
        <v>26</v>
      </c>
      <c r="B10" s="4">
        <v>1549</v>
      </c>
      <c r="C10" s="4">
        <v>1564</v>
      </c>
      <c r="D10" s="4">
        <v>1577</v>
      </c>
      <c r="E10" s="4">
        <v>1580</v>
      </c>
      <c r="F10" s="4">
        <v>1580</v>
      </c>
      <c r="G10" s="4">
        <v>1622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  <row r="11" spans="1:18" x14ac:dyDescent="0.25">
      <c r="A11" s="8" t="s">
        <v>27</v>
      </c>
      <c r="B11" s="4">
        <v>1533</v>
      </c>
      <c r="C11" s="4">
        <v>1561</v>
      </c>
      <c r="D11" s="4">
        <v>1582</v>
      </c>
      <c r="E11" s="4">
        <v>1599</v>
      </c>
      <c r="F11" s="4">
        <v>1619</v>
      </c>
      <c r="G11" s="4">
        <v>1583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18" x14ac:dyDescent="0.25">
      <c r="A12" s="8" t="s">
        <v>28</v>
      </c>
      <c r="B12" s="4">
        <v>1541</v>
      </c>
      <c r="C12" s="4">
        <v>1552</v>
      </c>
      <c r="D12" s="4">
        <v>1587</v>
      </c>
      <c r="E12" s="4">
        <v>1580</v>
      </c>
      <c r="F12" s="4">
        <v>1585</v>
      </c>
      <c r="G12" s="4">
        <v>1603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1:18" x14ac:dyDescent="0.25">
      <c r="A13" s="8" t="s">
        <v>29</v>
      </c>
      <c r="B13" s="4">
        <v>1561</v>
      </c>
      <c r="C13" s="4">
        <v>1547</v>
      </c>
      <c r="D13" s="4">
        <v>1567</v>
      </c>
      <c r="E13" s="4">
        <v>1554</v>
      </c>
      <c r="F13" s="4">
        <v>1530</v>
      </c>
      <c r="G13" s="4">
        <v>1523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x14ac:dyDescent="0.25">
      <c r="A14" s="8" t="s">
        <v>30</v>
      </c>
      <c r="B14" s="4">
        <v>1526</v>
      </c>
      <c r="C14" s="4">
        <v>1545</v>
      </c>
      <c r="D14" s="4">
        <v>1545</v>
      </c>
      <c r="E14" s="4">
        <v>1571</v>
      </c>
      <c r="F14" s="4">
        <v>1544</v>
      </c>
      <c r="G14" s="4">
        <v>1551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x14ac:dyDescent="0.25">
      <c r="A15" s="8" t="s">
        <v>31</v>
      </c>
      <c r="B15" s="4">
        <v>1544</v>
      </c>
      <c r="C15" s="4">
        <v>1525</v>
      </c>
      <c r="D15" s="4">
        <v>1478</v>
      </c>
      <c r="E15" s="4">
        <v>1473</v>
      </c>
      <c r="F15" s="4">
        <v>1497</v>
      </c>
      <c r="G15" s="4">
        <v>1491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1:18" x14ac:dyDescent="0.25">
      <c r="A16" s="8" t="s">
        <v>32</v>
      </c>
      <c r="B16" s="4">
        <v>1540</v>
      </c>
      <c r="C16" s="4">
        <v>1519</v>
      </c>
      <c r="D16" s="4">
        <v>1535</v>
      </c>
      <c r="E16" s="4">
        <v>1558</v>
      </c>
      <c r="F16" s="4">
        <v>1581</v>
      </c>
      <c r="G16" s="4">
        <v>1570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18" x14ac:dyDescent="0.25">
      <c r="A17" s="8" t="s">
        <v>33</v>
      </c>
      <c r="B17" s="4">
        <v>1525</v>
      </c>
      <c r="C17" s="4">
        <v>1502</v>
      </c>
      <c r="D17" s="4">
        <v>1527</v>
      </c>
      <c r="E17" s="4">
        <v>1549</v>
      </c>
      <c r="F17" s="4">
        <v>1572</v>
      </c>
      <c r="G17" s="4">
        <v>1541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1:18" x14ac:dyDescent="0.25">
      <c r="A18" s="8" t="s">
        <v>34</v>
      </c>
      <c r="B18" s="4">
        <v>1548</v>
      </c>
      <c r="C18" s="4">
        <v>1500</v>
      </c>
      <c r="D18" s="4">
        <v>1472</v>
      </c>
      <c r="E18" s="4">
        <v>1468</v>
      </c>
      <c r="F18" s="4">
        <v>1496</v>
      </c>
      <c r="G18" s="4">
        <v>1480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1:18" x14ac:dyDescent="0.25">
      <c r="A19" s="8" t="s">
        <v>35</v>
      </c>
      <c r="B19" s="4">
        <v>1465</v>
      </c>
      <c r="C19" s="4">
        <v>1498</v>
      </c>
      <c r="D19" s="4">
        <v>1522</v>
      </c>
      <c r="E19" s="4">
        <v>1500</v>
      </c>
      <c r="F19" s="4">
        <v>1481</v>
      </c>
      <c r="G19" s="4">
        <v>1509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r="20" spans="1:18" x14ac:dyDescent="0.25">
      <c r="A20" s="8" t="s">
        <v>36</v>
      </c>
      <c r="B20" s="4">
        <v>1501</v>
      </c>
      <c r="C20" s="4">
        <v>1487</v>
      </c>
      <c r="D20" s="4">
        <v>1469</v>
      </c>
      <c r="E20" s="4">
        <v>1456</v>
      </c>
      <c r="F20" s="4">
        <v>1434</v>
      </c>
      <c r="G20" s="4">
        <v>1459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</row>
    <row r="21" spans="1:18" x14ac:dyDescent="0.25">
      <c r="A21" s="8" t="s">
        <v>37</v>
      </c>
      <c r="B21" s="4">
        <v>1466</v>
      </c>
      <c r="C21" s="4">
        <v>1485</v>
      </c>
      <c r="D21" s="4">
        <v>1522</v>
      </c>
      <c r="E21" s="4">
        <v>1506</v>
      </c>
      <c r="F21" s="4">
        <v>1495</v>
      </c>
      <c r="G21" s="4">
        <v>1540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</row>
    <row r="22" spans="1:18" x14ac:dyDescent="0.25">
      <c r="A22" s="8" t="s">
        <v>38</v>
      </c>
      <c r="B22" s="4">
        <v>1499</v>
      </c>
      <c r="C22" s="4">
        <v>1480</v>
      </c>
      <c r="D22" s="4">
        <v>1483</v>
      </c>
      <c r="E22" s="4">
        <v>1460</v>
      </c>
      <c r="F22" s="4">
        <v>1447</v>
      </c>
      <c r="G22" s="4">
        <v>1416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</row>
    <row r="23" spans="1:18" x14ac:dyDescent="0.25">
      <c r="A23" s="8" t="s">
        <v>39</v>
      </c>
      <c r="B23" s="4">
        <v>1485</v>
      </c>
      <c r="C23" s="4">
        <v>1479</v>
      </c>
      <c r="D23" s="4">
        <v>1463</v>
      </c>
      <c r="E23" s="4">
        <v>1452</v>
      </c>
      <c r="F23" s="4">
        <v>1485</v>
      </c>
      <c r="G23" s="4">
        <v>1485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</row>
    <row r="24" spans="1:18" x14ac:dyDescent="0.25">
      <c r="A24" s="8" t="s">
        <v>40</v>
      </c>
      <c r="B24" s="4">
        <v>1496</v>
      </c>
      <c r="C24" s="4">
        <v>1476</v>
      </c>
      <c r="D24" s="4">
        <v>1491</v>
      </c>
      <c r="E24" s="4">
        <v>1507</v>
      </c>
      <c r="F24" s="4">
        <v>1539</v>
      </c>
      <c r="G24" s="4">
        <v>1563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</row>
    <row r="25" spans="1:18" x14ac:dyDescent="0.25">
      <c r="A25" s="8" t="s">
        <v>41</v>
      </c>
      <c r="B25" s="4">
        <v>1462</v>
      </c>
      <c r="C25" s="4">
        <v>1471</v>
      </c>
      <c r="D25" s="4">
        <v>1457</v>
      </c>
      <c r="E25" s="4">
        <v>1426</v>
      </c>
      <c r="F25" s="4">
        <v>1454</v>
      </c>
      <c r="G25" s="4">
        <v>1450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1:18" x14ac:dyDescent="0.25">
      <c r="A26" s="8" t="s">
        <v>42</v>
      </c>
      <c r="B26" s="4">
        <v>1456</v>
      </c>
      <c r="C26" s="4">
        <v>1438</v>
      </c>
      <c r="D26" s="4">
        <v>1419</v>
      </c>
      <c r="E26" s="4">
        <v>1391</v>
      </c>
      <c r="F26" s="4">
        <v>1364</v>
      </c>
      <c r="G26" s="4">
        <v>1345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</row>
    <row r="27" spans="1:18" x14ac:dyDescent="0.25">
      <c r="A27" s="8" t="s">
        <v>43</v>
      </c>
      <c r="B27" s="4">
        <v>1453</v>
      </c>
      <c r="C27" s="4">
        <v>1438</v>
      </c>
      <c r="D27" s="4">
        <v>1419</v>
      </c>
      <c r="E27" s="4">
        <v>1437</v>
      </c>
      <c r="F27" s="4">
        <v>1421</v>
      </c>
      <c r="G27" s="4">
        <v>1421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</row>
    <row r="28" spans="1:18" x14ac:dyDescent="0.25">
      <c r="A28" s="8" t="s">
        <v>44</v>
      </c>
      <c r="B28" s="4">
        <v>1383</v>
      </c>
      <c r="C28" s="4">
        <v>1417</v>
      </c>
      <c r="D28" s="4">
        <v>1416</v>
      </c>
      <c r="E28" s="4">
        <v>1379</v>
      </c>
      <c r="F28" s="4">
        <v>1364</v>
      </c>
      <c r="G28" s="4">
        <v>1347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</row>
    <row r="29" spans="1:18" x14ac:dyDescent="0.25">
      <c r="A29" s="8" t="s">
        <v>45</v>
      </c>
      <c r="B29" s="4">
        <v>1428</v>
      </c>
      <c r="C29" s="4">
        <v>1415</v>
      </c>
      <c r="D29" s="4">
        <v>1396</v>
      </c>
      <c r="E29" s="4">
        <v>1423</v>
      </c>
      <c r="F29" s="4">
        <v>1458</v>
      </c>
      <c r="G29" s="4">
        <v>1484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</row>
    <row r="30" spans="1:18" x14ac:dyDescent="0.25">
      <c r="A30" s="8" t="s">
        <v>46</v>
      </c>
      <c r="B30" s="4">
        <v>1435</v>
      </c>
      <c r="C30" s="4">
        <v>1414</v>
      </c>
      <c r="D30" s="4">
        <v>1411</v>
      </c>
      <c r="E30" s="4">
        <v>1451</v>
      </c>
      <c r="F30" s="4">
        <v>1438</v>
      </c>
      <c r="G30" s="4">
        <v>1502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</row>
    <row r="31" spans="1:18" x14ac:dyDescent="0.25">
      <c r="A31" s="8" t="s">
        <v>47</v>
      </c>
      <c r="B31" s="4">
        <v>1372</v>
      </c>
      <c r="C31" s="4">
        <v>1408</v>
      </c>
      <c r="D31" s="4">
        <v>1390</v>
      </c>
      <c r="E31" s="4">
        <v>1369</v>
      </c>
      <c r="F31" s="4">
        <v>1364</v>
      </c>
      <c r="G31" s="4">
        <v>1348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</row>
    <row r="32" spans="1:18" x14ac:dyDescent="0.25">
      <c r="A32" s="8" t="s">
        <v>48</v>
      </c>
      <c r="B32" s="4">
        <v>1419</v>
      </c>
      <c r="C32" s="4">
        <v>1405</v>
      </c>
      <c r="D32" s="4">
        <v>1392</v>
      </c>
      <c r="E32" s="4">
        <v>1366</v>
      </c>
      <c r="F32" s="4">
        <v>1354</v>
      </c>
      <c r="G32" s="4">
        <v>1344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</row>
    <row r="33" spans="1:18" x14ac:dyDescent="0.25">
      <c r="A33" s="9" t="s">
        <v>49</v>
      </c>
      <c r="B33" s="4">
        <v>1390</v>
      </c>
      <c r="C33" s="4">
        <v>1379</v>
      </c>
      <c r="D33" s="4">
        <v>1375</v>
      </c>
      <c r="E33" s="4">
        <v>1379</v>
      </c>
      <c r="F33" s="4">
        <v>1402</v>
      </c>
      <c r="G33" s="6">
        <v>1382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C418-6EA9-4950-92FC-88FE1E2E9445}">
  <dimension ref="A1"/>
  <sheetViews>
    <sheetView workbookViewId="0">
      <selection activeCell="U19" sqref="U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B42E-FEBD-43E6-96F4-CFA98B974872}">
  <dimension ref="A1:M31"/>
  <sheetViews>
    <sheetView workbookViewId="0">
      <selection sqref="A1:M26"/>
    </sheetView>
  </sheetViews>
  <sheetFormatPr defaultRowHeight="15" x14ac:dyDescent="0.25"/>
  <cols>
    <col min="1" max="1" width="17.42578125" bestFit="1" customWidth="1"/>
    <col min="2" max="2" width="11" bestFit="1" customWidth="1"/>
    <col min="3" max="3" width="11.5703125" bestFit="1" customWidth="1"/>
    <col min="4" max="4" width="15.42578125" bestFit="1" customWidth="1"/>
    <col min="5" max="5" width="10.42578125" bestFit="1" customWidth="1"/>
    <col min="6" max="6" width="9.7109375" bestFit="1" customWidth="1"/>
    <col min="7" max="7" width="11.5703125" bestFit="1" customWidth="1"/>
    <col min="8" max="8" width="7.140625" bestFit="1" customWidth="1"/>
    <col min="9" max="9" width="9.28515625" bestFit="1" customWidth="1"/>
    <col min="10" max="10" width="12.42578125" bestFit="1" customWidth="1"/>
    <col min="12" max="12" width="34.28515625" bestFit="1" customWidth="1"/>
    <col min="13" max="13" width="10.85546875" bestFit="1" customWidth="1"/>
  </cols>
  <sheetData>
    <row r="1" spans="1:13" x14ac:dyDescent="0.25">
      <c r="A1" s="1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74</v>
      </c>
      <c r="I1" t="s">
        <v>56</v>
      </c>
      <c r="J1" t="s">
        <v>76</v>
      </c>
    </row>
    <row r="2" spans="1:13" x14ac:dyDescent="0.25">
      <c r="A2" t="s">
        <v>60</v>
      </c>
      <c r="B2" t="s">
        <v>36</v>
      </c>
      <c r="C2" t="s">
        <v>18</v>
      </c>
      <c r="D2" cm="1">
        <f t="array" ref="D2">INDEX(Table2[[#All],[Week 1]:[Week 5]],MATCH(Week_1!B2,Table2[Team/Elo],0)+1,MATCH($A$1,Table2[[#Headers],[Week 1]:[Week 5]],0))</f>
        <v>1501</v>
      </c>
      <c r="E2" cm="1">
        <f t="array" ref="E2">INDEX(Table2[[#All],[Week 1]:[Week 5]],MATCH(Week_1!C2,Table2[Team/Elo],0)+1,MATCH($A$1,Table2[[#Headers],[Week 1]:[Week 5]],0))</f>
        <v>1658</v>
      </c>
      <c r="F2" t="str">
        <f>IF(D2&gt;E2,B2,C2)</f>
        <v>Chiefs</v>
      </c>
      <c r="G2" t="s">
        <v>18</v>
      </c>
      <c r="H2">
        <f t="shared" ref="H2:H15" si="0">(MAX(D2,E2)-MIN(D2,E2))/25</f>
        <v>6.28</v>
      </c>
      <c r="I2">
        <f t="shared" ref="I2:I15" si="1">IF(F2=G2,1,-1)</f>
        <v>1</v>
      </c>
      <c r="J2">
        <v>1</v>
      </c>
    </row>
    <row r="3" spans="1:13" x14ac:dyDescent="0.25">
      <c r="A3" t="s">
        <v>61</v>
      </c>
      <c r="B3" t="s">
        <v>42</v>
      </c>
      <c r="C3" t="s">
        <v>27</v>
      </c>
      <c r="D3" cm="1">
        <f t="array" ref="D3">INDEX(Table2[[#All],[Week 1]:[Week 5]],MATCH(Week_1!B3,Table2[Team/Elo],0)+1,MATCH($A$1,Table2[[#Headers],[Week 1]:[Week 5]],0))</f>
        <v>1456</v>
      </c>
      <c r="E3" cm="1">
        <f t="array" ref="E3">INDEX(Table2[[#All],[Week 1]:[Week 5]],MATCH(Week_1!C3,Table2[Team/Elo],0)+1,MATCH($A$1,Table2[[#Headers],[Week 1]:[Week 5]],0))</f>
        <v>1533</v>
      </c>
      <c r="F3" t="str">
        <f t="shared" ref="F3:F15" si="2">IF(D3&gt;E3,B3,C3)</f>
        <v>Bills</v>
      </c>
      <c r="G3" t="s">
        <v>27</v>
      </c>
      <c r="H3">
        <f t="shared" si="0"/>
        <v>3.08</v>
      </c>
      <c r="I3">
        <f t="shared" si="1"/>
        <v>1</v>
      </c>
      <c r="J3">
        <v>1</v>
      </c>
    </row>
    <row r="4" spans="1:13" x14ac:dyDescent="0.25">
      <c r="A4" t="s">
        <v>62</v>
      </c>
      <c r="B4" t="s">
        <v>21</v>
      </c>
      <c r="C4" t="s">
        <v>31</v>
      </c>
      <c r="D4" cm="1">
        <f t="array" ref="D4">INDEX(Table2[[#All],[Week 1]:[Week 5]],MATCH(Week_1!B4,Table2[Team/Elo],0)+1,MATCH($A$1,Table2[[#Headers],[Week 1]:[Week 5]],0))</f>
        <v>1556</v>
      </c>
      <c r="E4" cm="1">
        <f t="array" ref="E4">INDEX(Table2[[#All],[Week 1]:[Week 5]],MATCH(Week_1!C4,Table2[Team/Elo],0)+1,MATCH($A$1,Table2[[#Headers],[Week 1]:[Week 5]],0))</f>
        <v>1544</v>
      </c>
      <c r="F4" t="str">
        <f t="shared" si="2"/>
        <v>Packers</v>
      </c>
      <c r="G4" t="s">
        <v>21</v>
      </c>
      <c r="H4">
        <f t="shared" si="0"/>
        <v>0.48</v>
      </c>
      <c r="I4">
        <f t="shared" si="1"/>
        <v>1</v>
      </c>
      <c r="J4">
        <v>1</v>
      </c>
      <c r="L4" t="s">
        <v>80</v>
      </c>
    </row>
    <row r="5" spans="1:13" x14ac:dyDescent="0.25">
      <c r="A5" t="s">
        <v>63</v>
      </c>
      <c r="B5" t="s">
        <v>34</v>
      </c>
      <c r="C5" t="s">
        <v>47</v>
      </c>
      <c r="D5" cm="1">
        <f t="array" ref="D5">INDEX(Table2[[#All],[Week 1]:[Week 5]],MATCH(Week_1!B5,Table2[Team/Elo],0)+1,MATCH($A$1,Table2[[#Headers],[Week 1]:[Week 5]],0))</f>
        <v>1548</v>
      </c>
      <c r="E5" cm="1">
        <f t="array" ref="E5">INDEX(Table2[[#All],[Week 1]:[Week 5]],MATCH(Week_1!C5,Table2[Team/Elo],0)+1,MATCH($A$1,Table2[[#Headers],[Week 1]:[Week 5]],0))</f>
        <v>1372</v>
      </c>
      <c r="F5" t="str">
        <f t="shared" si="2"/>
        <v>Eagles</v>
      </c>
      <c r="G5" t="s">
        <v>47</v>
      </c>
      <c r="H5">
        <f t="shared" si="0"/>
        <v>7.04</v>
      </c>
      <c r="I5">
        <f t="shared" si="1"/>
        <v>-1</v>
      </c>
      <c r="J5">
        <v>-1</v>
      </c>
      <c r="L5" t="s">
        <v>78</v>
      </c>
      <c r="M5" s="12">
        <v>100</v>
      </c>
    </row>
    <row r="6" spans="1:13" x14ac:dyDescent="0.25">
      <c r="A6" t="s">
        <v>64</v>
      </c>
      <c r="B6" t="s">
        <v>40</v>
      </c>
      <c r="C6" t="s">
        <v>19</v>
      </c>
      <c r="D6" cm="1">
        <f t="array" ref="D6">INDEX(Table2[[#All],[Week 1]:[Week 5]],MATCH(Week_1!B6,Table2[Team/Elo],0)+1,MATCH($A$1,Table2[[#Headers],[Week 1]:[Week 5]],0))</f>
        <v>1496</v>
      </c>
      <c r="E6" cm="1">
        <f t="array" ref="E6">INDEX(Table2[[#All],[Week 1]:[Week 5]],MATCH(Week_1!C6,Table2[Team/Elo],0)+1,MATCH($A$1,Table2[[#Headers],[Week 1]:[Week 5]],0))</f>
        <v>1647</v>
      </c>
      <c r="F6" t="str">
        <f t="shared" si="2"/>
        <v>Ravens</v>
      </c>
      <c r="G6" t="s">
        <v>19</v>
      </c>
      <c r="H6">
        <f t="shared" si="0"/>
        <v>6.04</v>
      </c>
      <c r="I6">
        <f t="shared" si="1"/>
        <v>1</v>
      </c>
      <c r="J6">
        <v>1</v>
      </c>
      <c r="L6" t="s">
        <v>83</v>
      </c>
      <c r="M6">
        <v>-110</v>
      </c>
    </row>
    <row r="7" spans="1:13" x14ac:dyDescent="0.25">
      <c r="A7" t="s">
        <v>65</v>
      </c>
      <c r="B7" t="s">
        <v>33</v>
      </c>
      <c r="C7" t="s">
        <v>44</v>
      </c>
      <c r="D7" cm="1">
        <f t="array" ref="D7">INDEX(Table2[[#All],[Week 1]:[Week 5]],MATCH(Week_1!B7,Table2[Team/Elo],0)+1,MATCH($A$1,Table2[[#Headers],[Week 1]:[Week 5]],0))</f>
        <v>1525</v>
      </c>
      <c r="E7" cm="1">
        <f t="array" ref="E7">INDEX(Table2[[#All],[Week 1]:[Week 5]],MATCH(Week_1!C7,Table2[Team/Elo],0)+1,MATCH($A$1,Table2[[#Headers],[Week 1]:[Week 5]],0))</f>
        <v>1383</v>
      </c>
      <c r="F7" t="str">
        <f t="shared" si="2"/>
        <v>Colts</v>
      </c>
      <c r="G7" t="s">
        <v>44</v>
      </c>
      <c r="H7">
        <f t="shared" si="0"/>
        <v>5.68</v>
      </c>
      <c r="I7">
        <f t="shared" si="1"/>
        <v>-1</v>
      </c>
      <c r="J7">
        <v>1</v>
      </c>
      <c r="L7" t="s">
        <v>81</v>
      </c>
      <c r="M7" s="13">
        <f>(M5/ABS(M6))+1</f>
        <v>1.9090909090909092</v>
      </c>
    </row>
    <row r="8" spans="1:13" x14ac:dyDescent="0.25">
      <c r="A8" t="s">
        <v>66</v>
      </c>
      <c r="B8" t="s">
        <v>37</v>
      </c>
      <c r="C8" t="s">
        <v>45</v>
      </c>
      <c r="D8" cm="1">
        <f t="array" ref="D8">INDEX(Table2[[#All],[Week 1]:[Week 5]],MATCH(Week_1!B8,Table2[Team/Elo],0)+1,MATCH($A$1,Table2[[#Headers],[Week 1]:[Week 5]],0))</f>
        <v>1466</v>
      </c>
      <c r="E8" cm="1">
        <f t="array" ref="E8">INDEX(Table2[[#All],[Week 1]:[Week 5]],MATCH(Week_1!C8,Table2[Team/Elo],0)+1,MATCH($A$1,Table2[[#Headers],[Week 1]:[Week 5]],0))</f>
        <v>1428</v>
      </c>
      <c r="F8" t="str">
        <f t="shared" si="2"/>
        <v>Raiders</v>
      </c>
      <c r="G8" t="s">
        <v>37</v>
      </c>
      <c r="H8">
        <f t="shared" si="0"/>
        <v>1.52</v>
      </c>
      <c r="I8">
        <f t="shared" si="1"/>
        <v>1</v>
      </c>
      <c r="J8">
        <v>1</v>
      </c>
      <c r="L8" t="s">
        <v>79</v>
      </c>
      <c r="M8" s="12">
        <f>M5*M7</f>
        <v>190.90909090909091</v>
      </c>
    </row>
    <row r="9" spans="1:13" x14ac:dyDescent="0.25">
      <c r="A9" t="s">
        <v>67</v>
      </c>
      <c r="B9" t="s">
        <v>30</v>
      </c>
      <c r="C9" t="s">
        <v>43</v>
      </c>
      <c r="D9" cm="1">
        <f t="array" ref="D9">INDEX(Table2[[#All],[Week 1]:[Week 5]],MATCH(Week_1!B9,Table2[Team/Elo],0)+1,MATCH($A$1,Table2[[#Headers],[Week 1]:[Week 5]],0))</f>
        <v>1526</v>
      </c>
      <c r="E9" cm="1">
        <f t="array" ref="E9">INDEX(Table2[[#All],[Week 1]:[Week 5]],MATCH(Week_1!C9,Table2[Team/Elo],0)+1,MATCH($A$1,Table2[[#Headers],[Week 1]:[Week 5]],0))</f>
        <v>1453</v>
      </c>
      <c r="F9" t="str">
        <f t="shared" si="2"/>
        <v>Bears</v>
      </c>
      <c r="G9" t="s">
        <v>30</v>
      </c>
      <c r="H9">
        <f t="shared" si="0"/>
        <v>2.92</v>
      </c>
      <c r="I9">
        <f t="shared" si="1"/>
        <v>1</v>
      </c>
      <c r="J9">
        <v>1</v>
      </c>
    </row>
    <row r="10" spans="1:13" x14ac:dyDescent="0.25">
      <c r="A10" t="s">
        <v>68</v>
      </c>
      <c r="B10" t="s">
        <v>23</v>
      </c>
      <c r="C10" t="s">
        <v>38</v>
      </c>
      <c r="D10" cm="1">
        <f t="array" ref="D10">INDEX(Table2[[#All],[Week 1]:[Week 5]],MATCH(Week_1!B10,Table2[Team/Elo],0)+1,MATCH($A$1,Table2[[#Headers],[Week 1]:[Week 5]],0))</f>
        <v>1548</v>
      </c>
      <c r="E10" cm="1">
        <f t="array" ref="E10">INDEX(Table2[[#All],[Week 1]:[Week 5]],MATCH(Week_1!C10,Table2[Team/Elo],0)+1,MATCH($A$1,Table2[[#Headers],[Week 1]:[Week 5]],0))</f>
        <v>1499</v>
      </c>
      <c r="F10" t="str">
        <f t="shared" si="2"/>
        <v>Seahawks</v>
      </c>
      <c r="G10" t="s">
        <v>23</v>
      </c>
      <c r="H10">
        <f t="shared" si="0"/>
        <v>1.96</v>
      </c>
      <c r="I10">
        <f t="shared" si="1"/>
        <v>1</v>
      </c>
      <c r="J10">
        <v>1</v>
      </c>
      <c r="L10" t="s">
        <v>82</v>
      </c>
    </row>
    <row r="11" spans="1:13" x14ac:dyDescent="0.25">
      <c r="A11" t="s">
        <v>69</v>
      </c>
      <c r="B11" t="s">
        <v>46</v>
      </c>
      <c r="C11" t="s">
        <v>25</v>
      </c>
      <c r="D11" cm="1">
        <f t="array" ref="D11">INDEX(Table2[[#All],[Week 1]:[Week 5]],MATCH(Week_1!B11,Table2[Team/Elo],0)+1,MATCH($A$1,Table2[[#Headers],[Week 1]:[Week 5]],0))</f>
        <v>1435</v>
      </c>
      <c r="E11" cm="1">
        <f t="array" ref="E11">INDEX(Table2[[#All],[Week 1]:[Week 5]],MATCH(Week_1!C11,Table2[Team/Elo],0)+1,MATCH($A$1,Table2[[#Headers],[Week 1]:[Week 5]],0))</f>
        <v>1552</v>
      </c>
      <c r="F11" t="str">
        <f t="shared" si="2"/>
        <v>Patriots</v>
      </c>
      <c r="G11" t="s">
        <v>25</v>
      </c>
      <c r="H11">
        <f t="shared" si="0"/>
        <v>4.68</v>
      </c>
      <c r="I11">
        <f t="shared" si="1"/>
        <v>1</v>
      </c>
      <c r="J11">
        <v>1</v>
      </c>
      <c r="L11" t="s">
        <v>78</v>
      </c>
      <c r="M11" s="12">
        <v>100</v>
      </c>
    </row>
    <row r="12" spans="1:13" x14ac:dyDescent="0.25">
      <c r="A12" t="s">
        <v>70</v>
      </c>
      <c r="B12" t="s">
        <v>41</v>
      </c>
      <c r="C12" t="s">
        <v>49</v>
      </c>
      <c r="D12" cm="1">
        <f t="array" ref="D12">INDEX(Table2[[#All],[Week 1]:[Week 5]],MATCH(Week_1!B12,Table2[Team/Elo],0)+1,MATCH($A$1,Table2[[#Headers],[Week 1]:[Week 5]],0))</f>
        <v>1462</v>
      </c>
      <c r="E12" cm="1">
        <f t="array" ref="E12">INDEX(Table2[[#All],[Week 1]:[Week 5]],MATCH(Week_1!C12,Table2[Team/Elo],0)+1,MATCH($A$1,Table2[[#Headers],[Week 1]:[Week 5]],0))</f>
        <v>1390</v>
      </c>
      <c r="F12" t="str">
        <f t="shared" si="2"/>
        <v>Chargers</v>
      </c>
      <c r="G12" t="s">
        <v>41</v>
      </c>
      <c r="H12">
        <f t="shared" si="0"/>
        <v>2.88</v>
      </c>
      <c r="I12">
        <f t="shared" si="1"/>
        <v>1</v>
      </c>
      <c r="J12">
        <v>1</v>
      </c>
      <c r="L12" t="s">
        <v>83</v>
      </c>
      <c r="M12">
        <v>-200</v>
      </c>
    </row>
    <row r="13" spans="1:13" x14ac:dyDescent="0.25">
      <c r="A13" t="s">
        <v>71</v>
      </c>
      <c r="B13" t="s">
        <v>35</v>
      </c>
      <c r="C13" t="s">
        <v>24</v>
      </c>
      <c r="D13" cm="1">
        <f t="array" ref="D13">INDEX(Table2[[#All],[Week 1]:[Week 5]],MATCH(Week_1!B13,Table2[Team/Elo],0)+1,MATCH($A$1,Table2[[#Headers],[Week 1]:[Week 5]],0))</f>
        <v>1465</v>
      </c>
      <c r="E13" cm="1">
        <f t="array" ref="E13">INDEX(Table2[[#All],[Week 1]:[Week 5]],MATCH(Week_1!C13,Table2[Team/Elo],0)+1,MATCH($A$1,Table2[[#Headers],[Week 1]:[Week 5]],0))</f>
        <v>1601</v>
      </c>
      <c r="F13" t="str">
        <f t="shared" si="2"/>
        <v>49ers</v>
      </c>
      <c r="G13" t="s">
        <v>35</v>
      </c>
      <c r="H13">
        <f t="shared" si="0"/>
        <v>5.44</v>
      </c>
      <c r="I13">
        <f t="shared" si="1"/>
        <v>-1</v>
      </c>
      <c r="J13">
        <v>-1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32</v>
      </c>
      <c r="C14" t="s">
        <v>20</v>
      </c>
      <c r="D14" cm="1">
        <f t="array" ref="D14">INDEX(Table2[[#All],[Week 1]:[Week 5]],MATCH(Week_1!B14,Table2[Team/Elo],0)+1,MATCH($A$1,Table2[[#Headers],[Week 1]:[Week 5]],0))</f>
        <v>1540</v>
      </c>
      <c r="E14" cm="1">
        <f t="array" ref="E14">INDEX(Table2[[#All],[Week 1]:[Week 5]],MATCH(Week_1!C14,Table2[Team/Elo],0)+1,MATCH($A$1,Table2[[#Headers],[Week 1]:[Week 5]],0))</f>
        <v>1614</v>
      </c>
      <c r="F14" t="str">
        <f t="shared" si="2"/>
        <v>Saints</v>
      </c>
      <c r="G14" t="s">
        <v>20</v>
      </c>
      <c r="H14">
        <f t="shared" si="0"/>
        <v>2.96</v>
      </c>
      <c r="I14">
        <f t="shared" si="1"/>
        <v>1</v>
      </c>
      <c r="J14">
        <v>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29</v>
      </c>
      <c r="C15" t="s">
        <v>28</v>
      </c>
      <c r="D15" cm="1">
        <f t="array" ref="D15">INDEX(Table2[[#All],[Week 1]:[Week 5]],MATCH(Week_1!B15,Table2[Team/Elo],0)+1,MATCH($A$1,Table2[[#Headers],[Week 1]:[Week 5]],0))</f>
        <v>1561</v>
      </c>
      <c r="E15" cm="1">
        <f t="array" ref="E15">INDEX(Table2[[#All],[Week 1]:[Week 5]],MATCH(Week_1!C15,Table2[Team/Elo],0)+1,MATCH($A$1,Table2[[#Headers],[Week 1]:[Week 5]],0))</f>
        <v>1541</v>
      </c>
      <c r="F15" t="str">
        <f t="shared" si="2"/>
        <v>Cowboys</v>
      </c>
      <c r="G15" t="s">
        <v>28</v>
      </c>
      <c r="H15">
        <f t="shared" si="0"/>
        <v>0.8</v>
      </c>
      <c r="I15">
        <f t="shared" si="1"/>
        <v>-1</v>
      </c>
      <c r="J15">
        <v>1</v>
      </c>
    </row>
    <row r="16" spans="1:13" x14ac:dyDescent="0.25">
      <c r="A16" t="s">
        <v>84</v>
      </c>
      <c r="B16" t="s">
        <v>22</v>
      </c>
      <c r="C16" t="s">
        <v>48</v>
      </c>
      <c r="D16" s="14" cm="1">
        <f t="array" ref="D16">INDEX(Table2[[#All],[Week 1]:[Week 5]],MATCH(Week_1!B16,Table2[Team/Elo],0)+1,MATCH($A$1,Table2[[#Headers],[Week 1]:[Week 5]],0))</f>
        <v>1573</v>
      </c>
      <c r="E16" s="14" cm="1">
        <f t="array" ref="E16">INDEX(Table2[[#All],[Week 1]:[Week 5]],MATCH(Week_1!C16,Table2[Team/Elo],0)+1,MATCH($A$1,Table2[[#Headers],[Week 1]:[Week 5]],0))</f>
        <v>1419</v>
      </c>
      <c r="F16" t="str">
        <f>IF(D16&gt;E16,B16,C16)</f>
        <v>Steelers</v>
      </c>
      <c r="G16" t="s">
        <v>22</v>
      </c>
      <c r="H16">
        <f>(MAX(D16,E16)-MIN(D16,E16))/25</f>
        <v>6.16</v>
      </c>
      <c r="I16">
        <f>IF(F16=G16,1,-1)</f>
        <v>1</v>
      </c>
      <c r="J16">
        <v>1</v>
      </c>
    </row>
    <row r="17" spans="1:10" x14ac:dyDescent="0.25">
      <c r="A17" t="s">
        <v>85</v>
      </c>
      <c r="B17" t="s">
        <v>26</v>
      </c>
      <c r="C17" t="s">
        <v>39</v>
      </c>
      <c r="D17" s="14" cm="1">
        <f t="array" ref="D17">INDEX(Table2[[#All],[Week 1]:[Week 5]],MATCH(Week_1!B17,Table2[Team/Elo],0)+1,MATCH($A$1,Table2[[#Headers],[Week 1]:[Week 5]],0))</f>
        <v>1549</v>
      </c>
      <c r="E17" s="14" cm="1">
        <f t="array" ref="E17">INDEX(Table2[[#All],[Week 1]:[Week 5]],MATCH(Week_1!C17,Table2[Team/Elo],0)+1,MATCH($A$1,Table2[[#Headers],[Week 1]:[Week 5]],0))</f>
        <v>1485</v>
      </c>
      <c r="F17" t="str">
        <f>IF(D17&gt;E17,B17,C17)</f>
        <v>Titans</v>
      </c>
      <c r="G17" t="s">
        <v>26</v>
      </c>
      <c r="H17">
        <f>(MAX(D17,E17)-MIN(D17,E17))/25</f>
        <v>2.56</v>
      </c>
      <c r="I17">
        <f>IF(F17=G17,1,-1)</f>
        <v>1</v>
      </c>
      <c r="J17">
        <v>-1</v>
      </c>
    </row>
    <row r="19" spans="1:10" x14ac:dyDescent="0.25">
      <c r="A19" s="11" t="s">
        <v>75</v>
      </c>
      <c r="D19" s="11" t="s">
        <v>77</v>
      </c>
    </row>
    <row r="20" spans="1:10" x14ac:dyDescent="0.25">
      <c r="A20" t="s">
        <v>57</v>
      </c>
      <c r="B20">
        <f>COUNTIF($I$2:$I$17,1)</f>
        <v>12</v>
      </c>
      <c r="D20" t="s">
        <v>57</v>
      </c>
      <c r="E20">
        <f>COUNTIF(Table14[Win Lost ATS],1)</f>
        <v>13</v>
      </c>
    </row>
    <row r="21" spans="1:10" ht="15.75" thickBot="1" x14ac:dyDescent="0.3">
      <c r="A21" s="10" t="s">
        <v>58</v>
      </c>
      <c r="B21" s="10">
        <f>COUNTIF($I$2:$I$15,-1)</f>
        <v>4</v>
      </c>
      <c r="D21" s="10" t="s">
        <v>58</v>
      </c>
      <c r="E21" s="10">
        <f>COUNTIF(Table14[Win Lost ATS],-1)</f>
        <v>3</v>
      </c>
    </row>
    <row r="22" spans="1:10" x14ac:dyDescent="0.25">
      <c r="A22" t="s">
        <v>59</v>
      </c>
      <c r="B22">
        <f>B20-B21</f>
        <v>8</v>
      </c>
      <c r="D22" t="s">
        <v>59</v>
      </c>
      <c r="E22">
        <f>E20-E21</f>
        <v>10</v>
      </c>
    </row>
    <row r="24" spans="1:10" x14ac:dyDescent="0.25">
      <c r="A24" t="s">
        <v>94</v>
      </c>
      <c r="B24">
        <f>B20+B21</f>
        <v>16</v>
      </c>
      <c r="D24" t="s">
        <v>94</v>
      </c>
      <c r="E24">
        <f>E20+E21</f>
        <v>16</v>
      </c>
    </row>
    <row r="25" spans="1:10" x14ac:dyDescent="0.25">
      <c r="A25" t="s">
        <v>93</v>
      </c>
      <c r="B25" s="12">
        <f>B20*M14</f>
        <v>1800</v>
      </c>
      <c r="D25" t="s">
        <v>93</v>
      </c>
      <c r="E25" s="12">
        <f>E20*M8</f>
        <v>2481.818181818182</v>
      </c>
    </row>
    <row r="26" spans="1:10" x14ac:dyDescent="0.25">
      <c r="A26" t="s">
        <v>86</v>
      </c>
      <c r="B26" s="12">
        <f>B25-(B24*M11)</f>
        <v>200</v>
      </c>
      <c r="D26" t="s">
        <v>86</v>
      </c>
      <c r="E26" s="12">
        <f>E25-(E24*M5)</f>
        <v>881.81818181818198</v>
      </c>
    </row>
    <row r="31" spans="1:10" x14ac:dyDescent="0.25">
      <c r="B31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81FC-7250-4C48-A39F-48A9389B7B0E}">
  <dimension ref="A1:M29"/>
  <sheetViews>
    <sheetView topLeftCell="C1" workbookViewId="0">
      <selection sqref="A1:M26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1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11.5703125" bestFit="1" customWidth="1"/>
    <col min="8" max="8" width="7.140625" bestFit="1" customWidth="1"/>
    <col min="9" max="9" width="9.28515625" bestFit="1" customWidth="1"/>
    <col min="10" max="10" width="12.42578125" bestFit="1" customWidth="1"/>
    <col min="12" max="12" width="34.28515625" bestFit="1" customWidth="1"/>
    <col min="13" max="13" width="8.28515625" bestFit="1" customWidth="1"/>
  </cols>
  <sheetData>
    <row r="1" spans="1:13" x14ac:dyDescent="0.25">
      <c r="A1" s="11" t="s">
        <v>3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74</v>
      </c>
      <c r="I1" t="s">
        <v>56</v>
      </c>
      <c r="J1" t="s">
        <v>76</v>
      </c>
    </row>
    <row r="2" spans="1:13" x14ac:dyDescent="0.25">
      <c r="A2" t="s">
        <v>60</v>
      </c>
      <c r="B2" t="s">
        <v>49</v>
      </c>
      <c r="C2" t="s">
        <v>40</v>
      </c>
      <c r="D2" cm="1">
        <f t="array" ref="D2">INDEX(Table2[[#All],[Week 1]:[Week 5]],MATCH(Week_2!B2,Table2[Team/Elo],0)+1,MATCH($A$1,Table2[[#Headers],[Week 1]:[Week 5]],0))</f>
        <v>1379</v>
      </c>
      <c r="E2" cm="1">
        <f t="array" ref="E2">INDEX(Table2[[#All],[Week 1]:[Week 5]],MATCH(Week_2!C2,Table2[Team/Elo],0)+1,MATCH($A$1,Table2[[#Headers],[Week 1]:[Week 5]],0))</f>
        <v>1476</v>
      </c>
      <c r="F2" t="str">
        <f>IF(D2&gt;E2,B2,C2)</f>
        <v>Browns</v>
      </c>
      <c r="G2" t="s">
        <v>40</v>
      </c>
      <c r="H2">
        <f t="shared" ref="H2:H15" si="0">(MAX(D2,E2)-MIN(D2,E2))/25</f>
        <v>3.88</v>
      </c>
      <c r="I2">
        <f t="shared" ref="I2:I15" si="1">IF(F2=G2,1,-1)</f>
        <v>1</v>
      </c>
      <c r="J2">
        <v>1</v>
      </c>
    </row>
    <row r="3" spans="1:13" x14ac:dyDescent="0.25">
      <c r="A3" t="s">
        <v>61</v>
      </c>
      <c r="B3" t="s">
        <v>48</v>
      </c>
      <c r="C3" t="s">
        <v>30</v>
      </c>
      <c r="D3" cm="1">
        <f t="array" ref="D3">INDEX(Table2[[#All],[Week 1]:[Week 5]],MATCH(Week_2!B3,Table2[Team/Elo],0)+1,MATCH($A$1,Table2[[#Headers],[Week 1]:[Week 5]],0))</f>
        <v>1405</v>
      </c>
      <c r="E3" cm="1">
        <f t="array" ref="E3">INDEX(Table2[[#All],[Week 1]:[Week 5]],MATCH(Week_2!C3,Table2[Team/Elo],0)+1,MATCH($A$1,Table2[[#Headers],[Week 1]:[Week 5]],0))</f>
        <v>1545</v>
      </c>
      <c r="F3" t="str">
        <f t="shared" ref="F3:F15" si="2">IF(D3&gt;E3,B3,C3)</f>
        <v>Bears</v>
      </c>
      <c r="G3" t="s">
        <v>30</v>
      </c>
      <c r="H3">
        <f t="shared" si="0"/>
        <v>5.6</v>
      </c>
      <c r="I3">
        <f t="shared" si="1"/>
        <v>1</v>
      </c>
      <c r="J3">
        <v>-1</v>
      </c>
    </row>
    <row r="4" spans="1:13" x14ac:dyDescent="0.25">
      <c r="A4" t="s">
        <v>62</v>
      </c>
      <c r="B4" t="s">
        <v>28</v>
      </c>
      <c r="C4" t="s">
        <v>34</v>
      </c>
      <c r="D4" cm="1">
        <f t="array" ref="D4">INDEX(Table2[[#All],[Week 1]:[Week 5]],MATCH(Week_2!B4,Table2[Team/Elo],0)+1,MATCH($A$1,Table2[[#Headers],[Week 1]:[Week 5]],0))</f>
        <v>1552</v>
      </c>
      <c r="E4" cm="1">
        <f t="array" ref="E4">INDEX(Table2[[#All],[Week 1]:[Week 5]],MATCH(Week_2!C4,Table2[Team/Elo],0)+1,MATCH($A$1,Table2[[#Headers],[Week 1]:[Week 5]],0))</f>
        <v>1500</v>
      </c>
      <c r="F4" t="str">
        <f t="shared" si="2"/>
        <v>Rams</v>
      </c>
      <c r="G4" t="s">
        <v>28</v>
      </c>
      <c r="H4">
        <f t="shared" si="0"/>
        <v>2.08</v>
      </c>
      <c r="I4">
        <f t="shared" si="1"/>
        <v>1</v>
      </c>
      <c r="J4">
        <v>1</v>
      </c>
      <c r="L4" t="s">
        <v>80</v>
      </c>
    </row>
    <row r="5" spans="1:13" x14ac:dyDescent="0.25">
      <c r="A5" t="s">
        <v>63</v>
      </c>
      <c r="B5" t="s">
        <v>38</v>
      </c>
      <c r="C5" t="s">
        <v>29</v>
      </c>
      <c r="D5" cm="1">
        <f t="array" ref="D5">INDEX(Table2[[#All],[Week 1]:[Week 5]],MATCH(Week_2!B5,Table2[Team/Elo],0)+1,MATCH($A$1,Table2[[#Headers],[Week 1]:[Week 5]],0))</f>
        <v>1480</v>
      </c>
      <c r="E5" cm="1">
        <f t="array" ref="E5">INDEX(Table2[[#All],[Week 1]:[Week 5]],MATCH(Week_2!C5,Table2[Team/Elo],0)+1,MATCH($A$1,Table2[[#Headers],[Week 1]:[Week 5]],0))</f>
        <v>1547</v>
      </c>
      <c r="F5" t="str">
        <f t="shared" si="2"/>
        <v>Cowboys</v>
      </c>
      <c r="G5" t="s">
        <v>29</v>
      </c>
      <c r="H5">
        <f t="shared" si="0"/>
        <v>2.68</v>
      </c>
      <c r="I5">
        <f t="shared" si="1"/>
        <v>1</v>
      </c>
      <c r="J5">
        <v>-1</v>
      </c>
      <c r="L5" t="s">
        <v>78</v>
      </c>
      <c r="M5" s="12">
        <v>100</v>
      </c>
    </row>
    <row r="6" spans="1:13" x14ac:dyDescent="0.25">
      <c r="A6" t="s">
        <v>64</v>
      </c>
      <c r="B6" t="s">
        <v>45</v>
      </c>
      <c r="C6" t="s">
        <v>32</v>
      </c>
      <c r="D6" cm="1">
        <f t="array" ref="D6">INDEX(Table2[[#All],[Week 1]:[Week 5]],MATCH(Week_2!B6,Table2[Team/Elo],0)+1,MATCH($A$1,Table2[[#Headers],[Week 1]:[Week 5]],0))</f>
        <v>1415</v>
      </c>
      <c r="E6" cm="1">
        <f t="array" ref="E6">INDEX(Table2[[#All],[Week 1]:[Week 5]],MATCH(Week_2!C6,Table2[Team/Elo],0)+1,MATCH($A$1,Table2[[#Headers],[Week 1]:[Week 5]],0))</f>
        <v>1519</v>
      </c>
      <c r="F6" t="str">
        <f t="shared" si="2"/>
        <v>Buccaneers</v>
      </c>
      <c r="G6" t="s">
        <v>32</v>
      </c>
      <c r="H6">
        <f t="shared" si="0"/>
        <v>4.16</v>
      </c>
      <c r="I6">
        <f t="shared" si="1"/>
        <v>1</v>
      </c>
      <c r="J6">
        <v>1</v>
      </c>
      <c r="L6" t="s">
        <v>83</v>
      </c>
      <c r="M6">
        <v>-110</v>
      </c>
    </row>
    <row r="7" spans="1:13" x14ac:dyDescent="0.25">
      <c r="A7" t="s">
        <v>65</v>
      </c>
      <c r="B7" t="s">
        <v>24</v>
      </c>
      <c r="C7" t="s">
        <v>42</v>
      </c>
      <c r="D7" cm="1">
        <f t="array" ref="D7">INDEX(Table2[[#All],[Week 1]:[Week 5]],MATCH(Week_2!B7,Table2[Team/Elo],0)+1,MATCH($A$1,Table2[[#Headers],[Week 1]:[Week 5]],0))</f>
        <v>1575</v>
      </c>
      <c r="E7" cm="1">
        <f t="array" ref="E7">INDEX(Table2[[#All],[Week 1]:[Week 5]],MATCH(Week_2!C7,Table2[Team/Elo],0)+1,MATCH($A$1,Table2[[#Headers],[Week 1]:[Week 5]],0))</f>
        <v>1438</v>
      </c>
      <c r="F7" t="str">
        <f t="shared" si="2"/>
        <v>49ers</v>
      </c>
      <c r="G7" t="s">
        <v>24</v>
      </c>
      <c r="H7">
        <f t="shared" si="0"/>
        <v>5.48</v>
      </c>
      <c r="I7">
        <f t="shared" si="1"/>
        <v>1</v>
      </c>
      <c r="J7">
        <v>1</v>
      </c>
      <c r="L7" t="s">
        <v>81</v>
      </c>
      <c r="M7" s="13">
        <f>(M5/ABS(M6))+1</f>
        <v>1.9090909090909092</v>
      </c>
    </row>
    <row r="8" spans="1:13" x14ac:dyDescent="0.25">
      <c r="A8" t="s">
        <v>66</v>
      </c>
      <c r="B8" t="s">
        <v>39</v>
      </c>
      <c r="C8" t="s">
        <v>22</v>
      </c>
      <c r="D8" cm="1">
        <f t="array" ref="D8">INDEX(Table2[[#All],[Week 1]:[Week 5]],MATCH(Week_2!B8,Table2[Team/Elo],0)+1,MATCH($A$1,Table2[[#Headers],[Week 1]:[Week 5]],0))</f>
        <v>1479</v>
      </c>
      <c r="E8" cm="1">
        <f t="array" ref="E8">INDEX(Table2[[#All],[Week 1]:[Week 5]],MATCH(Week_2!C8,Table2[Team/Elo],0)+1,MATCH($A$1,Table2[[#Headers],[Week 1]:[Week 5]],0))</f>
        <v>1588</v>
      </c>
      <c r="F8" t="str">
        <f t="shared" si="2"/>
        <v>Steelers</v>
      </c>
      <c r="G8" t="s">
        <v>22</v>
      </c>
      <c r="H8">
        <f t="shared" si="0"/>
        <v>4.3600000000000003</v>
      </c>
      <c r="I8">
        <f t="shared" si="1"/>
        <v>1</v>
      </c>
      <c r="J8">
        <v>1</v>
      </c>
      <c r="L8" t="s">
        <v>79</v>
      </c>
      <c r="M8" s="12">
        <f>M5*M7</f>
        <v>190.90909090909091</v>
      </c>
    </row>
    <row r="9" spans="1:13" x14ac:dyDescent="0.25">
      <c r="A9" t="s">
        <v>67</v>
      </c>
      <c r="B9" t="s">
        <v>44</v>
      </c>
      <c r="C9" t="s">
        <v>26</v>
      </c>
      <c r="D9" cm="1">
        <f t="array" ref="D9">INDEX(Table2[[#All],[Week 1]:[Week 5]],MATCH(Week_2!B9,Table2[Team/Elo],0)+1,MATCH($A$1,Table2[[#Headers],[Week 1]:[Week 5]],0))</f>
        <v>1417</v>
      </c>
      <c r="E9" cm="1">
        <f t="array" ref="E9">INDEX(Table2[[#All],[Week 1]:[Week 5]],MATCH(Week_2!C9,Table2[Team/Elo],0)+1,MATCH($A$1,Table2[[#Headers],[Week 1]:[Week 5]],0))</f>
        <v>1564</v>
      </c>
      <c r="F9" t="str">
        <f t="shared" si="2"/>
        <v>Titans</v>
      </c>
      <c r="G9" t="s">
        <v>26</v>
      </c>
      <c r="H9">
        <f t="shared" si="0"/>
        <v>5.88</v>
      </c>
      <c r="I9">
        <f t="shared" si="1"/>
        <v>1</v>
      </c>
      <c r="J9">
        <v>-1</v>
      </c>
    </row>
    <row r="10" spans="1:13" x14ac:dyDescent="0.25">
      <c r="A10" t="s">
        <v>68</v>
      </c>
      <c r="B10" t="s">
        <v>43</v>
      </c>
      <c r="C10" t="s">
        <v>21</v>
      </c>
      <c r="D10" cm="1">
        <f t="array" ref="D10">INDEX(Table2[[#All],[Week 1]:[Week 5]],MATCH(Week_2!B10,Table2[Team/Elo],0)+1,MATCH($A$1,Table2[[#Headers],[Week 1]:[Week 5]],0))</f>
        <v>1438</v>
      </c>
      <c r="E10" cm="1">
        <f t="array" ref="E10">INDEX(Table2[[#All],[Week 1]:[Week 5]],MATCH(Week_2!C10,Table2[Team/Elo],0)+1,MATCH($A$1,Table2[[#Headers],[Week 1]:[Week 5]],0))</f>
        <v>1596</v>
      </c>
      <c r="F10" t="str">
        <f t="shared" si="2"/>
        <v>Packers</v>
      </c>
      <c r="G10" t="s">
        <v>21</v>
      </c>
      <c r="H10">
        <f t="shared" si="0"/>
        <v>6.32</v>
      </c>
      <c r="I10">
        <f t="shared" si="1"/>
        <v>1</v>
      </c>
      <c r="J10">
        <v>1</v>
      </c>
      <c r="L10" t="s">
        <v>82</v>
      </c>
    </row>
    <row r="11" spans="1:13" x14ac:dyDescent="0.25">
      <c r="A11" t="s">
        <v>69</v>
      </c>
      <c r="B11" t="s">
        <v>27</v>
      </c>
      <c r="C11" t="s">
        <v>46</v>
      </c>
      <c r="D11" cm="1">
        <f t="array" ref="D11">INDEX(Table2[[#All],[Week 1]:[Week 5]],MATCH(Week_2!B11,Table2[Team/Elo],0)+1,MATCH($A$1,Table2[[#Headers],[Week 1]:[Week 5]],0))</f>
        <v>1561</v>
      </c>
      <c r="E11" cm="1">
        <f t="array" ref="E11">INDEX(Table2[[#All],[Week 1]:[Week 5]],MATCH(Week_2!C11,Table2[Team/Elo],0)+1,MATCH($A$1,Table2[[#Headers],[Week 1]:[Week 5]],0))</f>
        <v>1414</v>
      </c>
      <c r="F11" t="str">
        <f t="shared" si="2"/>
        <v>Bills</v>
      </c>
      <c r="G11" t="s">
        <v>27</v>
      </c>
      <c r="H11">
        <f t="shared" si="0"/>
        <v>5.88</v>
      </c>
      <c r="I11">
        <f t="shared" si="1"/>
        <v>1</v>
      </c>
      <c r="J11">
        <v>1</v>
      </c>
      <c r="L11" t="s">
        <v>78</v>
      </c>
      <c r="M11" s="12">
        <v>100</v>
      </c>
    </row>
    <row r="12" spans="1:13" x14ac:dyDescent="0.25">
      <c r="A12" t="s">
        <v>70</v>
      </c>
      <c r="B12" t="s">
        <v>31</v>
      </c>
      <c r="C12" t="s">
        <v>33</v>
      </c>
      <c r="D12" cm="1">
        <f t="array" ref="D12">INDEX(Table2[[#All],[Week 1]:[Week 5]],MATCH(Week_2!B12,Table2[Team/Elo],0)+1,MATCH($A$1,Table2[[#Headers],[Week 1]:[Week 5]],0))</f>
        <v>1525</v>
      </c>
      <c r="E12" cm="1">
        <f t="array" ref="E12">INDEX(Table2[[#All],[Week 1]:[Week 5]],MATCH(Week_2!C12,Table2[Team/Elo],0)+1,MATCH($A$1,Table2[[#Headers],[Week 1]:[Week 5]],0))</f>
        <v>1502</v>
      </c>
      <c r="F12" t="str">
        <f t="shared" si="2"/>
        <v>Vikings</v>
      </c>
      <c r="G12" t="s">
        <v>33</v>
      </c>
      <c r="H12">
        <f t="shared" si="0"/>
        <v>0.92</v>
      </c>
      <c r="I12">
        <f t="shared" si="1"/>
        <v>-1</v>
      </c>
      <c r="J12">
        <v>-1</v>
      </c>
      <c r="L12" t="s">
        <v>83</v>
      </c>
      <c r="M12">
        <v>-200</v>
      </c>
    </row>
    <row r="13" spans="1:13" x14ac:dyDescent="0.25">
      <c r="A13" t="s">
        <v>71</v>
      </c>
      <c r="B13" t="s">
        <v>47</v>
      </c>
      <c r="C13" t="s">
        <v>35</v>
      </c>
      <c r="D13" cm="1">
        <f t="array" ref="D13">INDEX(Table2[[#All],[Week 1]:[Week 5]],MATCH(Week_2!B13,Table2[Team/Elo],0)+1,MATCH($A$1,Table2[[#Headers],[Week 1]:[Week 5]],0))</f>
        <v>1408</v>
      </c>
      <c r="E13" cm="1">
        <f t="array" ref="E13">INDEX(Table2[[#All],[Week 1]:[Week 5]],MATCH(Week_2!C13,Table2[Team/Elo],0)+1,MATCH($A$1,Table2[[#Headers],[Week 1]:[Week 5]],0))</f>
        <v>1498</v>
      </c>
      <c r="F13" t="str">
        <f t="shared" si="2"/>
        <v>Cardinals</v>
      </c>
      <c r="G13" t="s">
        <v>35</v>
      </c>
      <c r="H13">
        <f t="shared" si="0"/>
        <v>3.6</v>
      </c>
      <c r="I13">
        <f t="shared" si="1"/>
        <v>1</v>
      </c>
      <c r="J13">
        <v>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19</v>
      </c>
      <c r="C14" t="s">
        <v>36</v>
      </c>
      <c r="D14" cm="1">
        <f t="array" ref="D14">INDEX(Table2[[#All],[Week 1]:[Week 5]],MATCH(Week_2!B14,Table2[Team/Elo],0)+1,MATCH($A$1,Table2[[#Headers],[Week 1]:[Week 5]],0))</f>
        <v>1667</v>
      </c>
      <c r="E14" cm="1">
        <f t="array" ref="E14">INDEX(Table2[[#All],[Week 1]:[Week 5]],MATCH(Week_2!C14,Table2[Team/Elo],0)+1,MATCH($A$1,Table2[[#Headers],[Week 1]:[Week 5]],0))</f>
        <v>1487</v>
      </c>
      <c r="F14" t="str">
        <f t="shared" si="2"/>
        <v>Ravens</v>
      </c>
      <c r="G14" t="s">
        <v>19</v>
      </c>
      <c r="H14">
        <f t="shared" si="0"/>
        <v>7.2</v>
      </c>
      <c r="I14">
        <f t="shared" si="1"/>
        <v>1</v>
      </c>
      <c r="J14">
        <v>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18</v>
      </c>
      <c r="C15" t="s">
        <v>41</v>
      </c>
      <c r="D15" cm="1">
        <f t="array" ref="D15">INDEX(Table2[[#All],[Week 1]:[Week 5]],MATCH(Week_2!B15,Table2[Team/Elo],0)+1,MATCH($A$1,Table2[[#Headers],[Week 1]:[Week 5]],0))</f>
        <v>1671</v>
      </c>
      <c r="E15" cm="1">
        <f t="array" ref="E15">INDEX(Table2[[#All],[Week 1]:[Week 5]],MATCH(Week_2!C15,Table2[Team/Elo],0)+1,MATCH($A$1,Table2[[#Headers],[Week 1]:[Week 5]],0))</f>
        <v>1471</v>
      </c>
      <c r="F15" t="str">
        <f t="shared" si="2"/>
        <v>Chiefs</v>
      </c>
      <c r="G15" t="s">
        <v>18</v>
      </c>
      <c r="H15">
        <f t="shared" si="0"/>
        <v>8</v>
      </c>
      <c r="I15">
        <f t="shared" si="1"/>
        <v>1</v>
      </c>
      <c r="J15">
        <v>-1</v>
      </c>
    </row>
    <row r="16" spans="1:13" x14ac:dyDescent="0.25">
      <c r="A16" t="s">
        <v>84</v>
      </c>
      <c r="B16" t="s">
        <v>25</v>
      </c>
      <c r="C16" t="s">
        <v>23</v>
      </c>
      <c r="D16" s="14" cm="1">
        <f t="array" ref="D16">INDEX(Table2[[#All],[Week 1]:[Week 5]],MATCH(Week_2!B16,Table2[Team/Elo],0)+1,MATCH($A$1,Table2[[#Headers],[Week 1]:[Week 5]],0))</f>
        <v>1571</v>
      </c>
      <c r="E16" s="14" cm="1">
        <f t="array" ref="E16">INDEX(Table2[[#All],[Week 1]:[Week 5]],MATCH(Week_2!C16,Table2[Team/Elo],0)+1,MATCH($A$1,Table2[[#Headers],[Week 1]:[Week 5]],0))</f>
        <v>1586</v>
      </c>
      <c r="F16" t="str">
        <f>IF(D16&gt;E16,B16,C16)</f>
        <v>Seahawks</v>
      </c>
      <c r="G16" t="s">
        <v>23</v>
      </c>
      <c r="H16">
        <f>(MAX(D16,E16)-MIN(D16,E16))/25</f>
        <v>0.6</v>
      </c>
      <c r="I16">
        <f>IF(F16=G16,1,-1)</f>
        <v>1</v>
      </c>
      <c r="J16">
        <v>1</v>
      </c>
    </row>
    <row r="17" spans="1:10" x14ac:dyDescent="0.25">
      <c r="A17" t="s">
        <v>85</v>
      </c>
      <c r="B17" t="s">
        <v>20</v>
      </c>
      <c r="C17" t="s">
        <v>37</v>
      </c>
      <c r="D17" s="14" cm="1">
        <f t="array" ref="D17">INDEX(Table2[[#All],[Week 1]:[Week 5]],MATCH(Week_2!B17,Table2[Team/Elo],0)+1,MATCH($A$1,Table2[[#Headers],[Week 1]:[Week 5]],0))</f>
        <v>1629</v>
      </c>
      <c r="E17" s="14" cm="1">
        <f t="array" ref="E17">INDEX(Table2[[#All],[Week 1]:[Week 5]],MATCH(Week_2!C17,Table2[Team/Elo],0)+1,MATCH($A$1,Table2[[#Headers],[Week 1]:[Week 5]],0))</f>
        <v>1485</v>
      </c>
      <c r="F17" t="str">
        <f>IF(D17&gt;E17,B17,C17)</f>
        <v>Saints</v>
      </c>
      <c r="G17" t="s">
        <v>37</v>
      </c>
      <c r="H17">
        <f>(MAX(D17,E17)-MIN(D17,E17))/25</f>
        <v>5.76</v>
      </c>
      <c r="I17">
        <f>IF(F17=G17,1,-1)</f>
        <v>-1</v>
      </c>
      <c r="J17">
        <v>-1</v>
      </c>
    </row>
    <row r="19" spans="1:10" x14ac:dyDescent="0.25">
      <c r="A19" s="11" t="s">
        <v>75</v>
      </c>
      <c r="D19" s="11" t="s">
        <v>77</v>
      </c>
    </row>
    <row r="20" spans="1:10" x14ac:dyDescent="0.25">
      <c r="A20" t="s">
        <v>57</v>
      </c>
      <c r="B20">
        <f>COUNTIF($I$2:$I$17,1)</f>
        <v>14</v>
      </c>
      <c r="D20" t="s">
        <v>57</v>
      </c>
      <c r="E20">
        <f>COUNTIF(Table145[Win Lost ATS],1)</f>
        <v>10</v>
      </c>
    </row>
    <row r="21" spans="1:10" ht="15.75" thickBot="1" x14ac:dyDescent="0.3">
      <c r="A21" s="10" t="s">
        <v>58</v>
      </c>
      <c r="B21" s="10">
        <f>COUNTIF($I$2:$I$17,-1)</f>
        <v>2</v>
      </c>
      <c r="D21" s="10" t="s">
        <v>58</v>
      </c>
      <c r="E21" s="10">
        <f>COUNTIF(Table145[Win Lost ATS],-1)</f>
        <v>6</v>
      </c>
    </row>
    <row r="22" spans="1:10" x14ac:dyDescent="0.25">
      <c r="A22" t="s">
        <v>59</v>
      </c>
      <c r="B22">
        <f>B20-B21</f>
        <v>12</v>
      </c>
      <c r="D22" t="s">
        <v>59</v>
      </c>
      <c r="E22">
        <f>E20-E21</f>
        <v>4</v>
      </c>
    </row>
    <row r="24" spans="1:10" x14ac:dyDescent="0.25">
      <c r="A24" t="s">
        <v>94</v>
      </c>
      <c r="B24">
        <f>B20+B21</f>
        <v>16</v>
      </c>
      <c r="D24" t="s">
        <v>94</v>
      </c>
      <c r="E24">
        <f>E20+E21</f>
        <v>16</v>
      </c>
    </row>
    <row r="25" spans="1:10" x14ac:dyDescent="0.25">
      <c r="A25" t="s">
        <v>93</v>
      </c>
      <c r="B25" s="12">
        <f>B20*M14</f>
        <v>2100</v>
      </c>
      <c r="D25" t="s">
        <v>93</v>
      </c>
      <c r="E25" s="12">
        <f>E20*M8</f>
        <v>1909.090909090909</v>
      </c>
    </row>
    <row r="26" spans="1:10" x14ac:dyDescent="0.25">
      <c r="A26" t="s">
        <v>86</v>
      </c>
      <c r="B26" s="12">
        <f>B25-(B24*M11)</f>
        <v>500</v>
      </c>
      <c r="D26" t="s">
        <v>86</v>
      </c>
      <c r="E26" s="12">
        <f>E25-(E24*M5)</f>
        <v>309.09090909090901</v>
      </c>
    </row>
    <row r="27" spans="1:10" x14ac:dyDescent="0.25">
      <c r="B27" s="12"/>
      <c r="E27" s="12"/>
    </row>
    <row r="29" spans="1:10" x14ac:dyDescent="0.25">
      <c r="B29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E51B-BC8A-4A8E-BF59-5AC8C4F89E82}">
  <dimension ref="A1:M29"/>
  <sheetViews>
    <sheetView workbookViewId="0">
      <selection activeCell="B25" sqref="B25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1" bestFit="1" customWidth="1"/>
    <col min="4" max="4" width="10.85546875" bestFit="1" customWidth="1"/>
    <col min="5" max="5" width="10.42578125" bestFit="1" customWidth="1"/>
    <col min="6" max="7" width="11" bestFit="1" customWidth="1"/>
    <col min="8" max="8" width="7.140625" bestFit="1" customWidth="1"/>
    <col min="9" max="9" width="9.28515625" bestFit="1" customWidth="1"/>
    <col min="10" max="10" width="12.42578125" bestFit="1" customWidth="1"/>
    <col min="12" max="12" width="34.28515625" bestFit="1" customWidth="1"/>
    <col min="13" max="13" width="8.28515625" bestFit="1" customWidth="1"/>
  </cols>
  <sheetData>
    <row r="1" spans="1:13" x14ac:dyDescent="0.25">
      <c r="A1" s="11" t="s">
        <v>4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74</v>
      </c>
      <c r="I1" t="s">
        <v>56</v>
      </c>
      <c r="J1" t="s">
        <v>76</v>
      </c>
    </row>
    <row r="2" spans="1:13" x14ac:dyDescent="0.25">
      <c r="A2" t="s">
        <v>60</v>
      </c>
      <c r="B2" t="s">
        <v>46</v>
      </c>
      <c r="C2" t="s">
        <v>44</v>
      </c>
      <c r="D2" cm="1">
        <f t="array" ref="D2">INDEX(Table2[[#All],[Week 1]:[Week 5]],MATCH(Week_3!B2,Table2[Team/Elo],0)+1,MATCH($A$1,Table2[[#Headers],[Week 1]:[Week 5]],0))</f>
        <v>1411</v>
      </c>
      <c r="E2" cm="1">
        <f t="array" ref="E2">INDEX(Table2[[#All],[Week 1]:[Week 5]],MATCH(Week_3!C2,Table2[Team/Elo],0)+1,MATCH($A$1,Table2[[#Headers],[Week 1]:[Week 5]],0))</f>
        <v>1416</v>
      </c>
      <c r="F2" t="str">
        <f>IF(D2&gt;E2,B2,C2)</f>
        <v>Jaguars</v>
      </c>
      <c r="G2" t="s">
        <v>46</v>
      </c>
      <c r="H2">
        <f t="shared" ref="H2:H15" si="0">(MAX(D2,E2)-MIN(D2,E2))/25</f>
        <v>0.2</v>
      </c>
      <c r="I2">
        <f t="shared" ref="I2:I15" si="1">IF(F2=G2,1,-1)</f>
        <v>-1</v>
      </c>
      <c r="J2">
        <v>-1</v>
      </c>
    </row>
    <row r="3" spans="1:13" x14ac:dyDescent="0.25">
      <c r="A3" t="s">
        <v>61</v>
      </c>
      <c r="B3" t="s">
        <v>24</v>
      </c>
      <c r="C3" t="s">
        <v>48</v>
      </c>
      <c r="D3" cm="1">
        <f t="array" ref="D3">INDEX(Table2[[#All],[Week 1]:[Week 5]],MATCH(Week_3!B3,Table2[Team/Elo],0)+1,MATCH($A$1,Table2[[#Headers],[Week 1]:[Week 5]],0))</f>
        <v>1597</v>
      </c>
      <c r="E3" cm="1">
        <f t="array" ref="E3">INDEX(Table2[[#All],[Week 1]:[Week 5]],MATCH(Week_3!C3,Table2[Team/Elo],0)+1,MATCH($A$1,Table2[[#Headers],[Week 1]:[Week 5]],0))</f>
        <v>1392</v>
      </c>
      <c r="F3" t="str">
        <f t="shared" ref="F3:F15" si="2">IF(D3&gt;E3,B3,C3)</f>
        <v>49ers</v>
      </c>
      <c r="G3" t="s">
        <v>24</v>
      </c>
      <c r="H3">
        <f t="shared" si="0"/>
        <v>8.1999999999999993</v>
      </c>
      <c r="I3">
        <f t="shared" si="1"/>
        <v>1</v>
      </c>
      <c r="J3">
        <v>1</v>
      </c>
    </row>
    <row r="4" spans="1:13" x14ac:dyDescent="0.25">
      <c r="A4" t="s">
        <v>62</v>
      </c>
      <c r="B4" t="s">
        <v>47</v>
      </c>
      <c r="C4" t="s">
        <v>40</v>
      </c>
      <c r="D4" cm="1">
        <f t="array" ref="D4">INDEX(Table2[[#All],[Week 1]:[Week 5]],MATCH(Week_3!B4,Table2[Team/Elo],0)+1,MATCH($A$1,Table2[[#Headers],[Week 1]:[Week 5]],0))</f>
        <v>1390</v>
      </c>
      <c r="E4" cm="1">
        <f t="array" ref="E4">INDEX(Table2[[#All],[Week 1]:[Week 5]],MATCH(Week_3!C4,Table2[Team/Elo],0)+1,MATCH($A$1,Table2[[#Headers],[Week 1]:[Week 5]],0))</f>
        <v>1491</v>
      </c>
      <c r="F4" t="str">
        <f t="shared" si="2"/>
        <v>Browns</v>
      </c>
      <c r="G4" t="s">
        <v>40</v>
      </c>
      <c r="H4">
        <f t="shared" si="0"/>
        <v>4.04</v>
      </c>
      <c r="I4">
        <f t="shared" si="1"/>
        <v>1</v>
      </c>
      <c r="J4">
        <v>1</v>
      </c>
      <c r="L4" t="s">
        <v>80</v>
      </c>
    </row>
    <row r="5" spans="1:13" x14ac:dyDescent="0.25">
      <c r="A5" t="s">
        <v>63</v>
      </c>
      <c r="B5" t="s">
        <v>49</v>
      </c>
      <c r="C5" t="s">
        <v>34</v>
      </c>
      <c r="D5" cm="1">
        <f t="array" ref="D5">INDEX(Table2[[#All],[Week 1]:[Week 5]],MATCH(Week_3!B5,Table2[Team/Elo],0)+1,MATCH($A$1,Table2[[#Headers],[Week 1]:[Week 5]],0))</f>
        <v>1375</v>
      </c>
      <c r="E5" cm="1">
        <f t="array" ref="E5">INDEX(Table2[[#All],[Week 1]:[Week 5]],MATCH(Week_3!C5,Table2[Team/Elo],0)+1,MATCH($A$1,Table2[[#Headers],[Week 1]:[Week 5]],0))</f>
        <v>1472</v>
      </c>
      <c r="F5" t="str">
        <f t="shared" si="2"/>
        <v>Eagles</v>
      </c>
      <c r="G5" s="11" t="s">
        <v>87</v>
      </c>
      <c r="H5" s="11" t="s">
        <v>87</v>
      </c>
      <c r="I5" s="11" t="s">
        <v>87</v>
      </c>
      <c r="J5" s="11" t="s">
        <v>87</v>
      </c>
      <c r="L5" t="s">
        <v>78</v>
      </c>
      <c r="M5" s="12">
        <v>100</v>
      </c>
    </row>
    <row r="6" spans="1:13" x14ac:dyDescent="0.25">
      <c r="A6" t="s">
        <v>64</v>
      </c>
      <c r="B6" t="s">
        <v>37</v>
      </c>
      <c r="C6" t="s">
        <v>25</v>
      </c>
      <c r="D6" cm="1">
        <f t="array" ref="D6">INDEX(Table2[[#All],[Week 1]:[Week 5]],MATCH(Week_3!B6,Table2[Team/Elo],0)+1,MATCH($A$1,Table2[[#Headers],[Week 1]:[Week 5]],0))</f>
        <v>1522</v>
      </c>
      <c r="E6" cm="1">
        <f t="array" ref="E6">INDEX(Table2[[#All],[Week 1]:[Week 5]],MATCH(Week_3!C6,Table2[Team/Elo],0)+1,MATCH($A$1,Table2[[#Headers],[Week 1]:[Week 5]],0))</f>
        <v>1569</v>
      </c>
      <c r="F6" t="str">
        <f t="shared" si="2"/>
        <v>Patriots</v>
      </c>
      <c r="G6" t="s">
        <v>25</v>
      </c>
      <c r="H6">
        <f t="shared" si="0"/>
        <v>1.88</v>
      </c>
      <c r="I6">
        <f t="shared" si="1"/>
        <v>1</v>
      </c>
      <c r="J6">
        <v>1</v>
      </c>
      <c r="L6" t="s">
        <v>83</v>
      </c>
      <c r="M6">
        <v>-110</v>
      </c>
    </row>
    <row r="7" spans="1:13" x14ac:dyDescent="0.25">
      <c r="A7" t="s">
        <v>65</v>
      </c>
      <c r="B7" t="s">
        <v>30</v>
      </c>
      <c r="C7" t="s">
        <v>38</v>
      </c>
      <c r="D7" cm="1">
        <f t="array" ref="D7">INDEX(Table2[[#All],[Week 1]:[Week 5]],MATCH(Week_3!B7,Table2[Team/Elo],0)+1,MATCH($A$1,Table2[[#Headers],[Week 1]:[Week 5]],0))</f>
        <v>1545</v>
      </c>
      <c r="E7" cm="1">
        <f t="array" ref="E7">INDEX(Table2[[#All],[Week 1]:[Week 5]],MATCH(Week_3!C7,Table2[Team/Elo],0)+1,MATCH($A$1,Table2[[#Headers],[Week 1]:[Week 5]],0))</f>
        <v>1483</v>
      </c>
      <c r="F7" t="str">
        <f t="shared" si="2"/>
        <v>Bears</v>
      </c>
      <c r="G7" t="s">
        <v>30</v>
      </c>
      <c r="H7">
        <f t="shared" si="0"/>
        <v>2.48</v>
      </c>
      <c r="I7">
        <f t="shared" si="1"/>
        <v>1</v>
      </c>
      <c r="J7">
        <v>1</v>
      </c>
      <c r="L7" t="s">
        <v>81</v>
      </c>
      <c r="M7" s="13">
        <f>(M5/ABS(M6))+1</f>
        <v>1.9090909090909092</v>
      </c>
    </row>
    <row r="8" spans="1:13" x14ac:dyDescent="0.25">
      <c r="A8" t="s">
        <v>66</v>
      </c>
      <c r="B8" t="s">
        <v>28</v>
      </c>
      <c r="C8" t="s">
        <v>27</v>
      </c>
      <c r="D8" cm="1">
        <f t="array" ref="D8">INDEX(Table2[[#All],[Week 1]:[Week 5]],MATCH(Week_3!B8,Table2[Team/Elo],0)+1,MATCH($A$1,Table2[[#Headers],[Week 1]:[Week 5]],0))</f>
        <v>1587</v>
      </c>
      <c r="E8" cm="1">
        <f t="array" ref="E8">INDEX(Table2[[#All],[Week 1]:[Week 5]],MATCH(Week_3!C8,Table2[Team/Elo],0)+1,MATCH($A$1,Table2[[#Headers],[Week 1]:[Week 5]],0))</f>
        <v>1582</v>
      </c>
      <c r="F8" t="str">
        <f t="shared" si="2"/>
        <v>Rams</v>
      </c>
      <c r="G8" t="s">
        <v>27</v>
      </c>
      <c r="H8">
        <f t="shared" si="0"/>
        <v>0.2</v>
      </c>
      <c r="I8">
        <f t="shared" si="1"/>
        <v>-1</v>
      </c>
      <c r="J8">
        <v>-1</v>
      </c>
      <c r="L8" t="s">
        <v>79</v>
      </c>
      <c r="M8" s="12">
        <f>M5*M7</f>
        <v>190.90909090909091</v>
      </c>
    </row>
    <row r="9" spans="1:13" x14ac:dyDescent="0.25">
      <c r="A9" t="s">
        <v>67</v>
      </c>
      <c r="B9" t="s">
        <v>36</v>
      </c>
      <c r="C9" t="s">
        <v>22</v>
      </c>
      <c r="D9" cm="1">
        <f t="array" ref="D9">INDEX(Table2[[#All],[Week 1]:[Week 5]],MATCH(Week_3!B9,Table2[Team/Elo],0)+1,MATCH($A$1,Table2[[#Headers],[Week 1]:[Week 5]],0))</f>
        <v>1469</v>
      </c>
      <c r="E9" cm="1">
        <f t="array" ref="E9">INDEX(Table2[[#All],[Week 1]:[Week 5]],MATCH(Week_3!C9,Table2[Team/Elo],0)+1,MATCH($A$1,Table2[[#Headers],[Week 1]:[Week 5]],0))</f>
        <v>1598</v>
      </c>
      <c r="F9" t="str">
        <f t="shared" si="2"/>
        <v>Steelers</v>
      </c>
      <c r="G9" t="s">
        <v>22</v>
      </c>
      <c r="H9">
        <f t="shared" si="0"/>
        <v>5.16</v>
      </c>
      <c r="I9">
        <f t="shared" si="1"/>
        <v>1</v>
      </c>
      <c r="J9">
        <v>1</v>
      </c>
    </row>
    <row r="10" spans="1:13" x14ac:dyDescent="0.25">
      <c r="A10" t="s">
        <v>68</v>
      </c>
      <c r="B10" t="s">
        <v>26</v>
      </c>
      <c r="C10" t="s">
        <v>31</v>
      </c>
      <c r="D10" cm="1">
        <f t="array" ref="D10">INDEX(Table2[[#All],[Week 1]:[Week 5]],MATCH(Week_3!B10,Table2[Team/Elo],0)+1,MATCH($A$1,Table2[[#Headers],[Week 1]:[Week 5]],0))</f>
        <v>1577</v>
      </c>
      <c r="E10" cm="1">
        <f t="array" ref="E10">INDEX(Table2[[#All],[Week 1]:[Week 5]],MATCH(Week_3!C10,Table2[Team/Elo],0)+1,MATCH($A$1,Table2[[#Headers],[Week 1]:[Week 5]],0))</f>
        <v>1478</v>
      </c>
      <c r="F10" t="str">
        <f t="shared" si="2"/>
        <v>Titans</v>
      </c>
      <c r="G10" t="s">
        <v>26</v>
      </c>
      <c r="H10">
        <f t="shared" si="0"/>
        <v>3.96</v>
      </c>
      <c r="I10">
        <f t="shared" si="1"/>
        <v>1</v>
      </c>
      <c r="J10">
        <v>-1</v>
      </c>
      <c r="L10" t="s">
        <v>82</v>
      </c>
    </row>
    <row r="11" spans="1:13" x14ac:dyDescent="0.25">
      <c r="A11" t="s">
        <v>69</v>
      </c>
      <c r="B11" t="s">
        <v>45</v>
      </c>
      <c r="C11" t="s">
        <v>41</v>
      </c>
      <c r="D11" cm="1">
        <f t="array" ref="D11">INDEX(Table2[[#All],[Week 1]:[Week 5]],MATCH(Week_3!B11,Table2[Team/Elo],0)+1,MATCH($A$1,Table2[[#Headers],[Week 1]:[Week 5]],0))</f>
        <v>1396</v>
      </c>
      <c r="E11" cm="1">
        <f t="array" ref="E11">INDEX(Table2[[#All],[Week 1]:[Week 5]],MATCH(Week_3!C11,Table2[Team/Elo],0)+1,MATCH($A$1,Table2[[#Headers],[Week 1]:[Week 5]],0))</f>
        <v>1457</v>
      </c>
      <c r="F11" t="str">
        <f t="shared" si="2"/>
        <v>Chargers</v>
      </c>
      <c r="G11" t="s">
        <v>45</v>
      </c>
      <c r="H11">
        <f t="shared" si="0"/>
        <v>2.44</v>
      </c>
      <c r="I11">
        <f t="shared" si="1"/>
        <v>-1</v>
      </c>
      <c r="J11">
        <v>-1</v>
      </c>
      <c r="L11" t="s">
        <v>78</v>
      </c>
      <c r="M11" s="12">
        <v>100</v>
      </c>
    </row>
    <row r="12" spans="1:13" x14ac:dyDescent="0.25">
      <c r="A12" t="s">
        <v>70</v>
      </c>
      <c r="B12" t="s">
        <v>42</v>
      </c>
      <c r="C12" t="s">
        <v>33</v>
      </c>
      <c r="D12" cm="1">
        <f t="array" ref="D12">INDEX(Table2[[#All],[Week 1]:[Week 5]],MATCH(Week_3!B12,Table2[Team/Elo],0)+1,MATCH($A$1,Table2[[#Headers],[Week 1]:[Week 5]],0))</f>
        <v>1419</v>
      </c>
      <c r="E12" cm="1">
        <f t="array" ref="E12">INDEX(Table2[[#All],[Week 1]:[Week 5]],MATCH(Week_3!C12,Table2[Team/Elo],0)+1,MATCH($A$1,Table2[[#Headers],[Week 1]:[Week 5]],0))</f>
        <v>1527</v>
      </c>
      <c r="F12" t="str">
        <f t="shared" si="2"/>
        <v>Colts</v>
      </c>
      <c r="G12" t="s">
        <v>33</v>
      </c>
      <c r="H12">
        <f t="shared" si="0"/>
        <v>4.32</v>
      </c>
      <c r="I12">
        <f t="shared" si="1"/>
        <v>1</v>
      </c>
      <c r="J12">
        <v>-1</v>
      </c>
      <c r="L12" t="s">
        <v>83</v>
      </c>
      <c r="M12">
        <v>-200</v>
      </c>
    </row>
    <row r="13" spans="1:13" x14ac:dyDescent="0.25">
      <c r="A13" t="s">
        <v>71</v>
      </c>
      <c r="B13" t="s">
        <v>29</v>
      </c>
      <c r="C13" t="s">
        <v>23</v>
      </c>
      <c r="D13" cm="1">
        <f t="array" ref="D13">INDEX(Table2[[#All],[Week 1]:[Week 5]],MATCH(Week_3!B13,Table2[Team/Elo],0)+1,MATCH($A$1,Table2[[#Headers],[Week 1]:[Week 5]],0))</f>
        <v>1567</v>
      </c>
      <c r="E13" cm="1">
        <f t="array" ref="E13">INDEX(Table2[[#All],[Week 1]:[Week 5]],MATCH(Week_3!C13,Table2[Team/Elo],0)+1,MATCH($A$1,Table2[[#Headers],[Week 1]:[Week 5]],0))</f>
        <v>1610</v>
      </c>
      <c r="F13" t="str">
        <f t="shared" si="2"/>
        <v>Seahawks</v>
      </c>
      <c r="G13" t="s">
        <v>23</v>
      </c>
      <c r="H13">
        <f t="shared" si="0"/>
        <v>1.72</v>
      </c>
      <c r="I13">
        <f t="shared" si="1"/>
        <v>1</v>
      </c>
      <c r="J13">
        <v>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43</v>
      </c>
      <c r="C14" t="s">
        <v>35</v>
      </c>
      <c r="D14" cm="1">
        <f t="array" ref="D14">INDEX(Table2[[#All],[Week 1]:[Week 5]],MATCH(Week_3!B14,Table2[Team/Elo],0)+1,MATCH($A$1,Table2[[#Headers],[Week 1]:[Week 5]],0))</f>
        <v>1419</v>
      </c>
      <c r="E14" cm="1">
        <f t="array" ref="E14">INDEX(Table2[[#All],[Week 1]:[Week 5]],MATCH(Week_3!C14,Table2[Team/Elo],0)+1,MATCH($A$1,Table2[[#Headers],[Week 1]:[Week 5]],0))</f>
        <v>1522</v>
      </c>
      <c r="F14" t="str">
        <f t="shared" si="2"/>
        <v>Cardinals</v>
      </c>
      <c r="G14" t="s">
        <v>43</v>
      </c>
      <c r="H14">
        <f t="shared" si="0"/>
        <v>4.12</v>
      </c>
      <c r="I14">
        <f t="shared" si="1"/>
        <v>-1</v>
      </c>
      <c r="J14">
        <v>-1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32</v>
      </c>
      <c r="C15" t="s">
        <v>39</v>
      </c>
      <c r="D15" cm="1">
        <f t="array" ref="D15">INDEX(Table2[[#All],[Week 1]:[Week 5]],MATCH(Week_3!B15,Table2[Team/Elo],0)+1,MATCH($A$1,Table2[[#Headers],[Week 1]:[Week 5]],0))</f>
        <v>1535</v>
      </c>
      <c r="E15" cm="1">
        <f t="array" ref="E15">INDEX(Table2[[#All],[Week 1]:[Week 5]],MATCH(Week_3!C15,Table2[Team/Elo],0)+1,MATCH($A$1,Table2[[#Headers],[Week 1]:[Week 5]],0))</f>
        <v>1463</v>
      </c>
      <c r="F15" t="str">
        <f t="shared" si="2"/>
        <v>Buccaneers</v>
      </c>
      <c r="G15" t="s">
        <v>32</v>
      </c>
      <c r="H15">
        <f t="shared" si="0"/>
        <v>2.88</v>
      </c>
      <c r="I15">
        <f t="shared" si="1"/>
        <v>1</v>
      </c>
      <c r="J15">
        <v>1</v>
      </c>
    </row>
    <row r="16" spans="1:13" x14ac:dyDescent="0.25">
      <c r="A16" t="s">
        <v>84</v>
      </c>
      <c r="B16" t="s">
        <v>21</v>
      </c>
      <c r="C16" t="s">
        <v>20</v>
      </c>
      <c r="D16" s="14" cm="1">
        <f t="array" ref="D16">INDEX(Table2[[#All],[Week 1]:[Week 5]],MATCH(Week_3!B16,Table2[Team/Elo],0)+1,MATCH($A$1,Table2[[#Headers],[Week 1]:[Week 5]],0))</f>
        <v>1609</v>
      </c>
      <c r="E16" s="14" cm="1">
        <f t="array" ref="E16">INDEX(Table2[[#All],[Week 1]:[Week 5]],MATCH(Week_3!C16,Table2[Team/Elo],0)+1,MATCH($A$1,Table2[[#Headers],[Week 1]:[Week 5]],0))</f>
        <v>1594</v>
      </c>
      <c r="F16" t="str">
        <f>IF(D16&gt;E16,B16,C16)</f>
        <v>Packers</v>
      </c>
      <c r="G16" t="s">
        <v>21</v>
      </c>
      <c r="H16">
        <f>(MAX(D16,E16)-MIN(D16,E16))/25</f>
        <v>0.6</v>
      </c>
      <c r="I16">
        <f>IF(F16=G16,1,-1)</f>
        <v>1</v>
      </c>
      <c r="J16">
        <v>-1</v>
      </c>
    </row>
    <row r="17" spans="1:10" x14ac:dyDescent="0.25">
      <c r="A17" t="s">
        <v>85</v>
      </c>
      <c r="B17" t="s">
        <v>18</v>
      </c>
      <c r="C17" t="s">
        <v>19</v>
      </c>
      <c r="D17" s="14" cm="1">
        <f t="array" ref="D17">INDEX(Table2[[#All],[Week 1]:[Week 5]],MATCH(Week_3!B17,Table2[Team/Elo],0)+1,MATCH($A$1,Table2[[#Headers],[Week 1]:[Week 5]],0))</f>
        <v>1682</v>
      </c>
      <c r="E17" s="14" cm="1">
        <f t="array" ref="E17">INDEX(Table2[[#All],[Week 1]:[Week 5]],MATCH(Week_3!C17,Table2[Team/Elo],0)+1,MATCH($A$1,Table2[[#Headers],[Week 1]:[Week 5]],0))</f>
        <v>1675</v>
      </c>
      <c r="F17" t="str">
        <f>IF(D17&gt;E17,B17,C17)</f>
        <v>Chiefs</v>
      </c>
      <c r="G17" t="s">
        <v>18</v>
      </c>
      <c r="H17">
        <f>(MAX(D17,E17)-MIN(D17,E17))/25</f>
        <v>0.28000000000000003</v>
      </c>
      <c r="I17">
        <f>IF(F17=G17,1,-1)</f>
        <v>1</v>
      </c>
      <c r="J17">
        <v>1</v>
      </c>
    </row>
    <row r="19" spans="1:10" x14ac:dyDescent="0.25">
      <c r="A19" s="11" t="s">
        <v>75</v>
      </c>
      <c r="D19" s="11" t="s">
        <v>77</v>
      </c>
    </row>
    <row r="20" spans="1:10" x14ac:dyDescent="0.25">
      <c r="A20" t="s">
        <v>57</v>
      </c>
      <c r="B20">
        <f>COUNTIF($I$2:$I$17,1)</f>
        <v>11</v>
      </c>
      <c r="D20" t="s">
        <v>57</v>
      </c>
      <c r="E20">
        <f>COUNTIF(Table1456[Win Lost ATS],1)</f>
        <v>8</v>
      </c>
    </row>
    <row r="21" spans="1:10" ht="15.75" thickBot="1" x14ac:dyDescent="0.3">
      <c r="A21" s="10" t="s">
        <v>58</v>
      </c>
      <c r="B21" s="10">
        <f>COUNTIF($I$2:$I$17,-1)</f>
        <v>4</v>
      </c>
      <c r="D21" s="10" t="s">
        <v>58</v>
      </c>
      <c r="E21" s="10">
        <f>COUNTIF(Table1456[Win Lost ATS],-1)</f>
        <v>7</v>
      </c>
    </row>
    <row r="22" spans="1:10" x14ac:dyDescent="0.25">
      <c r="A22" t="s">
        <v>59</v>
      </c>
      <c r="B22">
        <f>B20-B21</f>
        <v>7</v>
      </c>
      <c r="D22" t="s">
        <v>59</v>
      </c>
      <c r="E22">
        <f>E20-E21</f>
        <v>1</v>
      </c>
    </row>
    <row r="24" spans="1:10" x14ac:dyDescent="0.25">
      <c r="A24" t="s">
        <v>94</v>
      </c>
      <c r="B24">
        <f>B20+B21</f>
        <v>15</v>
      </c>
      <c r="D24" t="s">
        <v>94</v>
      </c>
      <c r="E24">
        <f>E20+E21</f>
        <v>15</v>
      </c>
    </row>
    <row r="25" spans="1:10" x14ac:dyDescent="0.25">
      <c r="A25" t="s">
        <v>93</v>
      </c>
      <c r="B25" s="12">
        <f>B20*M14</f>
        <v>1650</v>
      </c>
      <c r="D25" t="s">
        <v>93</v>
      </c>
      <c r="E25" s="12">
        <f>E20*M8</f>
        <v>1527.2727272727273</v>
      </c>
    </row>
    <row r="26" spans="1:10" x14ac:dyDescent="0.25">
      <c r="A26" t="s">
        <v>86</v>
      </c>
      <c r="B26" s="12">
        <f>B25-(B24*M11)</f>
        <v>150</v>
      </c>
      <c r="D26" t="s">
        <v>86</v>
      </c>
      <c r="E26" s="12">
        <f>E25-(E24*M5)</f>
        <v>27.272727272727252</v>
      </c>
    </row>
    <row r="27" spans="1:10" x14ac:dyDescent="0.25">
      <c r="B27" s="12"/>
      <c r="E27" s="12"/>
    </row>
    <row r="29" spans="1:10" x14ac:dyDescent="0.25">
      <c r="B2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2C8A-1EDD-4D39-AF79-70C4C8D109FB}">
  <dimension ref="A1:M27"/>
  <sheetViews>
    <sheetView topLeftCell="D1" workbookViewId="0">
      <selection sqref="A1:M26"/>
    </sheetView>
  </sheetViews>
  <sheetFormatPr defaultRowHeight="15" x14ac:dyDescent="0.25"/>
  <cols>
    <col min="1" max="1" width="17.42578125" bestFit="1" customWidth="1"/>
    <col min="2" max="2" width="11" bestFit="1" customWidth="1"/>
    <col min="3" max="3" width="11.57031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9.7109375" bestFit="1" customWidth="1"/>
    <col min="8" max="8" width="7.140625" bestFit="1" customWidth="1"/>
    <col min="9" max="9" width="9.28515625" bestFit="1" customWidth="1"/>
    <col min="10" max="10" width="12.42578125" bestFit="1" customWidth="1"/>
    <col min="12" max="12" width="34.28515625" bestFit="1" customWidth="1"/>
    <col min="13" max="13" width="8.28515625" bestFit="1" customWidth="1"/>
  </cols>
  <sheetData>
    <row r="1" spans="1:1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74</v>
      </c>
      <c r="I1" t="s">
        <v>56</v>
      </c>
      <c r="J1" t="s">
        <v>76</v>
      </c>
    </row>
    <row r="2" spans="1:13" x14ac:dyDescent="0.25">
      <c r="A2" t="s">
        <v>60</v>
      </c>
      <c r="B2" t="s">
        <v>39</v>
      </c>
      <c r="C2" t="s">
        <v>42</v>
      </c>
      <c r="D2" cm="1">
        <f t="array" ref="D2">INDEX(Table2[[#All],[Week 1]:[Week 5]],MATCH(Week_4!B2,Table2[Team/Elo],0)+1,MATCH($A$1,Table2[[#Headers],[Week 1]:[Week 5]],0))</f>
        <v>1452</v>
      </c>
      <c r="E2" cm="1">
        <f t="array" ref="E2">INDEX(Table2[[#All],[Week 1]:[Week 5]],MATCH(Week_4!C2,Table2[Team/Elo],0)+1,MATCH($A$1,Table2[[#Headers],[Week 1]:[Week 5]],0))</f>
        <v>1391</v>
      </c>
      <c r="F2" t="str">
        <f>IF(D2&gt;E2,B2,C2)</f>
        <v>Broncos</v>
      </c>
      <c r="G2" t="s">
        <v>39</v>
      </c>
      <c r="H2">
        <f t="shared" ref="H2:H16" si="0">(MAX(D2,E2)-MIN(D2,E2))/25</f>
        <v>2.44</v>
      </c>
      <c r="I2">
        <f t="shared" ref="I2:I16" si="1">IF(F2=G2,1,-1)</f>
        <v>1</v>
      </c>
      <c r="J2">
        <v>1</v>
      </c>
    </row>
    <row r="3" spans="1:13" x14ac:dyDescent="0.25">
      <c r="A3" t="s">
        <v>61</v>
      </c>
      <c r="B3" t="s">
        <v>20</v>
      </c>
      <c r="C3" t="s">
        <v>43</v>
      </c>
      <c r="D3" cm="1">
        <f t="array" ref="D3">INDEX(Table2[[#All],[Week 1]:[Week 5]],MATCH(Week_4!B3,Table2[Team/Elo],0)+1,MATCH($A$1,Table2[[#Headers],[Week 1]:[Week 5]],0))</f>
        <v>1577</v>
      </c>
      <c r="E3" cm="1">
        <f t="array" ref="E3">INDEX(Table2[[#All],[Week 1]:[Week 5]],MATCH(Week_4!C3,Table2[Team/Elo],0)+1,MATCH($A$1,Table2[[#Headers],[Week 1]:[Week 5]],0))</f>
        <v>1437</v>
      </c>
      <c r="F3" t="str">
        <f t="shared" ref="F3:F16" si="2">IF(D3&gt;E3,B3,C3)</f>
        <v>Saints</v>
      </c>
      <c r="G3" t="s">
        <v>20</v>
      </c>
      <c r="H3">
        <f t="shared" si="0"/>
        <v>5.6</v>
      </c>
      <c r="I3">
        <f t="shared" si="1"/>
        <v>1</v>
      </c>
      <c r="J3">
        <v>1</v>
      </c>
      <c r="M3" s="12"/>
    </row>
    <row r="4" spans="1:13" x14ac:dyDescent="0.25">
      <c r="A4" t="s">
        <v>62</v>
      </c>
      <c r="B4" t="s">
        <v>41</v>
      </c>
      <c r="C4" t="s">
        <v>32</v>
      </c>
      <c r="D4" cm="1">
        <f t="array" ref="D4">INDEX(Table2[[#All],[Week 1]:[Week 5]],MATCH(Week_4!B4,Table2[Team/Elo],0)+1,MATCH($A$1,Table2[[#Headers],[Week 1]:[Week 5]],0))</f>
        <v>1426</v>
      </c>
      <c r="E4" cm="1">
        <f t="array" ref="E4">INDEX(Table2[[#All],[Week 1]:[Week 5]],MATCH(Week_4!C4,Table2[Team/Elo],0)+1,MATCH($A$1,Table2[[#Headers],[Week 1]:[Week 5]],0))</f>
        <v>1558</v>
      </c>
      <c r="F4" t="str">
        <f t="shared" si="2"/>
        <v>Buccaneers</v>
      </c>
      <c r="G4" t="s">
        <v>32</v>
      </c>
      <c r="H4">
        <f t="shared" si="0"/>
        <v>5.28</v>
      </c>
      <c r="I4">
        <f t="shared" si="1"/>
        <v>1</v>
      </c>
      <c r="J4">
        <v>1</v>
      </c>
      <c r="L4" t="s">
        <v>80</v>
      </c>
    </row>
    <row r="5" spans="1:13" x14ac:dyDescent="0.25">
      <c r="A5" t="s">
        <v>63</v>
      </c>
      <c r="B5" t="s">
        <v>44</v>
      </c>
      <c r="C5" t="s">
        <v>49</v>
      </c>
      <c r="D5" cm="1">
        <f t="array" ref="D5">INDEX(Table2[[#All],[Week 1]:[Week 5]],MATCH(Week_4!B5,Table2[Team/Elo],0)+1,MATCH($A$1,Table2[[#Headers],[Week 1]:[Week 5]],0))</f>
        <v>1379</v>
      </c>
      <c r="E5" cm="1">
        <f t="array" ref="E5">INDEX(Table2[[#All],[Week 1]:[Week 5]],MATCH(Week_4!C5,Table2[Team/Elo],0)+1,MATCH($A$1,Table2[[#Headers],[Week 1]:[Week 5]],0))</f>
        <v>1379</v>
      </c>
      <c r="F5" t="str">
        <f t="shared" si="2"/>
        <v>Bengals</v>
      </c>
      <c r="G5" t="s">
        <v>49</v>
      </c>
      <c r="H5">
        <f t="shared" si="0"/>
        <v>0</v>
      </c>
      <c r="I5">
        <f t="shared" si="1"/>
        <v>1</v>
      </c>
      <c r="J5">
        <v>1</v>
      </c>
      <c r="L5" t="s">
        <v>78</v>
      </c>
      <c r="M5" s="12">
        <v>100</v>
      </c>
    </row>
    <row r="6" spans="1:13" x14ac:dyDescent="0.25">
      <c r="A6" t="s">
        <v>64</v>
      </c>
      <c r="B6" t="s">
        <v>31</v>
      </c>
      <c r="C6" t="s">
        <v>36</v>
      </c>
      <c r="D6" cm="1">
        <f t="array" ref="D6">INDEX(Table2[[#All],[Week 1]:[Week 5]],MATCH(Week_4!B6,Table2[Team/Elo],0)+1,MATCH($A$1,Table2[[#Headers],[Week 1]:[Week 5]],0))</f>
        <v>1473</v>
      </c>
      <c r="E6" cm="1">
        <f t="array" ref="E6">INDEX(Table2[[#All],[Week 1]:[Week 5]],MATCH(Week_4!C6,Table2[Team/Elo],0)+1,MATCH($A$1,Table2[[#Headers],[Week 1]:[Week 5]],0))</f>
        <v>1456</v>
      </c>
      <c r="F6" t="str">
        <f t="shared" si="2"/>
        <v>Vikings</v>
      </c>
      <c r="G6" t="s">
        <v>31</v>
      </c>
      <c r="H6">
        <f t="shared" si="0"/>
        <v>0.68</v>
      </c>
      <c r="I6">
        <f t="shared" si="1"/>
        <v>1</v>
      </c>
      <c r="J6">
        <v>1</v>
      </c>
      <c r="L6" t="s">
        <v>83</v>
      </c>
      <c r="M6">
        <v>-110</v>
      </c>
    </row>
    <row r="7" spans="1:13" x14ac:dyDescent="0.25">
      <c r="A7" t="s">
        <v>65</v>
      </c>
      <c r="B7" t="s">
        <v>23</v>
      </c>
      <c r="C7" t="s">
        <v>46</v>
      </c>
      <c r="D7" cm="1">
        <f t="array" ref="D7">INDEX(Table2[[#All],[Week 1]:[Week 5]],MATCH(Week_4!B7,Table2[Team/Elo],0)+1,MATCH($A$1,Table2[[#Headers],[Week 1]:[Week 5]],0))</f>
        <v>1629</v>
      </c>
      <c r="E7" cm="1">
        <f t="array" ref="E7">INDEX(Table2[[#All],[Week 1]:[Week 5]],MATCH(Week_4!C7,Table2[Team/Elo],0)+1,MATCH($A$1,Table2[[#Headers],[Week 1]:[Week 5]],0))</f>
        <v>1451</v>
      </c>
      <c r="F7" t="str">
        <f t="shared" si="2"/>
        <v>Seahawks</v>
      </c>
      <c r="G7" t="s">
        <v>23</v>
      </c>
      <c r="H7">
        <f t="shared" si="0"/>
        <v>7.12</v>
      </c>
      <c r="I7">
        <f t="shared" si="1"/>
        <v>1</v>
      </c>
      <c r="J7">
        <v>1</v>
      </c>
      <c r="L7" t="s">
        <v>81</v>
      </c>
      <c r="M7" s="13">
        <f>(M5/ABS(M6))+1</f>
        <v>1.9090909090909092</v>
      </c>
    </row>
    <row r="8" spans="1:13" x14ac:dyDescent="0.25">
      <c r="A8" t="s">
        <v>66</v>
      </c>
      <c r="B8" t="s">
        <v>40</v>
      </c>
      <c r="C8" t="s">
        <v>29</v>
      </c>
      <c r="D8" cm="1">
        <f t="array" ref="D8">INDEX(Table2[[#All],[Week 1]:[Week 5]],MATCH(Week_4!B8,Table2[Team/Elo],0)+1,MATCH($A$1,Table2[[#Headers],[Week 1]:[Week 5]],0))</f>
        <v>1507</v>
      </c>
      <c r="E8" cm="1">
        <f t="array" ref="E8">INDEX(Table2[[#All],[Week 1]:[Week 5]],MATCH(Week_4!C8,Table2[Team/Elo],0)+1,MATCH($A$1,Table2[[#Headers],[Week 1]:[Week 5]],0))</f>
        <v>1554</v>
      </c>
      <c r="F8" t="str">
        <f t="shared" si="2"/>
        <v>Cowboys</v>
      </c>
      <c r="G8" t="s">
        <v>40</v>
      </c>
      <c r="H8">
        <f t="shared" si="0"/>
        <v>1.88</v>
      </c>
      <c r="I8">
        <f t="shared" si="1"/>
        <v>-1</v>
      </c>
      <c r="J8">
        <v>-1</v>
      </c>
      <c r="L8" t="s">
        <v>79</v>
      </c>
      <c r="M8" s="12">
        <f>M5*M7</f>
        <v>190.90909090909091</v>
      </c>
    </row>
    <row r="9" spans="1:13" x14ac:dyDescent="0.25">
      <c r="A9" t="s">
        <v>67</v>
      </c>
      <c r="B9" t="s">
        <v>35</v>
      </c>
      <c r="C9" t="s">
        <v>45</v>
      </c>
      <c r="D9" cm="1">
        <f t="array" ref="D9">INDEX(Table2[[#All],[Week 1]:[Week 5]],MATCH(Week_4!B9,Table2[Team/Elo],0)+1,MATCH($A$1,Table2[[#Headers],[Week 1]:[Week 5]],0))</f>
        <v>1500</v>
      </c>
      <c r="E9" cm="1">
        <f t="array" ref="E9">INDEX(Table2[[#All],[Week 1]:[Week 5]],MATCH(Week_4!C9,Table2[Team/Elo],0)+1,MATCH($A$1,Table2[[#Headers],[Week 1]:[Week 5]],0))</f>
        <v>1423</v>
      </c>
      <c r="F9" t="str">
        <f t="shared" si="2"/>
        <v>Cardinals</v>
      </c>
      <c r="G9" t="s">
        <v>45</v>
      </c>
      <c r="H9">
        <f t="shared" si="0"/>
        <v>3.08</v>
      </c>
      <c r="I9">
        <f t="shared" si="1"/>
        <v>-1</v>
      </c>
      <c r="J9">
        <v>-1</v>
      </c>
    </row>
    <row r="10" spans="1:13" x14ac:dyDescent="0.25">
      <c r="A10" t="s">
        <v>68</v>
      </c>
      <c r="B10" t="s">
        <v>19</v>
      </c>
      <c r="C10" t="s">
        <v>47</v>
      </c>
      <c r="D10" cm="1">
        <f t="array" ref="D10">INDEX(Table2[[#All],[Week 1]:[Week 5]],MATCH(Week_4!B10,Table2[Team/Elo],0)+1,MATCH($A$1,Table2[[#Headers],[Week 1]:[Week 5]],0))</f>
        <v>1638</v>
      </c>
      <c r="E10" cm="1">
        <f t="array" ref="E10">INDEX(Table2[[#All],[Week 1]:[Week 5]],MATCH(Week_4!C10,Table2[Team/Elo],0)+1,MATCH($A$1,Table2[[#Headers],[Week 1]:[Week 5]],0))</f>
        <v>1369</v>
      </c>
      <c r="F10" t="str">
        <f t="shared" si="2"/>
        <v>Ravens</v>
      </c>
      <c r="G10" t="s">
        <v>19</v>
      </c>
      <c r="H10">
        <f t="shared" si="0"/>
        <v>10.76</v>
      </c>
      <c r="I10">
        <f t="shared" si="1"/>
        <v>1</v>
      </c>
      <c r="J10">
        <v>1</v>
      </c>
      <c r="L10" t="s">
        <v>82</v>
      </c>
    </row>
    <row r="11" spans="1:13" x14ac:dyDescent="0.25">
      <c r="A11" t="s">
        <v>69</v>
      </c>
      <c r="B11" t="s">
        <v>48</v>
      </c>
      <c r="C11" t="s">
        <v>28</v>
      </c>
      <c r="D11" cm="1">
        <f t="array" ref="D11">INDEX(Table2[[#All],[Week 1]:[Week 5]],MATCH(Week_4!B11,Table2[Team/Elo],0)+1,MATCH($A$1,Table2[[#Headers],[Week 1]:[Week 5]],0))</f>
        <v>1366</v>
      </c>
      <c r="E11" cm="1">
        <f t="array" ref="E11">INDEX(Table2[[#All],[Week 1]:[Week 5]],MATCH(Week_4!C11,Table2[Team/Elo],0)+1,MATCH($A$1,Table2[[#Headers],[Week 1]:[Week 5]],0))</f>
        <v>1580</v>
      </c>
      <c r="F11" t="str">
        <f t="shared" si="2"/>
        <v>Rams</v>
      </c>
      <c r="G11" t="s">
        <v>28</v>
      </c>
      <c r="H11">
        <f t="shared" si="0"/>
        <v>8.56</v>
      </c>
      <c r="I11">
        <f t="shared" si="1"/>
        <v>1</v>
      </c>
      <c r="J11">
        <v>1</v>
      </c>
      <c r="L11" t="s">
        <v>78</v>
      </c>
      <c r="M11" s="12">
        <v>100</v>
      </c>
    </row>
    <row r="12" spans="1:13" x14ac:dyDescent="0.25">
      <c r="A12" t="s">
        <v>70</v>
      </c>
      <c r="B12" t="s">
        <v>27</v>
      </c>
      <c r="C12" t="s">
        <v>37</v>
      </c>
      <c r="D12" cm="1">
        <f t="array" ref="D12">INDEX(Table2[[#All],[Week 1]:[Week 5]],MATCH(Week_4!B12,Table2[Team/Elo],0)+1,MATCH($A$1,Table2[[#Headers],[Week 1]:[Week 5]],0))</f>
        <v>1599</v>
      </c>
      <c r="E12" cm="1">
        <f t="array" ref="E12">INDEX(Table2[[#All],[Week 1]:[Week 5]],MATCH(Week_4!C12,Table2[Team/Elo],0)+1,MATCH($A$1,Table2[[#Headers],[Week 1]:[Week 5]],0))</f>
        <v>1506</v>
      </c>
      <c r="F12" t="str">
        <f t="shared" si="2"/>
        <v>Bills</v>
      </c>
      <c r="G12" t="s">
        <v>27</v>
      </c>
      <c r="H12">
        <f t="shared" si="0"/>
        <v>3.72</v>
      </c>
      <c r="I12">
        <f t="shared" si="1"/>
        <v>1</v>
      </c>
      <c r="J12">
        <v>1</v>
      </c>
      <c r="L12" t="s">
        <v>83</v>
      </c>
      <c r="M12">
        <v>-200</v>
      </c>
    </row>
    <row r="13" spans="1:13" x14ac:dyDescent="0.25">
      <c r="A13" t="s">
        <v>71</v>
      </c>
      <c r="B13" t="s">
        <v>33</v>
      </c>
      <c r="C13" t="s">
        <v>30</v>
      </c>
      <c r="D13" cm="1">
        <f t="array" ref="D13">INDEX(Table2[[#All],[Week 1]:[Week 5]],MATCH(Week_4!B13,Table2[Team/Elo],0)+1,MATCH($A$1,Table2[[#Headers],[Week 1]:[Week 5]],0))</f>
        <v>1549</v>
      </c>
      <c r="E13" cm="1">
        <f t="array" ref="E13">INDEX(Table2[[#All],[Week 1]:[Week 5]],MATCH(Week_4!C13,Table2[Team/Elo],0)+1,MATCH($A$1,Table2[[#Headers],[Week 1]:[Week 5]],0))</f>
        <v>1571</v>
      </c>
      <c r="F13" t="str">
        <f t="shared" si="2"/>
        <v>Bears</v>
      </c>
      <c r="G13" t="s">
        <v>33</v>
      </c>
      <c r="H13">
        <f t="shared" si="0"/>
        <v>0.88</v>
      </c>
      <c r="I13">
        <f t="shared" si="1"/>
        <v>-1</v>
      </c>
      <c r="J13">
        <v>-1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34</v>
      </c>
      <c r="C14" t="s">
        <v>24</v>
      </c>
      <c r="D14" cm="1">
        <f t="array" ref="D14">INDEX(Table2[[#All],[Week 1]:[Week 5]],MATCH(Week_4!B14,Table2[Team/Elo],0)+1,MATCH($A$1,Table2[[#Headers],[Week 1]:[Week 5]],0))</f>
        <v>1468</v>
      </c>
      <c r="E14" cm="1">
        <f t="array" ref="E14">INDEX(Table2[[#All],[Week 1]:[Week 5]],MATCH(Week_4!C14,Table2[Team/Elo],0)+1,MATCH($A$1,Table2[[#Headers],[Week 1]:[Week 5]],0))</f>
        <v>1616</v>
      </c>
      <c r="F14" t="str">
        <f t="shared" si="2"/>
        <v>49ers</v>
      </c>
      <c r="G14" t="s">
        <v>34</v>
      </c>
      <c r="H14">
        <f t="shared" si="0"/>
        <v>5.92</v>
      </c>
      <c r="I14">
        <f t="shared" si="1"/>
        <v>-1</v>
      </c>
      <c r="J14">
        <v>-1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25</v>
      </c>
      <c r="C15" t="s">
        <v>18</v>
      </c>
      <c r="D15" cm="1">
        <f t="array" ref="D15">INDEX(Table2[[#All],[Week 1]:[Week 5]],MATCH(Week_4!B15,Table2[Team/Elo],0)+1,MATCH($A$1,Table2[[#Headers],[Week 1]:[Week 5]],0))</f>
        <v>1581</v>
      </c>
      <c r="E15" cm="1">
        <f t="array" ref="E15">INDEX(Table2[[#All],[Week 1]:[Week 5]],MATCH(Week_4!C15,Table2[Team/Elo],0)+1,MATCH($A$1,Table2[[#Headers],[Week 1]:[Week 5]],0))</f>
        <v>1729</v>
      </c>
      <c r="F15" t="str">
        <f t="shared" si="2"/>
        <v>Chiefs</v>
      </c>
      <c r="G15" t="s">
        <v>18</v>
      </c>
      <c r="H15">
        <f t="shared" si="0"/>
        <v>5.92</v>
      </c>
      <c r="I15">
        <f t="shared" si="1"/>
        <v>1</v>
      </c>
      <c r="J15">
        <v>1</v>
      </c>
    </row>
    <row r="16" spans="1:13" x14ac:dyDescent="0.25">
      <c r="A16" t="s">
        <v>84</v>
      </c>
      <c r="B16" t="s">
        <v>38</v>
      </c>
      <c r="C16" t="s">
        <v>21</v>
      </c>
      <c r="D16" cm="1">
        <f t="array" ref="D16">INDEX(Table2[[#All],[Week 1]:[Week 5]],MATCH(Week_4!B16,Table2[Team/Elo],0)+1,MATCH($A$1,Table2[[#Headers],[Week 1]:[Week 5]],0))</f>
        <v>1460</v>
      </c>
      <c r="E16" cm="1">
        <f t="array" ref="E16">INDEX(Table2[[#All],[Week 1]:[Week 5]],MATCH(Week_4!C16,Table2[Team/Elo],0)+1,MATCH($A$1,Table2[[#Headers],[Week 1]:[Week 5]],0))</f>
        <v>1636</v>
      </c>
      <c r="F16" t="str">
        <f t="shared" si="2"/>
        <v>Packers</v>
      </c>
      <c r="G16" t="s">
        <v>21</v>
      </c>
      <c r="H16">
        <f t="shared" si="0"/>
        <v>7.04</v>
      </c>
      <c r="I16">
        <f t="shared" si="1"/>
        <v>1</v>
      </c>
      <c r="J16">
        <v>1</v>
      </c>
    </row>
    <row r="17" spans="1:5" x14ac:dyDescent="0.25">
      <c r="A17" s="15" t="s">
        <v>85</v>
      </c>
    </row>
    <row r="19" spans="1:5" x14ac:dyDescent="0.25">
      <c r="A19" s="11" t="s">
        <v>75</v>
      </c>
      <c r="D19" s="11" t="s">
        <v>77</v>
      </c>
    </row>
    <row r="20" spans="1:5" x14ac:dyDescent="0.25">
      <c r="A20" t="s">
        <v>57</v>
      </c>
      <c r="B20">
        <f>COUNTIF($I$2:$I$17,1)</f>
        <v>11</v>
      </c>
      <c r="D20" t="s">
        <v>57</v>
      </c>
      <c r="E20">
        <f>COUNTIF(Table18[Win Lost ATS],1)</f>
        <v>11</v>
      </c>
    </row>
    <row r="21" spans="1:5" ht="15.75" thickBot="1" x14ac:dyDescent="0.3">
      <c r="A21" s="10" t="s">
        <v>58</v>
      </c>
      <c r="B21" s="10">
        <f>COUNTIF($I$2:$I$17,-1)</f>
        <v>4</v>
      </c>
      <c r="D21" s="10" t="s">
        <v>58</v>
      </c>
      <c r="E21" s="10">
        <f>COUNTIF(Table18[Win Lost ATS],-1)</f>
        <v>4</v>
      </c>
    </row>
    <row r="22" spans="1:5" x14ac:dyDescent="0.25">
      <c r="A22" t="s">
        <v>59</v>
      </c>
      <c r="B22">
        <f>B20-B21</f>
        <v>7</v>
      </c>
      <c r="D22" t="s">
        <v>59</v>
      </c>
      <c r="E22">
        <f>E20-E21</f>
        <v>7</v>
      </c>
    </row>
    <row r="24" spans="1:5" x14ac:dyDescent="0.25">
      <c r="A24" t="s">
        <v>94</v>
      </c>
      <c r="B24">
        <f>B20+B21</f>
        <v>15</v>
      </c>
      <c r="D24" t="s">
        <v>94</v>
      </c>
      <c r="E24">
        <f>E20+E21</f>
        <v>15</v>
      </c>
    </row>
    <row r="25" spans="1:5" x14ac:dyDescent="0.25">
      <c r="A25" t="s">
        <v>93</v>
      </c>
      <c r="B25" s="12">
        <f>B20*M14</f>
        <v>1650</v>
      </c>
      <c r="D25" t="s">
        <v>93</v>
      </c>
      <c r="E25" s="12">
        <f>E20*M8</f>
        <v>2100</v>
      </c>
    </row>
    <row r="26" spans="1:5" x14ac:dyDescent="0.25">
      <c r="A26" t="s">
        <v>86</v>
      </c>
      <c r="B26" s="12">
        <f>B25-(B24*M11)</f>
        <v>150</v>
      </c>
      <c r="D26" t="s">
        <v>86</v>
      </c>
      <c r="E26" s="12">
        <f>E25-(E24*M5)</f>
        <v>600</v>
      </c>
    </row>
    <row r="27" spans="1:5" x14ac:dyDescent="0.25">
      <c r="B27" s="12"/>
      <c r="E27" s="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0CD1-19B7-47C8-A87D-F5EE9A9490F3}">
  <dimension ref="A1:M35"/>
  <sheetViews>
    <sheetView workbookViewId="0">
      <selection activeCell="I20" sqref="I20"/>
    </sheetView>
  </sheetViews>
  <sheetFormatPr defaultRowHeight="15" x14ac:dyDescent="0.25"/>
  <cols>
    <col min="1" max="1" width="17.42578125" bestFit="1" customWidth="1"/>
    <col min="2" max="2" width="11" bestFit="1" customWidth="1"/>
    <col min="3" max="3" width="11.57031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9.7109375" bestFit="1" customWidth="1"/>
    <col min="8" max="8" width="7.140625" bestFit="1" customWidth="1"/>
    <col min="9" max="9" width="11.7109375" customWidth="1"/>
    <col min="10" max="10" width="12.42578125" bestFit="1" customWidth="1"/>
    <col min="12" max="12" width="34.85546875" customWidth="1"/>
    <col min="13" max="13" width="8.28515625" bestFit="1" customWidth="1"/>
  </cols>
  <sheetData>
    <row r="1" spans="1:13" x14ac:dyDescent="0.25">
      <c r="A1" t="s">
        <v>1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74</v>
      </c>
      <c r="I1" t="s">
        <v>56</v>
      </c>
      <c r="J1" t="s">
        <v>76</v>
      </c>
    </row>
    <row r="2" spans="1:13" x14ac:dyDescent="0.25">
      <c r="A2" t="s">
        <v>60</v>
      </c>
      <c r="B2" t="s">
        <v>32</v>
      </c>
      <c r="C2" t="s">
        <v>30</v>
      </c>
      <c r="D2" cm="1">
        <f t="array" ref="D2">INDEX(Table2[[#All],[Week 1]:[Week 5]],MATCH(Week_5!B2,Table2[Team/Elo],0)+1,MATCH($A$1,Table2[[#Headers],[Week 1]:[Week 5]],0))</f>
        <v>1581</v>
      </c>
      <c r="E2" cm="1">
        <f t="array" ref="E2">INDEX(Table2[[#All],[Week 1]:[Week 5]],MATCH(Week_5!C2,Table2[Team/Elo],0)+1,MATCH($A$1,Table2[[#Headers],[Week 1]:[Week 5]],0))</f>
        <v>1544</v>
      </c>
      <c r="F2" t="str">
        <f>IF(D2&gt;E2,B2,C2)</f>
        <v>Buccaneers</v>
      </c>
      <c r="G2" t="s">
        <v>30</v>
      </c>
      <c r="H2">
        <f t="shared" ref="H2:H15" si="0">(MAX(D2,E2)-MIN(D2,E2))/25</f>
        <v>1.48</v>
      </c>
      <c r="I2">
        <f t="shared" ref="I2:I15" si="1">IF(F2=G2,1,-1)</f>
        <v>-1</v>
      </c>
      <c r="J2">
        <v>-1</v>
      </c>
    </row>
    <row r="3" spans="1:13" x14ac:dyDescent="0.25">
      <c r="A3" t="s">
        <v>61</v>
      </c>
      <c r="B3" t="s">
        <v>44</v>
      </c>
      <c r="C3" t="s">
        <v>36</v>
      </c>
      <c r="D3" cm="1">
        <f t="array" ref="D3">INDEX(Table2[[#All],[Week 1]:[Week 5]],MATCH(Week_5!B3,Table2[Team/Elo],0)+1,MATCH($A$1,Table2[[#Headers],[Week 1]:[Week 5]],0))</f>
        <v>1364</v>
      </c>
      <c r="E3" cm="1">
        <f t="array" ref="E3">INDEX(Table2[[#All],[Week 1]:[Week 5]],MATCH(Week_5!C3,Table2[Team/Elo],0)+1,MATCH($A$1,Table2[[#Headers],[Week 1]:[Week 5]],0))</f>
        <v>1434</v>
      </c>
      <c r="F3" t="str">
        <f t="shared" ref="F3:F15" si="2">IF(D3&gt;E3,B3,C3)</f>
        <v>Texans</v>
      </c>
      <c r="G3" t="s">
        <v>36</v>
      </c>
      <c r="H3">
        <f t="shared" si="0"/>
        <v>2.8</v>
      </c>
      <c r="I3">
        <f t="shared" si="1"/>
        <v>1</v>
      </c>
      <c r="J3">
        <v>1</v>
      </c>
      <c r="M3" s="12"/>
    </row>
    <row r="4" spans="1:13" x14ac:dyDescent="0.25">
      <c r="A4" t="s">
        <v>62</v>
      </c>
      <c r="B4" t="s">
        <v>49</v>
      </c>
      <c r="C4" t="s">
        <v>19</v>
      </c>
      <c r="D4" cm="1">
        <f t="array" ref="D4">INDEX(Table2[[#All],[Week 1]:[Week 5]],MATCH(Week_5!B4,Table2[Team/Elo],0)+1,MATCH($A$1,Table2[[#Headers],[Week 1]:[Week 5]],0))</f>
        <v>1402</v>
      </c>
      <c r="E4" cm="1">
        <f t="array" ref="E4">INDEX(Table2[[#All],[Week 1]:[Week 5]],MATCH(Week_5!C4,Table2[Team/Elo],0)+1,MATCH($A$1,Table2[[#Headers],[Week 1]:[Week 5]],0))</f>
        <v>1648</v>
      </c>
      <c r="F4" t="str">
        <f t="shared" si="2"/>
        <v>Ravens</v>
      </c>
      <c r="G4" t="s">
        <v>19</v>
      </c>
      <c r="H4">
        <f t="shared" si="0"/>
        <v>9.84</v>
      </c>
      <c r="I4">
        <f t="shared" si="1"/>
        <v>1</v>
      </c>
      <c r="J4">
        <v>1</v>
      </c>
      <c r="L4" t="s">
        <v>80</v>
      </c>
    </row>
    <row r="5" spans="1:13" x14ac:dyDescent="0.25">
      <c r="A5" t="s">
        <v>63</v>
      </c>
      <c r="B5" t="s">
        <v>45</v>
      </c>
      <c r="C5" t="s">
        <v>38</v>
      </c>
      <c r="D5" cm="1">
        <f t="array" ref="D5">INDEX(Table2[[#All],[Week 1]:[Week 5]],MATCH(Week_5!B5,Table2[Team/Elo],0)+1,MATCH($A$1,Table2[[#Headers],[Week 1]:[Week 5]],0))</f>
        <v>1458</v>
      </c>
      <c r="E5" cm="1">
        <f t="array" ref="E5">INDEX(Table2[[#All],[Week 1]:[Week 5]],MATCH(Week_5!C5,Table2[Team/Elo],0)+1,MATCH($A$1,Table2[[#Headers],[Week 1]:[Week 5]],0))</f>
        <v>1447</v>
      </c>
      <c r="F5" t="str">
        <f t="shared" si="2"/>
        <v>Panthers</v>
      </c>
      <c r="G5" t="s">
        <v>45</v>
      </c>
      <c r="H5">
        <f t="shared" si="0"/>
        <v>0.44</v>
      </c>
      <c r="I5">
        <f t="shared" si="1"/>
        <v>1</v>
      </c>
      <c r="J5">
        <v>1</v>
      </c>
      <c r="L5" t="s">
        <v>78</v>
      </c>
      <c r="M5" s="12">
        <v>100</v>
      </c>
    </row>
    <row r="6" spans="1:13" x14ac:dyDescent="0.25">
      <c r="A6" t="s">
        <v>64</v>
      </c>
      <c r="B6" t="s">
        <v>37</v>
      </c>
      <c r="C6" t="s">
        <v>18</v>
      </c>
      <c r="D6" cm="1">
        <f t="array" ref="D6">INDEX(Table2[[#All],[Week 1]:[Week 5]],MATCH(Week_5!B6,Table2[Team/Elo],0)+1,MATCH($A$1,Table2[[#Headers],[Week 1]:[Week 5]],0))</f>
        <v>1495</v>
      </c>
      <c r="E6" cm="1">
        <f t="array" ref="E6">INDEX(Table2[[#All],[Week 1]:[Week 5]],MATCH(Week_5!C6,Table2[Team/Elo],0)+1,MATCH($A$1,Table2[[#Headers],[Week 1]:[Week 5]],0))</f>
        <v>1737</v>
      </c>
      <c r="F6" t="str">
        <f t="shared" si="2"/>
        <v>Chiefs</v>
      </c>
      <c r="G6" t="s">
        <v>37</v>
      </c>
      <c r="H6">
        <f t="shared" si="0"/>
        <v>9.68</v>
      </c>
      <c r="I6">
        <f t="shared" si="1"/>
        <v>-1</v>
      </c>
      <c r="J6">
        <v>-1</v>
      </c>
      <c r="L6" t="s">
        <v>83</v>
      </c>
      <c r="M6">
        <v>-110</v>
      </c>
    </row>
    <row r="7" spans="1:13" x14ac:dyDescent="0.25">
      <c r="A7" t="s">
        <v>65</v>
      </c>
      <c r="B7" t="s">
        <v>35</v>
      </c>
      <c r="C7" t="s">
        <v>42</v>
      </c>
      <c r="D7" cm="1">
        <f t="array" ref="D7">INDEX(Table2[[#All],[Week 1]:[Week 5]],MATCH(Week_5!B7,Table2[Team/Elo],0)+1,MATCH($A$1,Table2[[#Headers],[Week 1]:[Week 5]],0))</f>
        <v>1481</v>
      </c>
      <c r="E7" cm="1">
        <f t="array" ref="E7">INDEX(Table2[[#All],[Week 1]:[Week 5]],MATCH(Week_5!C7,Table2[Team/Elo],0)+1,MATCH($A$1,Table2[[#Headers],[Week 1]:[Week 5]],0))</f>
        <v>1364</v>
      </c>
      <c r="F7" t="str">
        <f t="shared" si="2"/>
        <v>Cardinals</v>
      </c>
      <c r="G7" t="s">
        <v>35</v>
      </c>
      <c r="H7">
        <f t="shared" si="0"/>
        <v>4.68</v>
      </c>
      <c r="I7">
        <f t="shared" si="1"/>
        <v>1</v>
      </c>
      <c r="J7">
        <v>1</v>
      </c>
      <c r="L7" t="s">
        <v>81</v>
      </c>
      <c r="M7" s="13">
        <f>(M5/ABS(M6))+1</f>
        <v>1.9090909090909092</v>
      </c>
    </row>
    <row r="8" spans="1:13" x14ac:dyDescent="0.25">
      <c r="A8" t="s">
        <v>66</v>
      </c>
      <c r="B8" t="s">
        <v>34</v>
      </c>
      <c r="C8" t="s">
        <v>22</v>
      </c>
      <c r="D8" cm="1">
        <f t="array" ref="D8">INDEX(Table2[[#All],[Week 1]:[Week 5]],MATCH(Week_5!B8,Table2[Team/Elo],0)+1,MATCH($A$1,Table2[[#Headers],[Week 1]:[Week 5]],0))</f>
        <v>1496</v>
      </c>
      <c r="E8" cm="1">
        <f t="array" ref="E8">INDEX(Table2[[#All],[Week 1]:[Week 5]],MATCH(Week_5!C8,Table2[Team/Elo],0)+1,MATCH($A$1,Table2[[#Headers],[Week 1]:[Week 5]],0))</f>
        <v>1603</v>
      </c>
      <c r="F8" t="str">
        <f t="shared" si="2"/>
        <v>Steelers</v>
      </c>
      <c r="G8" t="s">
        <v>22</v>
      </c>
      <c r="H8">
        <f t="shared" si="0"/>
        <v>4.28</v>
      </c>
      <c r="I8">
        <f t="shared" si="1"/>
        <v>1</v>
      </c>
      <c r="J8">
        <v>1</v>
      </c>
      <c r="L8" t="s">
        <v>79</v>
      </c>
      <c r="M8" s="12">
        <f>M5*M7</f>
        <v>190.90909090909091</v>
      </c>
    </row>
    <row r="9" spans="1:13" x14ac:dyDescent="0.25">
      <c r="A9" t="s">
        <v>67</v>
      </c>
      <c r="B9" t="s">
        <v>28</v>
      </c>
      <c r="C9" t="s">
        <v>47</v>
      </c>
      <c r="D9" cm="1">
        <f t="array" ref="D9">INDEX(Table2[[#All],[Week 1]:[Week 5]],MATCH(Week_5!B9,Table2[Team/Elo],0)+1,MATCH($A$1,Table2[[#Headers],[Week 1]:[Week 5]],0))</f>
        <v>1585</v>
      </c>
      <c r="E9" cm="1">
        <f t="array" ref="E9">INDEX(Table2[[#All],[Week 1]:[Week 5]],MATCH(Week_5!C9,Table2[Team/Elo],0)+1,MATCH($A$1,Table2[[#Headers],[Week 1]:[Week 5]],0))</f>
        <v>1364</v>
      </c>
      <c r="F9" t="str">
        <f t="shared" si="2"/>
        <v>Rams</v>
      </c>
      <c r="G9" t="s">
        <v>28</v>
      </c>
      <c r="H9">
        <f t="shared" si="0"/>
        <v>8.84</v>
      </c>
      <c r="I9">
        <f t="shared" si="1"/>
        <v>1</v>
      </c>
      <c r="J9">
        <v>1</v>
      </c>
    </row>
    <row r="10" spans="1:13" x14ac:dyDescent="0.25">
      <c r="A10" t="s">
        <v>68</v>
      </c>
      <c r="B10" t="s">
        <v>46</v>
      </c>
      <c r="C10" t="s">
        <v>24</v>
      </c>
      <c r="D10" cm="1">
        <f t="array" ref="D10">INDEX(Table2[[#All],[Week 1]:[Week 5]],MATCH(Week_5!B10,Table2[Team/Elo],0)+1,MATCH($A$1,Table2[[#Headers],[Week 1]:[Week 5]],0))</f>
        <v>1438</v>
      </c>
      <c r="E10" cm="1">
        <f t="array" ref="E10">INDEX(Table2[[#All],[Week 1]:[Week 5]],MATCH(Week_5!C10,Table2[Team/Elo],0)+1,MATCH($A$1,Table2[[#Headers],[Week 1]:[Week 5]],0))</f>
        <v>1595</v>
      </c>
      <c r="F10" t="str">
        <f t="shared" si="2"/>
        <v>49ers</v>
      </c>
      <c r="G10" t="s">
        <v>46</v>
      </c>
      <c r="H10">
        <f t="shared" si="0"/>
        <v>6.28</v>
      </c>
      <c r="I10">
        <f t="shared" si="1"/>
        <v>-1</v>
      </c>
      <c r="J10">
        <v>-1</v>
      </c>
      <c r="L10" t="s">
        <v>82</v>
      </c>
    </row>
    <row r="11" spans="1:13" x14ac:dyDescent="0.25">
      <c r="A11" t="s">
        <v>69</v>
      </c>
      <c r="B11" t="s">
        <v>48</v>
      </c>
      <c r="C11" t="s">
        <v>29</v>
      </c>
      <c r="D11" cm="1">
        <f t="array" ref="D11">INDEX(Table2[[#All],[Week 1]:[Week 5]],MATCH(Week_5!B11,Table2[Team/Elo],0)+1,MATCH($A$1,Table2[[#Headers],[Week 1]:[Week 5]],0))</f>
        <v>1354</v>
      </c>
      <c r="E11" cm="1">
        <f t="array" ref="E11">INDEX(Table2[[#All],[Week 1]:[Week 5]],MATCH(Week_5!C11,Table2[Team/Elo],0)+1,MATCH($A$1,Table2[[#Headers],[Week 1]:[Week 5]],0))</f>
        <v>1530</v>
      </c>
      <c r="F11" t="str">
        <f t="shared" si="2"/>
        <v>Cowboys</v>
      </c>
      <c r="G11" t="s">
        <v>29</v>
      </c>
      <c r="H11">
        <f t="shared" si="0"/>
        <v>7.04</v>
      </c>
      <c r="I11">
        <f t="shared" si="1"/>
        <v>1</v>
      </c>
      <c r="J11">
        <v>-1</v>
      </c>
      <c r="L11" t="s">
        <v>78</v>
      </c>
      <c r="M11" s="12">
        <v>100</v>
      </c>
    </row>
    <row r="12" spans="1:13" x14ac:dyDescent="0.25">
      <c r="A12" t="s">
        <v>70</v>
      </c>
      <c r="B12" t="s">
        <v>33</v>
      </c>
      <c r="C12" t="s">
        <v>40</v>
      </c>
      <c r="D12" cm="1">
        <f t="array" ref="D12">INDEX(Table2[[#All],[Week 1]:[Week 5]],MATCH(Week_5!B12,Table2[Team/Elo],0)+1,MATCH($A$1,Table2[[#Headers],[Week 1]:[Week 5]],0))</f>
        <v>1572</v>
      </c>
      <c r="E12" cm="1">
        <f t="array" ref="E12">INDEX(Table2[[#All],[Week 1]:[Week 5]],MATCH(Week_5!C12,Table2[Team/Elo],0)+1,MATCH($A$1,Table2[[#Headers],[Week 1]:[Week 5]],0))</f>
        <v>1539</v>
      </c>
      <c r="F12" t="str">
        <f t="shared" si="2"/>
        <v>Colts</v>
      </c>
      <c r="G12" t="s">
        <v>40</v>
      </c>
      <c r="H12">
        <f t="shared" si="0"/>
        <v>1.32</v>
      </c>
      <c r="I12">
        <f t="shared" si="1"/>
        <v>-1</v>
      </c>
      <c r="J12">
        <v>-1</v>
      </c>
      <c r="L12" t="s">
        <v>83</v>
      </c>
      <c r="M12">
        <v>-200</v>
      </c>
    </row>
    <row r="13" spans="1:13" x14ac:dyDescent="0.25">
      <c r="A13" t="s">
        <v>71</v>
      </c>
      <c r="B13" t="s">
        <v>31</v>
      </c>
      <c r="C13" t="s">
        <v>23</v>
      </c>
      <c r="D13" cm="1">
        <f t="array" ref="D13">INDEX(Table2[[#All],[Week 1]:[Week 5]],MATCH(Week_5!B13,Table2[Team/Elo],0)+1,MATCH($A$1,Table2[[#Headers],[Week 1]:[Week 5]],0))</f>
        <v>1497</v>
      </c>
      <c r="E13" cm="1">
        <f t="array" ref="E13">INDEX(Table2[[#All],[Week 1]:[Week 5]],MATCH(Week_5!C13,Table2[Team/Elo],0)+1,MATCH($A$1,Table2[[#Headers],[Week 1]:[Week 5]],0))</f>
        <v>1639</v>
      </c>
      <c r="F13" t="str">
        <f t="shared" si="2"/>
        <v>Seahawks</v>
      </c>
      <c r="G13" t="s">
        <v>23</v>
      </c>
      <c r="H13">
        <f t="shared" si="0"/>
        <v>5.68</v>
      </c>
      <c r="I13">
        <f t="shared" si="1"/>
        <v>1</v>
      </c>
      <c r="J13">
        <v>-1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41</v>
      </c>
      <c r="C14" t="s">
        <v>20</v>
      </c>
      <c r="D14" cm="1">
        <f t="array" ref="D14">INDEX(Table2[[#All],[Week 1]:[Week 5]],MATCH(Week_5!B14,Table2[Team/Elo],0)+1,MATCH($A$1,Table2[[#Headers],[Week 1]:[Week 5]],0))</f>
        <v>1454</v>
      </c>
      <c r="E14" cm="1">
        <f t="array" ref="E14">INDEX(Table2[[#All],[Week 1]:[Week 5]],MATCH(Week_5!C14,Table2[Team/Elo],0)+1,MATCH($A$1,Table2[[#Headers],[Week 1]:[Week 5]],0))</f>
        <v>1584</v>
      </c>
      <c r="F14" t="str">
        <f t="shared" si="2"/>
        <v>Saints</v>
      </c>
      <c r="G14" t="s">
        <v>20</v>
      </c>
      <c r="H14">
        <f t="shared" si="0"/>
        <v>5.2</v>
      </c>
      <c r="I14">
        <f t="shared" si="1"/>
        <v>1</v>
      </c>
      <c r="J14">
        <v>-1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27</v>
      </c>
      <c r="C15" t="s">
        <v>26</v>
      </c>
      <c r="D15" cm="1">
        <f t="array" ref="D15">INDEX(Table2[[#All],[Week 1]:[Week 5]],MATCH(Week_5!B15,Table2[Team/Elo],0)+1,MATCH($A$1,Table2[[#Headers],[Week 1]:[Week 5]],0))</f>
        <v>1619</v>
      </c>
      <c r="E15" cm="1">
        <f t="array" ref="E15">INDEX(Table2[[#All],[Week 1]:[Week 5]],MATCH(Week_5!C15,Table2[Team/Elo],0)+1,MATCH($A$1,Table2[[#Headers],[Week 1]:[Week 5]],0))</f>
        <v>1580</v>
      </c>
      <c r="F15" t="str">
        <f t="shared" si="2"/>
        <v>Bills</v>
      </c>
      <c r="G15" t="s">
        <v>26</v>
      </c>
      <c r="H15">
        <f t="shared" si="0"/>
        <v>1.56</v>
      </c>
      <c r="I15">
        <f t="shared" si="1"/>
        <v>-1</v>
      </c>
      <c r="J15">
        <v>1</v>
      </c>
    </row>
    <row r="16" spans="1:13" x14ac:dyDescent="0.25">
      <c r="A16" t="s">
        <v>84</v>
      </c>
    </row>
    <row r="17" spans="1:10" x14ac:dyDescent="0.25">
      <c r="A17" s="15" t="s">
        <v>85</v>
      </c>
      <c r="D17" s="11"/>
    </row>
    <row r="19" spans="1:10" x14ac:dyDescent="0.25">
      <c r="A19" s="11" t="s">
        <v>75</v>
      </c>
      <c r="D19" s="11" t="s">
        <v>77</v>
      </c>
    </row>
    <row r="20" spans="1:10" x14ac:dyDescent="0.25">
      <c r="A20" t="s">
        <v>57</v>
      </c>
      <c r="B20">
        <f>COUNTIF($I$2:$I$17,1)</f>
        <v>9</v>
      </c>
      <c r="D20" t="s">
        <v>57</v>
      </c>
      <c r="E20">
        <f>COUNTIF($J$2:$J$17,1)</f>
        <v>7</v>
      </c>
    </row>
    <row r="21" spans="1:10" ht="15.75" thickBot="1" x14ac:dyDescent="0.3">
      <c r="A21" s="10" t="s">
        <v>58</v>
      </c>
      <c r="B21" s="10">
        <f>COUNTIF($I$2:$I$17,-1)</f>
        <v>5</v>
      </c>
      <c r="D21" s="10" t="s">
        <v>58</v>
      </c>
      <c r="E21" s="10">
        <f>COUNTIF($J$2:$J$17,-1)</f>
        <v>7</v>
      </c>
    </row>
    <row r="22" spans="1:10" x14ac:dyDescent="0.25">
      <c r="A22" t="s">
        <v>59</v>
      </c>
      <c r="B22">
        <f>B20-B21</f>
        <v>4</v>
      </c>
      <c r="D22" t="s">
        <v>59</v>
      </c>
      <c r="E22">
        <f>E20-E21</f>
        <v>0</v>
      </c>
    </row>
    <row r="24" spans="1:10" x14ac:dyDescent="0.25">
      <c r="A24" t="s">
        <v>94</v>
      </c>
      <c r="B24">
        <f>B20+B21</f>
        <v>14</v>
      </c>
      <c r="D24" t="s">
        <v>94</v>
      </c>
      <c r="E24">
        <f>E20+E21</f>
        <v>14</v>
      </c>
      <c r="I24" s="11"/>
      <c r="J24" s="11"/>
    </row>
    <row r="25" spans="1:10" x14ac:dyDescent="0.25">
      <c r="A25" t="s">
        <v>93</v>
      </c>
      <c r="B25" s="12">
        <f>B20*M14</f>
        <v>1350</v>
      </c>
      <c r="D25" t="s">
        <v>93</v>
      </c>
      <c r="E25" s="12">
        <f>E20*M8</f>
        <v>1336.3636363636363</v>
      </c>
      <c r="I25" s="11"/>
      <c r="J25" s="11"/>
    </row>
    <row r="26" spans="1:10" x14ac:dyDescent="0.25">
      <c r="A26" t="s">
        <v>86</v>
      </c>
      <c r="B26" s="12">
        <f>B25-(B24*M11)</f>
        <v>-50</v>
      </c>
      <c r="D26" t="s">
        <v>86</v>
      </c>
      <c r="E26" s="12">
        <f>E25-(E24*M5)</f>
        <v>-63.63636363636374</v>
      </c>
      <c r="I26" s="11"/>
      <c r="J26" s="11"/>
    </row>
    <row r="27" spans="1:10" x14ac:dyDescent="0.25">
      <c r="B27" s="12"/>
      <c r="E27" s="12"/>
    </row>
    <row r="28" spans="1:10" x14ac:dyDescent="0.25">
      <c r="I28" s="11"/>
      <c r="J28" s="11"/>
    </row>
    <row r="29" spans="1:10" x14ac:dyDescent="0.25">
      <c r="B29" s="12"/>
      <c r="I29" s="11"/>
      <c r="J29" s="11"/>
    </row>
    <row r="30" spans="1:10" x14ac:dyDescent="0.25">
      <c r="I30" s="11"/>
      <c r="J30" s="11"/>
    </row>
    <row r="32" spans="1:10" x14ac:dyDescent="0.25">
      <c r="I32" s="11"/>
      <c r="J32" s="11"/>
    </row>
    <row r="34" spans="9:10" x14ac:dyDescent="0.25">
      <c r="I34" s="11"/>
      <c r="J34" s="11"/>
    </row>
    <row r="35" spans="9:10" x14ac:dyDescent="0.25">
      <c r="I35" s="11"/>
      <c r="J35" s="1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8358-9089-4D92-BD40-B507951DC253}">
  <dimension ref="A1:M26"/>
  <sheetViews>
    <sheetView workbookViewId="0">
      <selection activeCell="E14" sqref="E14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11" bestFit="1" customWidth="1"/>
    <col min="4" max="4" width="15.42578125" bestFit="1" customWidth="1"/>
    <col min="5" max="5" width="10.42578125" bestFit="1" customWidth="1"/>
    <col min="6" max="6" width="11.5703125" bestFit="1" customWidth="1"/>
    <col min="7" max="7" width="6.5703125" bestFit="1" customWidth="1"/>
    <col min="8" max="8" width="7.140625" bestFit="1" customWidth="1"/>
    <col min="9" max="9" width="9.28515625" bestFit="1" customWidth="1"/>
    <col min="10" max="10" width="12.42578125" bestFit="1" customWidth="1"/>
    <col min="12" max="12" width="34.28515625" bestFit="1" customWidth="1"/>
    <col min="13" max="13" width="8.28515625" bestFit="1" customWidth="1"/>
  </cols>
  <sheetData>
    <row r="1" spans="1:13" x14ac:dyDescent="0.25">
      <c r="A1" t="s">
        <v>6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74</v>
      </c>
      <c r="I1" t="s">
        <v>56</v>
      </c>
      <c r="J1" t="s">
        <v>76</v>
      </c>
    </row>
    <row r="2" spans="1:13" x14ac:dyDescent="0.25">
      <c r="A2" t="s">
        <v>60</v>
      </c>
      <c r="B2" t="s">
        <v>36</v>
      </c>
      <c r="C2" t="s">
        <v>26</v>
      </c>
      <c r="D2" cm="1">
        <f t="array" ref="D2">INDEX(Table2[[#All],[Week 1]:[Week 6]],MATCH(Week_6!B2,Table2[Team/Elo],0)+1,MATCH($A$1,Table2[[#Headers],[Week 1]:[Week 6]],0))</f>
        <v>1459</v>
      </c>
      <c r="E2" cm="1">
        <f t="array" ref="E2">INDEX(Table2[[#All],[Week 1]:[Week 6]],MATCH(Week_6!C2,Table2[Team/Elo],0)+1,MATCH($A$1,Table2[[#Headers],[Week 1]:[Week 6]],0))</f>
        <v>1622</v>
      </c>
      <c r="F2" t="str">
        <f>IF(D2&gt;E2,B2,C2)</f>
        <v>Titans</v>
      </c>
      <c r="H2">
        <f t="shared" ref="H2:H15" si="0">(MAX(D2,E2)-MIN(D2,E2))/25</f>
        <v>6.52</v>
      </c>
      <c r="I2">
        <f t="shared" ref="I2:I15" si="1">IF(F2=G2,1,-1)</f>
        <v>-1</v>
      </c>
    </row>
    <row r="3" spans="1:13" x14ac:dyDescent="0.25">
      <c r="A3" t="s">
        <v>61</v>
      </c>
      <c r="B3" t="s">
        <v>19</v>
      </c>
      <c r="C3" t="s">
        <v>34</v>
      </c>
      <c r="D3" cm="1">
        <f t="array" ref="D3">INDEX(Table2[[#All],[Week 1]:[Week 6]],MATCH(Week_6!B3,Table2[Team/Elo],0)+1,MATCH($A$1,Table2[[#Headers],[Week 1]:[Week 6]],0))</f>
        <v>1649</v>
      </c>
      <c r="E3" cm="1">
        <f t="array" ref="E3">INDEX(Table2[[#All],[Week 1]:[Week 6]],MATCH(Week_6!C3,Table2[Team/Elo],0)+1,MATCH($A$1,Table2[[#Headers],[Week 1]:[Week 6]],0))</f>
        <v>1480</v>
      </c>
      <c r="F3" t="str">
        <f t="shared" ref="F3:F15" si="2">IF(D3&gt;E3,B3,C3)</f>
        <v>Ravens</v>
      </c>
      <c r="H3">
        <f t="shared" si="0"/>
        <v>6.76</v>
      </c>
      <c r="I3">
        <f t="shared" si="1"/>
        <v>-1</v>
      </c>
      <c r="M3" s="12"/>
    </row>
    <row r="4" spans="1:13" x14ac:dyDescent="0.25">
      <c r="A4" t="s">
        <v>62</v>
      </c>
      <c r="B4" t="s">
        <v>38</v>
      </c>
      <c r="C4" t="s">
        <v>31</v>
      </c>
      <c r="D4" cm="1">
        <f t="array" ref="D4">INDEX(Table2[[#All],[Week 1]:[Week 6]],MATCH(Week_6!B4,Table2[Team/Elo],0)+1,MATCH($A$1,Table2[[#Headers],[Week 1]:[Week 6]],0))</f>
        <v>1416</v>
      </c>
      <c r="E4" cm="1">
        <f t="array" ref="E4">INDEX(Table2[[#All],[Week 1]:[Week 6]],MATCH(Week_6!C4,Table2[Team/Elo],0)+1,MATCH($A$1,Table2[[#Headers],[Week 1]:[Week 6]],0))</f>
        <v>1491</v>
      </c>
      <c r="F4" t="str">
        <f t="shared" si="2"/>
        <v>Vikings</v>
      </c>
      <c r="H4">
        <f t="shared" si="0"/>
        <v>3</v>
      </c>
      <c r="I4">
        <f t="shared" si="1"/>
        <v>-1</v>
      </c>
      <c r="L4" t="s">
        <v>80</v>
      </c>
    </row>
    <row r="5" spans="1:13" x14ac:dyDescent="0.25">
      <c r="A5" t="s">
        <v>63</v>
      </c>
      <c r="B5" t="s">
        <v>40</v>
      </c>
      <c r="C5" t="s">
        <v>22</v>
      </c>
      <c r="D5" cm="1">
        <f t="array" ref="D5">INDEX(Table2[[#All],[Week 1]:[Week 6]],MATCH(Week_6!B5,Table2[Team/Elo],0)+1,MATCH($A$1,Table2[[#Headers],[Week 1]:[Week 6]],0))</f>
        <v>1563</v>
      </c>
      <c r="E5" cm="1">
        <f t="array" ref="E5">INDEX(Table2[[#All],[Week 1]:[Week 6]],MATCH(Week_6!C5,Table2[Team/Elo],0)+1,MATCH($A$1,Table2[[#Headers],[Week 1]:[Week 6]],0))</f>
        <v>1619</v>
      </c>
      <c r="F5" t="str">
        <f t="shared" si="2"/>
        <v>Steelers</v>
      </c>
      <c r="H5">
        <f t="shared" si="0"/>
        <v>2.2400000000000002</v>
      </c>
      <c r="I5">
        <f t="shared" si="1"/>
        <v>-1</v>
      </c>
      <c r="L5" t="s">
        <v>78</v>
      </c>
      <c r="M5" s="12">
        <v>100</v>
      </c>
    </row>
    <row r="6" spans="1:13" x14ac:dyDescent="0.25">
      <c r="A6" t="s">
        <v>64</v>
      </c>
      <c r="B6" t="s">
        <v>49</v>
      </c>
      <c r="C6" t="s">
        <v>33</v>
      </c>
      <c r="D6" cm="1">
        <f t="array" ref="D6">INDEX(Table2[[#All],[Week 1]:[Week 6]],MATCH(Week_6!B6,Table2[Team/Elo],0)+1,MATCH($A$1,Table2[[#Headers],[Week 1]:[Week 6]],0))</f>
        <v>1382</v>
      </c>
      <c r="E6" cm="1">
        <f t="array" ref="E6">INDEX(Table2[[#All],[Week 1]:[Week 6]],MATCH(Week_6!C6,Table2[Team/Elo],0)+1,MATCH($A$1,Table2[[#Headers],[Week 1]:[Week 6]],0))</f>
        <v>1541</v>
      </c>
      <c r="F6" t="str">
        <f t="shared" si="2"/>
        <v>Colts</v>
      </c>
      <c r="H6">
        <f t="shared" si="0"/>
        <v>6.36</v>
      </c>
      <c r="I6">
        <f t="shared" si="1"/>
        <v>-1</v>
      </c>
      <c r="L6" t="s">
        <v>83</v>
      </c>
      <c r="M6">
        <v>-110</v>
      </c>
    </row>
    <row r="7" spans="1:13" x14ac:dyDescent="0.25">
      <c r="A7" t="s">
        <v>65</v>
      </c>
      <c r="B7" t="s">
        <v>43</v>
      </c>
      <c r="C7" t="s">
        <v>44</v>
      </c>
      <c r="D7" cm="1">
        <f t="array" ref="D7">INDEX(Table2[[#All],[Week 1]:[Week 6]],MATCH(Week_6!B7,Table2[Team/Elo],0)+1,MATCH($A$1,Table2[[#Headers],[Week 1]:[Week 6]],0))</f>
        <v>1421</v>
      </c>
      <c r="E7" cm="1">
        <f t="array" ref="E7">INDEX(Table2[[#All],[Week 1]:[Week 6]],MATCH(Week_6!C7,Table2[Team/Elo],0)+1,MATCH($A$1,Table2[[#Headers],[Week 1]:[Week 6]],0))</f>
        <v>1347</v>
      </c>
      <c r="F7" t="str">
        <f t="shared" si="2"/>
        <v>Lions</v>
      </c>
      <c r="H7">
        <f t="shared" si="0"/>
        <v>2.96</v>
      </c>
      <c r="I7">
        <f t="shared" si="1"/>
        <v>-1</v>
      </c>
      <c r="L7" t="s">
        <v>81</v>
      </c>
      <c r="M7" s="13">
        <f>(M5/ABS(M6))+1</f>
        <v>1.9090909090909092</v>
      </c>
    </row>
    <row r="8" spans="1:13" x14ac:dyDescent="0.25">
      <c r="A8" t="s">
        <v>66</v>
      </c>
      <c r="B8" t="s">
        <v>30</v>
      </c>
      <c r="C8" t="s">
        <v>45</v>
      </c>
      <c r="D8" cm="1">
        <f t="array" ref="D8">INDEX(Table2[[#All],[Week 1]:[Week 6]],MATCH(Week_6!B8,Table2[Team/Elo],0)+1,MATCH($A$1,Table2[[#Headers],[Week 1]:[Week 6]],0))</f>
        <v>1551</v>
      </c>
      <c r="E8" cm="1">
        <f t="array" ref="E8">INDEX(Table2[[#All],[Week 1]:[Week 6]],MATCH(Week_6!C8,Table2[Team/Elo],0)+1,MATCH($A$1,Table2[[#Headers],[Week 1]:[Week 6]],0))</f>
        <v>1484</v>
      </c>
      <c r="F8" t="str">
        <f t="shared" si="2"/>
        <v>Bears</v>
      </c>
      <c r="H8">
        <f t="shared" si="0"/>
        <v>2.68</v>
      </c>
      <c r="I8">
        <f t="shared" si="1"/>
        <v>-1</v>
      </c>
      <c r="L8" t="s">
        <v>79</v>
      </c>
      <c r="M8" s="12">
        <f>M5*M7</f>
        <v>190.90909090909091</v>
      </c>
    </row>
    <row r="9" spans="1:13" x14ac:dyDescent="0.25">
      <c r="A9" t="s">
        <v>67</v>
      </c>
      <c r="B9" t="s">
        <v>47</v>
      </c>
      <c r="C9" t="s">
        <v>48</v>
      </c>
      <c r="D9" cm="1">
        <f t="array" ref="D9">INDEX(Table2[[#All],[Week 1]:[Week 6]],MATCH(Week_6!B9,Table2[Team/Elo],0)+1,MATCH($A$1,Table2[[#Headers],[Week 1]:[Week 6]],0))</f>
        <v>1348</v>
      </c>
      <c r="E9" cm="1">
        <f t="array" ref="E9">INDEX(Table2[[#All],[Week 1]:[Week 6]],MATCH(Week_6!C9,Table2[Team/Elo],0)+1,MATCH($A$1,Table2[[#Headers],[Week 1]:[Week 6]],0))</f>
        <v>1344</v>
      </c>
      <c r="F9" t="str">
        <f t="shared" si="2"/>
        <v>Washington</v>
      </c>
      <c r="H9">
        <f t="shared" si="0"/>
        <v>0.16</v>
      </c>
      <c r="I9">
        <f t="shared" si="1"/>
        <v>-1</v>
      </c>
    </row>
    <row r="10" spans="1:13" x14ac:dyDescent="0.25">
      <c r="A10" t="s">
        <v>68</v>
      </c>
      <c r="B10" t="s">
        <v>39</v>
      </c>
      <c r="C10" t="s">
        <v>25</v>
      </c>
      <c r="D10" cm="1">
        <f t="array" ref="D10">INDEX(Table2[[#All],[Week 1]:[Week 6]],MATCH(Week_6!B10,Table2[Team/Elo],0)+1,MATCH($A$1,Table2[[#Headers],[Week 1]:[Week 6]],0))</f>
        <v>1485</v>
      </c>
      <c r="E10" cm="1">
        <f t="array" ref="E10">INDEX(Table2[[#All],[Week 1]:[Week 6]],MATCH(Week_6!C10,Table2[Team/Elo],0)+1,MATCH($A$1,Table2[[#Headers],[Week 1]:[Week 6]],0))</f>
        <v>1577</v>
      </c>
      <c r="F10" t="str">
        <f t="shared" si="2"/>
        <v>Patriots</v>
      </c>
      <c r="H10">
        <f t="shared" si="0"/>
        <v>3.68</v>
      </c>
      <c r="I10">
        <f t="shared" si="1"/>
        <v>-1</v>
      </c>
      <c r="L10" t="s">
        <v>82</v>
      </c>
    </row>
    <row r="11" spans="1:13" x14ac:dyDescent="0.25">
      <c r="A11" t="s">
        <v>69</v>
      </c>
      <c r="B11" t="s">
        <v>42</v>
      </c>
      <c r="C11" t="s">
        <v>46</v>
      </c>
      <c r="D11" cm="1">
        <f t="array" ref="D11">INDEX(Table2[[#All],[Week 1]:[Week 6]],MATCH(Week_6!B11,Table2[Team/Elo],0)+1,MATCH($A$1,Table2[[#Headers],[Week 1]:[Week 6]],0))</f>
        <v>1345</v>
      </c>
      <c r="E11" cm="1">
        <f t="array" ref="E11">INDEX(Table2[[#All],[Week 1]:[Week 6]],MATCH(Week_6!C11,Table2[Team/Elo],0)+1,MATCH($A$1,Table2[[#Headers],[Week 1]:[Week 6]],0))</f>
        <v>1502</v>
      </c>
      <c r="F11" t="str">
        <f t="shared" si="2"/>
        <v>Dolphins</v>
      </c>
      <c r="H11">
        <f t="shared" si="0"/>
        <v>6.28</v>
      </c>
      <c r="I11">
        <f t="shared" si="1"/>
        <v>-1</v>
      </c>
      <c r="L11" t="s">
        <v>78</v>
      </c>
      <c r="M11" s="12">
        <v>100</v>
      </c>
    </row>
    <row r="12" spans="1:13" x14ac:dyDescent="0.25">
      <c r="A12" t="s">
        <v>70</v>
      </c>
      <c r="B12" t="s">
        <v>21</v>
      </c>
      <c r="C12" t="s">
        <v>32</v>
      </c>
      <c r="D12" cm="1">
        <f t="array" ref="D12">INDEX(Table2[[#All],[Week 1]:[Week 6]],MATCH(Week_6!B12,Table2[Team/Elo],0)+1,MATCH($A$1,Table2[[#Headers],[Week 1]:[Week 6]],0))</f>
        <v>1655</v>
      </c>
      <c r="E12" cm="1">
        <f t="array" ref="E12">INDEX(Table2[[#All],[Week 1]:[Week 6]],MATCH(Week_6!C12,Table2[Team/Elo],0)+1,MATCH($A$1,Table2[[#Headers],[Week 1]:[Week 6]],0))</f>
        <v>1570</v>
      </c>
      <c r="F12" t="str">
        <f t="shared" si="2"/>
        <v>Packers</v>
      </c>
      <c r="H12">
        <f t="shared" si="0"/>
        <v>3.4</v>
      </c>
      <c r="I12">
        <f t="shared" si="1"/>
        <v>-1</v>
      </c>
      <c r="L12" t="s">
        <v>83</v>
      </c>
      <c r="M12">
        <v>-200</v>
      </c>
    </row>
    <row r="13" spans="1:13" x14ac:dyDescent="0.25">
      <c r="A13" t="s">
        <v>71</v>
      </c>
      <c r="B13" t="s">
        <v>28</v>
      </c>
      <c r="C13" t="s">
        <v>24</v>
      </c>
      <c r="D13" cm="1">
        <f t="array" ref="D13">INDEX(Table2[[#All],[Week 1]:[Week 6]],MATCH(Week_6!B13,Table2[Team/Elo],0)+1,MATCH($A$1,Table2[[#Headers],[Week 1]:[Week 6]],0))</f>
        <v>1603</v>
      </c>
      <c r="E13" cm="1">
        <f t="array" ref="E13">INDEX(Table2[[#All],[Week 1]:[Week 6]],MATCH(Week_6!C13,Table2[Team/Elo],0)+1,MATCH($A$1,Table2[[#Headers],[Week 1]:[Week 6]],0))</f>
        <v>1524</v>
      </c>
      <c r="F13" t="str">
        <f t="shared" si="2"/>
        <v>Rams</v>
      </c>
      <c r="H13">
        <f t="shared" si="0"/>
        <v>3.16</v>
      </c>
      <c r="I13">
        <f t="shared" si="1"/>
        <v>-1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18</v>
      </c>
      <c r="C14" t="s">
        <v>27</v>
      </c>
      <c r="D14" cm="1">
        <f t="array" ref="D14">INDEX(Table2[[#All],[Week 1]:[Week 6]],MATCH(Week_6!B14,Table2[Team/Elo],0)+1,MATCH($A$1,Table2[[#Headers],[Week 1]:[Week 6]],0))</f>
        <v>1688</v>
      </c>
      <c r="E14" cm="1">
        <f t="array" ref="E14">INDEX(Table2[[#All],[Week 1]:[Week 6]],MATCH(Week_6!C14,Table2[Team/Elo],0)+1,MATCH($A$1,Table2[[#Headers],[Week 1]:[Week 6]],0))</f>
        <v>1583</v>
      </c>
      <c r="F14" t="str">
        <f t="shared" si="2"/>
        <v>Chiefs</v>
      </c>
      <c r="H14">
        <f t="shared" si="0"/>
        <v>4.2</v>
      </c>
      <c r="I14">
        <f t="shared" si="1"/>
        <v>-1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35</v>
      </c>
      <c r="C15" t="s">
        <v>29</v>
      </c>
      <c r="D15" cm="1">
        <f t="array" ref="D15">INDEX(Table2[[#All],[Week 1]:[Week 6]],MATCH(Week_6!B15,Table2[Team/Elo],0)+1,MATCH($A$1,Table2[[#Headers],[Week 1]:[Week 6]],0))</f>
        <v>1509</v>
      </c>
      <c r="E15" cm="1">
        <f t="array" ref="E15">INDEX(Table2[[#All],[Week 1]:[Week 6]],MATCH(Week_6!C15,Table2[Team/Elo],0)+1,MATCH($A$1,Table2[[#Headers],[Week 1]:[Week 6]],0))</f>
        <v>1523</v>
      </c>
      <c r="F15" t="str">
        <f t="shared" si="2"/>
        <v>Cowboys</v>
      </c>
      <c r="H15">
        <f t="shared" si="0"/>
        <v>0.56000000000000005</v>
      </c>
      <c r="I15">
        <f t="shared" si="1"/>
        <v>-1</v>
      </c>
    </row>
    <row r="16" spans="1:13" x14ac:dyDescent="0.25">
      <c r="A16" t="s">
        <v>84</v>
      </c>
    </row>
    <row r="17" spans="1:10" x14ac:dyDescent="0.25">
      <c r="A17" s="15" t="s">
        <v>85</v>
      </c>
      <c r="D17" s="11"/>
    </row>
    <row r="19" spans="1:10" x14ac:dyDescent="0.25">
      <c r="A19" s="11" t="s">
        <v>75</v>
      </c>
      <c r="D19" s="11" t="s">
        <v>77</v>
      </c>
    </row>
    <row r="20" spans="1:10" x14ac:dyDescent="0.25">
      <c r="A20" t="s">
        <v>57</v>
      </c>
      <c r="B20">
        <f>COUNTIF($I$2:$I$17,1)</f>
        <v>0</v>
      </c>
      <c r="D20" t="s">
        <v>57</v>
      </c>
      <c r="E20">
        <f>COUNTIF($J$2:$J$17,1)</f>
        <v>0</v>
      </c>
    </row>
    <row r="21" spans="1:10" ht="15.75" thickBot="1" x14ac:dyDescent="0.3">
      <c r="A21" s="10" t="s">
        <v>58</v>
      </c>
      <c r="B21" s="10">
        <f>COUNTIF($I$2:$I$17,-1)</f>
        <v>14</v>
      </c>
      <c r="D21" s="10" t="s">
        <v>58</v>
      </c>
      <c r="E21" s="10">
        <f>COUNTIF($J$2:$J$17,-1)</f>
        <v>0</v>
      </c>
    </row>
    <row r="22" spans="1:10" x14ac:dyDescent="0.25">
      <c r="A22" t="s">
        <v>59</v>
      </c>
      <c r="B22">
        <f>B20-B21</f>
        <v>-14</v>
      </c>
      <c r="D22" t="s">
        <v>59</v>
      </c>
      <c r="E22">
        <f>E20-E21</f>
        <v>0</v>
      </c>
    </row>
    <row r="24" spans="1:10" x14ac:dyDescent="0.25">
      <c r="A24" t="s">
        <v>94</v>
      </c>
      <c r="B24">
        <f>B20+B21</f>
        <v>14</v>
      </c>
      <c r="D24" t="s">
        <v>94</v>
      </c>
      <c r="E24">
        <f>E20+E21</f>
        <v>0</v>
      </c>
      <c r="I24" s="11"/>
      <c r="J24" s="11"/>
    </row>
    <row r="25" spans="1:10" x14ac:dyDescent="0.25">
      <c r="A25" t="s">
        <v>93</v>
      </c>
      <c r="B25" s="12">
        <f>B20*M14</f>
        <v>0</v>
      </c>
      <c r="D25" t="s">
        <v>93</v>
      </c>
      <c r="E25" s="12">
        <f>E20*M8</f>
        <v>0</v>
      </c>
      <c r="I25" s="11"/>
      <c r="J25" s="11"/>
    </row>
    <row r="26" spans="1:10" x14ac:dyDescent="0.25">
      <c r="A26" t="s">
        <v>86</v>
      </c>
      <c r="B26" s="12">
        <f>B25-(B24*M11)</f>
        <v>-1400</v>
      </c>
      <c r="D26" t="s">
        <v>86</v>
      </c>
      <c r="E26" s="12">
        <f>E25-(E24*M5)</f>
        <v>0</v>
      </c>
      <c r="I26" s="11"/>
      <c r="J26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33E3-231B-4FD3-A2E4-A5CD85C7DDFD}">
  <dimension ref="A1:O25"/>
  <sheetViews>
    <sheetView workbookViewId="0">
      <selection activeCell="B28" sqref="B28"/>
    </sheetView>
  </sheetViews>
  <sheetFormatPr defaultRowHeight="15" x14ac:dyDescent="0.25"/>
  <cols>
    <col min="1" max="1" width="50.42578125" bestFit="1" customWidth="1"/>
    <col min="2" max="3" width="9.42578125" bestFit="1" customWidth="1"/>
    <col min="5" max="5" width="14.85546875" bestFit="1" customWidth="1"/>
    <col min="6" max="7" width="9.85546875" bestFit="1" customWidth="1"/>
    <col min="9" max="9" width="16.42578125" bestFit="1" customWidth="1"/>
    <col min="10" max="11" width="10.85546875" bestFit="1" customWidth="1"/>
    <col min="13" max="13" width="17.5703125" bestFit="1" customWidth="1"/>
    <col min="14" max="15" width="11.85546875" bestFit="1" customWidth="1"/>
  </cols>
  <sheetData>
    <row r="1" spans="1:15" x14ac:dyDescent="0.25">
      <c r="A1" s="18" t="s">
        <v>97</v>
      </c>
      <c r="B1" s="11" t="s">
        <v>90</v>
      </c>
      <c r="C1" s="11" t="s">
        <v>89</v>
      </c>
      <c r="D1" s="12"/>
      <c r="E1" s="18" t="s">
        <v>98</v>
      </c>
      <c r="F1" s="11" t="s">
        <v>90</v>
      </c>
      <c r="G1" s="11" t="s">
        <v>89</v>
      </c>
      <c r="I1" s="18" t="s">
        <v>99</v>
      </c>
      <c r="J1" s="11" t="s">
        <v>90</v>
      </c>
      <c r="K1" s="11" t="s">
        <v>89</v>
      </c>
      <c r="M1" s="18" t="s">
        <v>100</v>
      </c>
      <c r="N1" s="11" t="s">
        <v>90</v>
      </c>
      <c r="O1" s="11" t="s">
        <v>89</v>
      </c>
    </row>
    <row r="2" spans="1:15" x14ac:dyDescent="0.25">
      <c r="A2" t="s">
        <v>2</v>
      </c>
      <c r="B2" s="12">
        <f>F2/10</f>
        <v>20</v>
      </c>
      <c r="C2" s="12">
        <f>G2/10</f>
        <v>88.181818181818201</v>
      </c>
      <c r="E2" t="s">
        <v>2</v>
      </c>
      <c r="F2" s="12">
        <f>Week_1!$B$26</f>
        <v>200</v>
      </c>
      <c r="G2" s="12">
        <f>Week_1!$E$26</f>
        <v>881.81818181818198</v>
      </c>
      <c r="I2" t="s">
        <v>2</v>
      </c>
      <c r="J2" s="12">
        <f>Table611[[#This Row],[ML*]]*10</f>
        <v>2000</v>
      </c>
      <c r="K2" s="12">
        <f>Table611[[#This Row],[ATS*]]*10</f>
        <v>8818.1818181818198</v>
      </c>
      <c r="M2" t="s">
        <v>2</v>
      </c>
      <c r="N2" s="12">
        <f>Table611[[#This Row],[ML*]]*100</f>
        <v>20000</v>
      </c>
      <c r="O2" s="12">
        <f>Table611[[#This Row],[ATS*]]*100</f>
        <v>88181.818181818206</v>
      </c>
    </row>
    <row r="3" spans="1:15" x14ac:dyDescent="0.25">
      <c r="A3" t="s">
        <v>3</v>
      </c>
      <c r="B3" s="12">
        <f t="shared" ref="B3:B6" si="0">F3/10</f>
        <v>50</v>
      </c>
      <c r="C3" s="12">
        <f t="shared" ref="C3:C6" si="1">G3/10</f>
        <v>30.909090909090899</v>
      </c>
      <c r="E3" t="s">
        <v>3</v>
      </c>
      <c r="F3" s="12">
        <f>Week_2!$B$26</f>
        <v>500</v>
      </c>
      <c r="G3" s="12">
        <f>Week_2!$E$26</f>
        <v>309.09090909090901</v>
      </c>
      <c r="I3" t="s">
        <v>3</v>
      </c>
      <c r="J3" s="12">
        <f>Table611[[#This Row],[ML*]]*10</f>
        <v>5000</v>
      </c>
      <c r="K3" s="12">
        <f>Table611[[#This Row],[ATS*]]*10</f>
        <v>3090.9090909090901</v>
      </c>
      <c r="M3" t="s">
        <v>3</v>
      </c>
      <c r="N3" s="12">
        <f>Table611[[#This Row],[ML*]]*100</f>
        <v>50000</v>
      </c>
      <c r="O3" s="12">
        <f>Table611[[#This Row],[ATS*]]*100</f>
        <v>30909.090909090901</v>
      </c>
    </row>
    <row r="4" spans="1:15" x14ac:dyDescent="0.25">
      <c r="A4" t="s">
        <v>4</v>
      </c>
      <c r="B4" s="12">
        <f t="shared" si="0"/>
        <v>15</v>
      </c>
      <c r="C4" s="12">
        <f t="shared" si="1"/>
        <v>2.7272727272727253</v>
      </c>
      <c r="E4" t="s">
        <v>4</v>
      </c>
      <c r="F4" s="12">
        <f>Week_3!$B$26</f>
        <v>150</v>
      </c>
      <c r="G4" s="12">
        <f>Week_3!$E$26</f>
        <v>27.272727272727252</v>
      </c>
      <c r="I4" t="s">
        <v>4</v>
      </c>
      <c r="J4" s="12">
        <f>Table611[[#This Row],[ML*]]*10</f>
        <v>1500</v>
      </c>
      <c r="K4" s="12">
        <f>Table611[[#This Row],[ATS*]]*10</f>
        <v>272.72727272727252</v>
      </c>
      <c r="M4" t="s">
        <v>4</v>
      </c>
      <c r="N4" s="12">
        <f>Table611[[#This Row],[ML*]]*100</f>
        <v>15000</v>
      </c>
      <c r="O4" s="12">
        <f>Table611[[#This Row],[ATS*]]*100</f>
        <v>2727.2727272727252</v>
      </c>
    </row>
    <row r="5" spans="1:15" x14ac:dyDescent="0.25">
      <c r="A5" t="s">
        <v>0</v>
      </c>
      <c r="B5" s="12">
        <f t="shared" si="0"/>
        <v>15</v>
      </c>
      <c r="C5" s="12">
        <f t="shared" si="1"/>
        <v>60</v>
      </c>
      <c r="E5" t="s">
        <v>0</v>
      </c>
      <c r="F5" s="12">
        <f>Week_4!$B$26</f>
        <v>150</v>
      </c>
      <c r="G5" s="12">
        <f>Week_4!$E$26</f>
        <v>600</v>
      </c>
      <c r="I5" t="s">
        <v>0</v>
      </c>
      <c r="J5" s="12">
        <f>Table611[[#This Row],[ML*]]*10</f>
        <v>1500</v>
      </c>
      <c r="K5" s="12">
        <f>Table611[[#This Row],[ATS*]]*10</f>
        <v>6000</v>
      </c>
      <c r="M5" t="s">
        <v>0</v>
      </c>
      <c r="N5" s="12">
        <f>Table611[[#This Row],[ML*]]*100</f>
        <v>15000</v>
      </c>
      <c r="O5" s="12">
        <f>Table611[[#This Row],[ATS*]]*100</f>
        <v>60000</v>
      </c>
    </row>
    <row r="6" spans="1:15" x14ac:dyDescent="0.25">
      <c r="A6" t="s">
        <v>1</v>
      </c>
      <c r="B6" s="12">
        <f t="shared" si="0"/>
        <v>-5</v>
      </c>
      <c r="C6" s="12">
        <f t="shared" si="1"/>
        <v>-6.363636363636374</v>
      </c>
      <c r="E6" t="s">
        <v>1</v>
      </c>
      <c r="F6" s="12">
        <f>Week_5!$B$26</f>
        <v>-50</v>
      </c>
      <c r="G6" s="12">
        <f>Week_5!$E$26</f>
        <v>-63.63636363636374</v>
      </c>
      <c r="I6" t="s">
        <v>1</v>
      </c>
      <c r="J6" s="12">
        <f>Table611[[#This Row],[ML*]]*10</f>
        <v>-500</v>
      </c>
      <c r="K6" s="12">
        <f>Table611[[#This Row],[ATS*]]*10</f>
        <v>-636.3636363636374</v>
      </c>
      <c r="M6" t="s">
        <v>1</v>
      </c>
      <c r="N6" s="12">
        <f>Table611[[#This Row],[ML*]]*100</f>
        <v>-5000</v>
      </c>
      <c r="O6" s="12">
        <f>Table611[[#This Row],[ATS*]]*100</f>
        <v>-6363.636363636374</v>
      </c>
    </row>
    <row r="7" spans="1:15" x14ac:dyDescent="0.25">
      <c r="A7" t="s">
        <v>6</v>
      </c>
      <c r="B7" s="12"/>
      <c r="C7" s="12"/>
      <c r="E7" t="s">
        <v>6</v>
      </c>
      <c r="F7" s="12"/>
      <c r="G7" s="12"/>
      <c r="I7" t="s">
        <v>6</v>
      </c>
      <c r="J7" s="12"/>
      <c r="K7" s="12"/>
      <c r="M7" t="s">
        <v>6</v>
      </c>
      <c r="N7" s="12"/>
      <c r="O7" s="12"/>
    </row>
    <row r="8" spans="1:15" x14ac:dyDescent="0.25">
      <c r="A8" t="s">
        <v>7</v>
      </c>
      <c r="B8" s="12"/>
      <c r="C8" s="12"/>
      <c r="E8" t="s">
        <v>7</v>
      </c>
      <c r="F8" s="12"/>
      <c r="G8" s="12"/>
      <c r="I8" t="s">
        <v>7</v>
      </c>
      <c r="J8" s="12"/>
      <c r="K8" s="12"/>
      <c r="M8" t="s">
        <v>7</v>
      </c>
      <c r="N8" s="12"/>
      <c r="O8" s="12"/>
    </row>
    <row r="9" spans="1:15" x14ac:dyDescent="0.25">
      <c r="A9" t="s">
        <v>8</v>
      </c>
      <c r="B9" s="12"/>
      <c r="C9" s="12"/>
      <c r="E9" t="s">
        <v>8</v>
      </c>
      <c r="F9" s="12"/>
      <c r="G9" s="12"/>
      <c r="I9" t="s">
        <v>8</v>
      </c>
      <c r="J9" s="12"/>
      <c r="K9" s="12"/>
      <c r="M9" t="s">
        <v>8</v>
      </c>
      <c r="N9" s="12"/>
      <c r="O9" s="12"/>
    </row>
    <row r="10" spans="1:15" x14ac:dyDescent="0.25">
      <c r="A10" t="s">
        <v>9</v>
      </c>
      <c r="B10" s="12"/>
      <c r="C10" s="12"/>
      <c r="E10" t="s">
        <v>9</v>
      </c>
      <c r="F10" s="12"/>
      <c r="G10" s="12"/>
      <c r="I10" t="s">
        <v>9</v>
      </c>
      <c r="J10" s="12"/>
      <c r="K10" s="12"/>
      <c r="M10" t="s">
        <v>9</v>
      </c>
      <c r="N10" s="12"/>
      <c r="O10" s="12"/>
    </row>
    <row r="11" spans="1:15" x14ac:dyDescent="0.25">
      <c r="A11" t="s">
        <v>10</v>
      </c>
      <c r="B11" s="12"/>
      <c r="C11" s="12"/>
      <c r="E11" t="s">
        <v>10</v>
      </c>
      <c r="F11" s="12"/>
      <c r="G11" s="12"/>
      <c r="I11" t="s">
        <v>10</v>
      </c>
      <c r="J11" s="12"/>
      <c r="K11" s="12"/>
      <c r="M11" t="s">
        <v>10</v>
      </c>
      <c r="N11" s="12"/>
      <c r="O11" s="12"/>
    </row>
    <row r="12" spans="1:15" x14ac:dyDescent="0.25">
      <c r="A12" t="s">
        <v>11</v>
      </c>
      <c r="B12" s="12"/>
      <c r="C12" s="12"/>
      <c r="E12" t="s">
        <v>11</v>
      </c>
      <c r="F12" s="12"/>
      <c r="G12" s="12"/>
      <c r="I12" t="s">
        <v>11</v>
      </c>
      <c r="J12" s="12"/>
      <c r="K12" s="12"/>
      <c r="M12" t="s">
        <v>11</v>
      </c>
      <c r="N12" s="12"/>
      <c r="O12" s="12"/>
    </row>
    <row r="13" spans="1:15" x14ac:dyDescent="0.25">
      <c r="A13" t="s">
        <v>12</v>
      </c>
      <c r="B13" s="12"/>
      <c r="C13" s="12"/>
      <c r="E13" t="s">
        <v>12</v>
      </c>
      <c r="F13" s="12"/>
      <c r="G13" s="12"/>
      <c r="I13" t="s">
        <v>12</v>
      </c>
      <c r="J13" s="12"/>
      <c r="K13" s="12"/>
      <c r="M13" t="s">
        <v>12</v>
      </c>
      <c r="N13" s="12"/>
      <c r="O13" s="12"/>
    </row>
    <row r="14" spans="1:15" x14ac:dyDescent="0.25">
      <c r="A14" t="s">
        <v>13</v>
      </c>
      <c r="B14" s="12"/>
      <c r="C14" s="12"/>
      <c r="E14" t="s">
        <v>13</v>
      </c>
      <c r="F14" s="12"/>
      <c r="G14" s="12"/>
      <c r="I14" t="s">
        <v>13</v>
      </c>
      <c r="J14" s="12"/>
      <c r="K14" s="12"/>
      <c r="M14" t="s">
        <v>13</v>
      </c>
      <c r="N14" s="12"/>
      <c r="O14" s="12"/>
    </row>
    <row r="15" spans="1:15" x14ac:dyDescent="0.25">
      <c r="A15" t="s">
        <v>14</v>
      </c>
      <c r="B15" s="12"/>
      <c r="C15" s="12"/>
      <c r="E15" t="s">
        <v>14</v>
      </c>
      <c r="F15" s="12"/>
      <c r="G15" s="12"/>
      <c r="I15" t="s">
        <v>14</v>
      </c>
      <c r="J15" s="12"/>
      <c r="K15" s="12"/>
      <c r="M15" t="s">
        <v>14</v>
      </c>
      <c r="N15" s="12"/>
      <c r="O15" s="12"/>
    </row>
    <row r="16" spans="1:15" x14ac:dyDescent="0.25">
      <c r="A16" t="s">
        <v>15</v>
      </c>
      <c r="B16" s="12"/>
      <c r="C16" s="12"/>
      <c r="E16" t="s">
        <v>15</v>
      </c>
      <c r="F16" s="12"/>
      <c r="G16" s="12"/>
      <c r="I16" t="s">
        <v>15</v>
      </c>
      <c r="J16" s="12"/>
      <c r="K16" s="12"/>
      <c r="M16" t="s">
        <v>15</v>
      </c>
      <c r="N16" s="12"/>
      <c r="O16" s="12"/>
    </row>
    <row r="17" spans="1:15" x14ac:dyDescent="0.25">
      <c r="A17" t="s">
        <v>16</v>
      </c>
      <c r="B17" s="12"/>
      <c r="C17" s="12"/>
      <c r="E17" t="s">
        <v>16</v>
      </c>
      <c r="F17" s="12"/>
      <c r="G17" s="12"/>
      <c r="I17" t="s">
        <v>16</v>
      </c>
      <c r="J17" s="12"/>
      <c r="K17" s="12"/>
      <c r="M17" t="s">
        <v>16</v>
      </c>
      <c r="N17" s="12"/>
      <c r="O17" s="12"/>
    </row>
    <row r="18" spans="1:15" x14ac:dyDescent="0.25">
      <c r="A18" s="16" t="s">
        <v>17</v>
      </c>
      <c r="B18" s="12"/>
      <c r="C18" s="12"/>
      <c r="E18" s="16" t="s">
        <v>17</v>
      </c>
      <c r="F18" s="17"/>
      <c r="G18" s="17"/>
      <c r="I18" s="16" t="s">
        <v>17</v>
      </c>
      <c r="J18" s="17"/>
      <c r="K18" s="17"/>
      <c r="M18" s="16" t="s">
        <v>17</v>
      </c>
      <c r="N18" s="17"/>
      <c r="O18" s="17"/>
    </row>
    <row r="19" spans="1:15" x14ac:dyDescent="0.25">
      <c r="A19" t="s">
        <v>86</v>
      </c>
      <c r="B19" s="12">
        <f>SUM(B2:B18)</f>
        <v>95</v>
      </c>
      <c r="C19" s="12">
        <f>SUM(C2:C18)</f>
        <v>175.45454545454544</v>
      </c>
      <c r="E19" t="s">
        <v>86</v>
      </c>
      <c r="F19" s="12">
        <f>SUM(F2:F18)</f>
        <v>950</v>
      </c>
      <c r="G19" s="12">
        <f>SUM(G2:G18)</f>
        <v>1754.5454545454545</v>
      </c>
      <c r="I19" t="s">
        <v>86</v>
      </c>
      <c r="J19" s="12">
        <f>SUM(J2:J18)</f>
        <v>9500</v>
      </c>
      <c r="K19" s="12">
        <f>SUM(K2:K18)</f>
        <v>17545.454545454548</v>
      </c>
      <c r="M19" t="s">
        <v>86</v>
      </c>
      <c r="N19" s="12">
        <f>SUM(N2:N18)</f>
        <v>95000</v>
      </c>
      <c r="O19" s="12">
        <f>SUM(O2:O18)</f>
        <v>175454.54545454544</v>
      </c>
    </row>
    <row r="20" spans="1:15" x14ac:dyDescent="0.25">
      <c r="A20" t="s">
        <v>96</v>
      </c>
      <c r="B20" s="21">
        <f>B19/160</f>
        <v>0.59375</v>
      </c>
      <c r="C20" s="21">
        <f>C19/160</f>
        <v>1.0965909090909089</v>
      </c>
      <c r="F20" s="21">
        <f>F19/1600</f>
        <v>0.59375</v>
      </c>
      <c r="G20" s="21">
        <f>G19/1600</f>
        <v>1.0965909090909092</v>
      </c>
      <c r="J20" s="21">
        <f>J19/16000</f>
        <v>0.59375</v>
      </c>
      <c r="K20" s="21">
        <f>K19/16000</f>
        <v>1.0965909090909092</v>
      </c>
      <c r="N20" s="21">
        <f>N19/160000</f>
        <v>0.59375</v>
      </c>
      <c r="O20" s="21">
        <f>O19/160000</f>
        <v>1.0965909090909089</v>
      </c>
    </row>
    <row r="21" spans="1:15" x14ac:dyDescent="0.25">
      <c r="A21" s="19" t="s">
        <v>88</v>
      </c>
      <c r="B21" s="20">
        <f>B19+C19</f>
        <v>270.45454545454544</v>
      </c>
      <c r="E21" s="19" t="s">
        <v>88</v>
      </c>
      <c r="F21" s="20">
        <f>F19+G19</f>
        <v>2704.5454545454545</v>
      </c>
      <c r="I21" s="19" t="s">
        <v>88</v>
      </c>
      <c r="J21" s="20">
        <f>J19+K19</f>
        <v>27045.454545454548</v>
      </c>
      <c r="M21" s="19" t="s">
        <v>88</v>
      </c>
      <c r="N21" s="20">
        <f>N19+O19</f>
        <v>270454.54545454541</v>
      </c>
    </row>
    <row r="22" spans="1:15" x14ac:dyDescent="0.25">
      <c r="A22" t="s">
        <v>95</v>
      </c>
      <c r="B22" s="22">
        <f>B21/160</f>
        <v>1.6903409090909089</v>
      </c>
      <c r="C22" s="22"/>
      <c r="E22" t="s">
        <v>101</v>
      </c>
      <c r="F22" s="22">
        <f>F21/1600</f>
        <v>1.6903409090909092</v>
      </c>
      <c r="J22" s="22">
        <f>J21/16000</f>
        <v>1.6903409090909092</v>
      </c>
      <c r="N22" s="22">
        <f>N21/160000</f>
        <v>1.6903409090909087</v>
      </c>
    </row>
    <row r="24" spans="1:15" x14ac:dyDescent="0.25">
      <c r="A24" t="s">
        <v>92</v>
      </c>
    </row>
    <row r="25" spans="1:15" x14ac:dyDescent="0.25">
      <c r="A25" t="s">
        <v>91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F43A-C8FD-4C89-B913-26F557E29515}">
  <dimension ref="A1:T33"/>
  <sheetViews>
    <sheetView workbookViewId="0">
      <selection activeCell="H11" sqref="H11"/>
    </sheetView>
  </sheetViews>
  <sheetFormatPr defaultRowHeight="15" x14ac:dyDescent="0.25"/>
  <cols>
    <col min="1" max="1" width="13.85546875" customWidth="1"/>
  </cols>
  <sheetData>
    <row r="1" spans="1:18" x14ac:dyDescent="0.25">
      <c r="A1" s="1" t="s">
        <v>5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8" t="s">
        <v>18</v>
      </c>
      <c r="B2" s="4">
        <v>1658</v>
      </c>
      <c r="C2" s="4">
        <v>1672</v>
      </c>
      <c r="D2" s="4">
        <v>1679</v>
      </c>
      <c r="E2" s="4">
        <v>1705</v>
      </c>
      <c r="F2" s="4">
        <v>1718</v>
      </c>
      <c r="G2" s="4">
        <v>1706</v>
      </c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25">
      <c r="A3" s="8" t="s">
        <v>19</v>
      </c>
      <c r="B3" s="4">
        <v>1647</v>
      </c>
      <c r="C3" s="4">
        <v>1666</v>
      </c>
      <c r="D3" s="4">
        <v>1678</v>
      </c>
      <c r="E3" s="4">
        <v>1650</v>
      </c>
      <c r="F3" s="4">
        <v>1656</v>
      </c>
      <c r="G3" s="4">
        <v>1665</v>
      </c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25">
      <c r="A4" s="8" t="s">
        <v>20</v>
      </c>
      <c r="B4" s="4">
        <v>1614</v>
      </c>
      <c r="C4" s="4">
        <v>1632</v>
      </c>
      <c r="D4" s="4">
        <v>1616</v>
      </c>
      <c r="E4" s="4">
        <v>1596</v>
      </c>
      <c r="F4" s="4">
        <v>1605</v>
      </c>
      <c r="G4" s="4">
        <v>1611</v>
      </c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8" x14ac:dyDescent="0.25">
      <c r="A5" s="8" t="s">
        <v>21</v>
      </c>
      <c r="B5" s="4">
        <v>1556</v>
      </c>
      <c r="C5" s="4">
        <v>1578</v>
      </c>
      <c r="D5" s="4">
        <v>1595</v>
      </c>
      <c r="E5" s="4">
        <v>1617</v>
      </c>
      <c r="F5" s="4">
        <v>1630</v>
      </c>
      <c r="G5" s="4">
        <v>1630</v>
      </c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x14ac:dyDescent="0.25">
      <c r="A6" s="8" t="s">
        <v>22</v>
      </c>
      <c r="B6" s="4">
        <v>1573</v>
      </c>
      <c r="C6" s="4">
        <v>1586</v>
      </c>
      <c r="D6" s="4">
        <v>1597</v>
      </c>
      <c r="E6" s="4">
        <v>1607</v>
      </c>
      <c r="F6" s="4">
        <v>1607</v>
      </c>
      <c r="G6" s="4">
        <v>1623</v>
      </c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18" x14ac:dyDescent="0.25">
      <c r="A7" s="8" t="s">
        <v>23</v>
      </c>
      <c r="B7" s="4">
        <v>1548</v>
      </c>
      <c r="C7" s="4">
        <v>1570</v>
      </c>
      <c r="D7" s="4">
        <v>1587</v>
      </c>
      <c r="E7" s="4">
        <v>1605</v>
      </c>
      <c r="F7" s="4">
        <v>1615</v>
      </c>
      <c r="G7" s="4">
        <v>1619</v>
      </c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8" t="s">
        <v>24</v>
      </c>
      <c r="B8" s="4">
        <v>1601</v>
      </c>
      <c r="C8" s="4">
        <v>1590</v>
      </c>
      <c r="D8" s="4">
        <v>1605</v>
      </c>
      <c r="E8" s="4">
        <v>1617</v>
      </c>
      <c r="F8" s="4">
        <v>1604</v>
      </c>
      <c r="G8" s="4">
        <v>1587</v>
      </c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8" t="s">
        <v>25</v>
      </c>
      <c r="B9" s="4">
        <v>1552</v>
      </c>
      <c r="C9" s="4">
        <v>1567</v>
      </c>
      <c r="D9" s="4">
        <v>1548</v>
      </c>
      <c r="E9" s="4">
        <v>1521</v>
      </c>
      <c r="F9" s="4">
        <v>1482</v>
      </c>
      <c r="G9" s="4">
        <v>1482</v>
      </c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25">
      <c r="A10" s="8" t="s">
        <v>26</v>
      </c>
      <c r="B10" s="4">
        <v>1549</v>
      </c>
      <c r="C10" s="4">
        <v>1557</v>
      </c>
      <c r="D10" s="4">
        <v>1564</v>
      </c>
      <c r="E10" s="4">
        <v>1569</v>
      </c>
      <c r="F10" s="4">
        <v>1569</v>
      </c>
      <c r="G10" s="4">
        <v>1604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  <row r="11" spans="1:18" x14ac:dyDescent="0.25">
      <c r="A11" s="8" t="s">
        <v>27</v>
      </c>
      <c r="B11" s="4">
        <v>1533</v>
      </c>
      <c r="C11" s="4">
        <v>1551</v>
      </c>
      <c r="D11" s="4">
        <v>1558</v>
      </c>
      <c r="E11" s="4">
        <v>1572</v>
      </c>
      <c r="F11" s="4">
        <v>1591</v>
      </c>
      <c r="G11" s="4">
        <v>1559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18" x14ac:dyDescent="0.25">
      <c r="A12" s="8" t="s">
        <v>28</v>
      </c>
      <c r="B12" s="4">
        <v>1541</v>
      </c>
      <c r="C12" s="4">
        <v>1555</v>
      </c>
      <c r="D12" s="4">
        <v>1582</v>
      </c>
      <c r="E12" s="4">
        <v>1568</v>
      </c>
      <c r="F12" s="4">
        <v>1575</v>
      </c>
      <c r="G12" s="4">
        <v>1584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1:18" x14ac:dyDescent="0.25">
      <c r="A13" s="8" t="s">
        <v>29</v>
      </c>
      <c r="B13" s="4">
        <v>1561</v>
      </c>
      <c r="C13" s="4">
        <v>1547</v>
      </c>
      <c r="D13" s="4">
        <v>1552</v>
      </c>
      <c r="E13" s="4">
        <v>1529</v>
      </c>
      <c r="F13" s="4">
        <v>1505</v>
      </c>
      <c r="G13" s="4">
        <v>1510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x14ac:dyDescent="0.25">
      <c r="A14" s="8" t="s">
        <v>30</v>
      </c>
      <c r="B14" s="4">
        <v>1526</v>
      </c>
      <c r="C14" s="4">
        <v>1538</v>
      </c>
      <c r="D14" s="4">
        <v>1546</v>
      </c>
      <c r="E14" s="4">
        <v>1557</v>
      </c>
      <c r="F14" s="4">
        <v>1534</v>
      </c>
      <c r="G14" s="4">
        <v>1556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x14ac:dyDescent="0.25">
      <c r="A15" s="8" t="s">
        <v>31</v>
      </c>
      <c r="B15" s="4">
        <v>1544</v>
      </c>
      <c r="C15" s="4">
        <v>1520</v>
      </c>
      <c r="D15" s="4">
        <v>1491</v>
      </c>
      <c r="E15" s="4">
        <v>1482</v>
      </c>
      <c r="F15" s="4">
        <v>1497</v>
      </c>
      <c r="G15" s="4">
        <v>1488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1:18" x14ac:dyDescent="0.25">
      <c r="A16" s="8" t="s">
        <v>32</v>
      </c>
      <c r="B16" s="4">
        <v>1540</v>
      </c>
      <c r="C16" s="4">
        <v>1510</v>
      </c>
      <c r="D16" s="4">
        <v>1528</v>
      </c>
      <c r="E16" s="4">
        <v>1550</v>
      </c>
      <c r="F16" s="4">
        <v>1563</v>
      </c>
      <c r="G16" s="4">
        <v>1541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20" x14ac:dyDescent="0.25">
      <c r="A17" s="8" t="s">
        <v>33</v>
      </c>
      <c r="B17" s="4">
        <v>1525</v>
      </c>
      <c r="C17" s="4">
        <v>1511</v>
      </c>
      <c r="D17" s="4">
        <v>1540</v>
      </c>
      <c r="E17" s="4">
        <v>1558</v>
      </c>
      <c r="F17" s="4">
        <v>1579</v>
      </c>
      <c r="G17" s="4">
        <v>1558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1:20" x14ac:dyDescent="0.25">
      <c r="A18" s="8" t="s">
        <v>34</v>
      </c>
      <c r="B18" s="4">
        <v>1548</v>
      </c>
      <c r="C18" s="4">
        <v>1534</v>
      </c>
      <c r="D18" s="4">
        <v>1503</v>
      </c>
      <c r="E18" s="4">
        <v>1503</v>
      </c>
      <c r="F18" s="4">
        <v>1524</v>
      </c>
      <c r="G18" s="4">
        <v>1496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1:20" x14ac:dyDescent="0.25">
      <c r="A19" s="8" t="s">
        <v>35</v>
      </c>
      <c r="B19" s="4">
        <v>1465</v>
      </c>
      <c r="C19" s="4">
        <v>1478</v>
      </c>
      <c r="D19" s="4">
        <v>1499</v>
      </c>
      <c r="E19" s="4">
        <v>1488</v>
      </c>
      <c r="F19" s="4">
        <v>1469</v>
      </c>
      <c r="G19" s="4">
        <v>1485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r="20" spans="1:20" x14ac:dyDescent="0.25">
      <c r="A20" s="8" t="s">
        <v>36</v>
      </c>
      <c r="B20" s="4">
        <v>1501</v>
      </c>
      <c r="C20" s="4">
        <v>1465</v>
      </c>
      <c r="D20" s="4">
        <v>1424</v>
      </c>
      <c r="E20" s="4">
        <v>1395</v>
      </c>
      <c r="F20" s="4">
        <v>1369</v>
      </c>
      <c r="G20" s="4">
        <v>1394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</row>
    <row r="21" spans="1:20" x14ac:dyDescent="0.25">
      <c r="A21" s="8" t="s">
        <v>37</v>
      </c>
      <c r="B21" s="4">
        <v>1466</v>
      </c>
      <c r="C21" s="4">
        <v>1480</v>
      </c>
      <c r="D21" s="4">
        <v>1516</v>
      </c>
      <c r="E21" s="4">
        <v>1547</v>
      </c>
      <c r="F21" s="4">
        <v>1524</v>
      </c>
      <c r="G21" s="4">
        <v>1560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</row>
    <row r="22" spans="1:20" x14ac:dyDescent="0.25">
      <c r="A22" s="8" t="s">
        <v>38</v>
      </c>
      <c r="B22" s="4">
        <v>1499</v>
      </c>
      <c r="C22" s="4">
        <v>1469</v>
      </c>
      <c r="D22" s="4">
        <v>1460</v>
      </c>
      <c r="E22" s="4">
        <v>1440</v>
      </c>
      <c r="F22" s="4">
        <v>1403</v>
      </c>
      <c r="G22" s="4">
        <v>1380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</row>
    <row r="23" spans="1:20" x14ac:dyDescent="0.25">
      <c r="A23" s="8" t="s">
        <v>39</v>
      </c>
      <c r="B23" s="4">
        <v>1485</v>
      </c>
      <c r="C23" s="4">
        <v>1472</v>
      </c>
      <c r="D23" s="4">
        <v>1449</v>
      </c>
      <c r="E23" s="4">
        <v>1414</v>
      </c>
      <c r="F23" s="4">
        <v>1431</v>
      </c>
      <c r="G23" s="4">
        <v>1431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</row>
    <row r="24" spans="1:20" x14ac:dyDescent="0.25">
      <c r="A24" s="8" t="s">
        <v>40</v>
      </c>
      <c r="B24" s="4">
        <v>1496</v>
      </c>
      <c r="C24" s="4">
        <v>1449</v>
      </c>
      <c r="D24" s="4">
        <v>1462</v>
      </c>
      <c r="E24" s="4">
        <v>1513</v>
      </c>
      <c r="F24" s="4">
        <v>1539</v>
      </c>
      <c r="G24" s="4">
        <v>1565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</row>
    <row r="25" spans="1:20" x14ac:dyDescent="0.25">
      <c r="A25" s="8" t="s">
        <v>41</v>
      </c>
      <c r="B25" s="4">
        <v>1462</v>
      </c>
      <c r="C25" s="4">
        <v>1472</v>
      </c>
      <c r="D25" s="4">
        <v>1452</v>
      </c>
      <c r="E25" s="4">
        <v>1437</v>
      </c>
      <c r="F25" s="4">
        <v>1411</v>
      </c>
      <c r="G25" s="4">
        <v>1391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1:20" x14ac:dyDescent="0.25">
      <c r="A26" s="8" t="s">
        <v>42</v>
      </c>
      <c r="B26" s="4">
        <v>1456</v>
      </c>
      <c r="C26" s="4">
        <v>1427</v>
      </c>
      <c r="D26" s="4">
        <v>1387</v>
      </c>
      <c r="E26" s="4">
        <v>1342</v>
      </c>
      <c r="F26" s="4">
        <v>1315</v>
      </c>
      <c r="G26" s="4">
        <v>1274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</row>
    <row r="27" spans="1:20" x14ac:dyDescent="0.25">
      <c r="A27" s="8" t="s">
        <v>43</v>
      </c>
      <c r="B27" s="4">
        <v>1453</v>
      </c>
      <c r="C27" s="4">
        <v>1434</v>
      </c>
      <c r="D27" s="4">
        <v>1393</v>
      </c>
      <c r="E27" s="4">
        <v>1411</v>
      </c>
      <c r="F27" s="4">
        <v>1384</v>
      </c>
      <c r="G27" s="4">
        <v>1384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</row>
    <row r="28" spans="1:20" x14ac:dyDescent="0.25">
      <c r="A28" s="8" t="s">
        <v>44</v>
      </c>
      <c r="B28" s="4">
        <v>1383</v>
      </c>
      <c r="C28" s="4">
        <v>1413</v>
      </c>
      <c r="D28" s="4">
        <v>1394</v>
      </c>
      <c r="E28" s="4">
        <v>1365</v>
      </c>
      <c r="F28" s="4">
        <v>1343</v>
      </c>
      <c r="G28" s="4">
        <v>1312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</row>
    <row r="29" spans="1:20" x14ac:dyDescent="0.25">
      <c r="A29" s="8" t="s">
        <v>45</v>
      </c>
      <c r="B29" s="4">
        <v>1428</v>
      </c>
      <c r="C29" s="4">
        <v>1410</v>
      </c>
      <c r="D29" s="4">
        <v>1376</v>
      </c>
      <c r="E29" s="4">
        <v>1398</v>
      </c>
      <c r="F29" s="4">
        <v>1429</v>
      </c>
      <c r="G29" s="4">
        <v>1448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</row>
    <row r="30" spans="1:20" x14ac:dyDescent="0.25">
      <c r="A30" s="8" t="s">
        <v>46</v>
      </c>
      <c r="B30" s="4">
        <v>1435</v>
      </c>
      <c r="C30" s="4">
        <v>1404</v>
      </c>
      <c r="D30" s="4">
        <v>1385</v>
      </c>
      <c r="E30" s="4">
        <v>1415</v>
      </c>
      <c r="F30" s="4">
        <v>1384</v>
      </c>
      <c r="G30" s="4">
        <v>1441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</row>
    <row r="31" spans="1:20" x14ac:dyDescent="0.25">
      <c r="A31" s="8" t="s">
        <v>47</v>
      </c>
      <c r="B31" s="4">
        <v>1372</v>
      </c>
      <c r="C31" s="4">
        <v>1410</v>
      </c>
      <c r="D31" s="4">
        <v>1377</v>
      </c>
      <c r="E31" s="4">
        <v>1342</v>
      </c>
      <c r="F31" s="4">
        <v>1301</v>
      </c>
      <c r="G31" s="4">
        <v>1256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</row>
    <row r="32" spans="1:20" x14ac:dyDescent="0.25">
      <c r="A32" s="8" t="s">
        <v>48</v>
      </c>
      <c r="B32" s="4">
        <v>1419</v>
      </c>
      <c r="C32" s="4">
        <v>1387</v>
      </c>
      <c r="D32" s="4">
        <v>1365</v>
      </c>
      <c r="E32" s="4">
        <v>1316</v>
      </c>
      <c r="F32" s="4">
        <v>1284</v>
      </c>
      <c r="G32" s="4">
        <v>1264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T32" t="s">
        <v>101</v>
      </c>
    </row>
    <row r="33" spans="1:18" x14ac:dyDescent="0.25">
      <c r="A33" s="9" t="s">
        <v>49</v>
      </c>
      <c r="B33" s="4">
        <v>1390</v>
      </c>
      <c r="C33" s="4">
        <v>1373</v>
      </c>
      <c r="D33" s="4">
        <v>1351</v>
      </c>
      <c r="E33" s="4">
        <v>1351</v>
      </c>
      <c r="F33" s="4">
        <v>1374</v>
      </c>
      <c r="G33" s="6">
        <v>1326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863E-E2C9-4BAD-AC11-177488AAE635}">
  <dimension ref="A1:K26"/>
  <sheetViews>
    <sheetView workbookViewId="0">
      <selection activeCell="B8" sqref="B8"/>
    </sheetView>
  </sheetViews>
  <sheetFormatPr defaultColWidth="9.42578125" defaultRowHeight="15" x14ac:dyDescent="0.25"/>
  <cols>
    <col min="1" max="1" width="15.42578125" bestFit="1" customWidth="1"/>
    <col min="2" max="2" width="11" bestFit="1" customWidth="1"/>
    <col min="3" max="3" width="11.5703125" bestFit="1" customWidth="1"/>
    <col min="4" max="5" width="10.42578125" bestFit="1" customWidth="1"/>
    <col min="6" max="6" width="9.7109375" bestFit="1" customWidth="1"/>
    <col min="7" max="7" width="11.5703125" bestFit="1" customWidth="1"/>
    <col min="8" max="8" width="9.28515625" bestFit="1" customWidth="1"/>
    <col min="10" max="10" width="34.28515625" bestFit="1" customWidth="1"/>
    <col min="11" max="11" width="4.7109375" bestFit="1" customWidth="1"/>
  </cols>
  <sheetData>
    <row r="1" spans="1:11" x14ac:dyDescent="0.25">
      <c r="A1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56</v>
      </c>
    </row>
    <row r="2" spans="1:11" x14ac:dyDescent="0.25">
      <c r="A2" t="s">
        <v>60</v>
      </c>
      <c r="B2" t="s">
        <v>36</v>
      </c>
      <c r="C2" t="s">
        <v>18</v>
      </c>
      <c r="D2">
        <v>1501</v>
      </c>
      <c r="E2">
        <v>1658</v>
      </c>
      <c r="F2" t="s">
        <v>18</v>
      </c>
      <c r="G2" t="s">
        <v>18</v>
      </c>
      <c r="H2">
        <v>1</v>
      </c>
    </row>
    <row r="3" spans="1:11" x14ac:dyDescent="0.25">
      <c r="A3" t="s">
        <v>61</v>
      </c>
      <c r="B3" t="s">
        <v>42</v>
      </c>
      <c r="C3" t="s">
        <v>27</v>
      </c>
      <c r="D3">
        <v>1456</v>
      </c>
      <c r="E3">
        <v>1533</v>
      </c>
      <c r="F3" t="s">
        <v>27</v>
      </c>
      <c r="G3" t="s">
        <v>27</v>
      </c>
      <c r="H3">
        <v>1</v>
      </c>
    </row>
    <row r="4" spans="1:11" x14ac:dyDescent="0.25">
      <c r="A4" t="s">
        <v>62</v>
      </c>
      <c r="B4" t="s">
        <v>21</v>
      </c>
      <c r="C4" t="s">
        <v>31</v>
      </c>
      <c r="D4">
        <v>1556</v>
      </c>
      <c r="E4">
        <v>1544</v>
      </c>
      <c r="F4" t="s">
        <v>21</v>
      </c>
      <c r="G4" t="s">
        <v>21</v>
      </c>
      <c r="H4">
        <v>1</v>
      </c>
    </row>
    <row r="5" spans="1:11" x14ac:dyDescent="0.25">
      <c r="A5" t="s">
        <v>63</v>
      </c>
      <c r="B5" t="s">
        <v>34</v>
      </c>
      <c r="C5" t="s">
        <v>47</v>
      </c>
      <c r="D5">
        <v>1548</v>
      </c>
      <c r="E5">
        <v>1372</v>
      </c>
      <c r="F5" t="s">
        <v>34</v>
      </c>
      <c r="G5" t="s">
        <v>47</v>
      </c>
      <c r="H5">
        <v>-1</v>
      </c>
    </row>
    <row r="6" spans="1:11" x14ac:dyDescent="0.25">
      <c r="A6" t="s">
        <v>64</v>
      </c>
      <c r="B6" t="s">
        <v>40</v>
      </c>
      <c r="C6" t="s">
        <v>19</v>
      </c>
      <c r="D6">
        <v>1496</v>
      </c>
      <c r="E6">
        <v>1647</v>
      </c>
      <c r="F6" t="s">
        <v>19</v>
      </c>
      <c r="G6" t="s">
        <v>19</v>
      </c>
      <c r="H6">
        <v>1</v>
      </c>
    </row>
    <row r="7" spans="1:11" x14ac:dyDescent="0.25">
      <c r="A7" t="s">
        <v>65</v>
      </c>
      <c r="B7" t="s">
        <v>33</v>
      </c>
      <c r="C7" t="s">
        <v>44</v>
      </c>
      <c r="D7">
        <v>1525</v>
      </c>
      <c r="E7">
        <v>1383</v>
      </c>
      <c r="F7" t="s">
        <v>33</v>
      </c>
      <c r="G7" t="s">
        <v>44</v>
      </c>
      <c r="H7">
        <v>-1</v>
      </c>
    </row>
    <row r="8" spans="1:11" x14ac:dyDescent="0.25">
      <c r="A8" t="s">
        <v>66</v>
      </c>
      <c r="B8" t="s">
        <v>37</v>
      </c>
      <c r="C8" t="s">
        <v>45</v>
      </c>
      <c r="D8">
        <v>1466</v>
      </c>
      <c r="E8">
        <v>1428</v>
      </c>
      <c r="F8" t="s">
        <v>37</v>
      </c>
      <c r="G8" t="s">
        <v>37</v>
      </c>
      <c r="H8">
        <v>1</v>
      </c>
    </row>
    <row r="9" spans="1:11" x14ac:dyDescent="0.25">
      <c r="A9" t="s">
        <v>67</v>
      </c>
      <c r="B9" t="s">
        <v>30</v>
      </c>
      <c r="C9" t="s">
        <v>43</v>
      </c>
      <c r="D9">
        <v>1526</v>
      </c>
      <c r="E9">
        <v>1453</v>
      </c>
      <c r="F9" t="s">
        <v>30</v>
      </c>
      <c r="G9" t="s">
        <v>30</v>
      </c>
      <c r="H9">
        <v>1</v>
      </c>
    </row>
    <row r="10" spans="1:11" x14ac:dyDescent="0.25">
      <c r="A10" t="s">
        <v>68</v>
      </c>
      <c r="B10" t="s">
        <v>23</v>
      </c>
      <c r="C10" t="s">
        <v>38</v>
      </c>
      <c r="D10">
        <v>1548</v>
      </c>
      <c r="E10">
        <v>1499</v>
      </c>
      <c r="F10" t="s">
        <v>23</v>
      </c>
      <c r="G10" t="s">
        <v>23</v>
      </c>
      <c r="H10">
        <v>1</v>
      </c>
      <c r="J10" t="s">
        <v>82</v>
      </c>
    </row>
    <row r="11" spans="1:11" x14ac:dyDescent="0.25">
      <c r="A11" t="s">
        <v>69</v>
      </c>
      <c r="B11" t="s">
        <v>46</v>
      </c>
      <c r="C11" t="s">
        <v>25</v>
      </c>
      <c r="D11">
        <v>1435</v>
      </c>
      <c r="E11">
        <v>1552</v>
      </c>
      <c r="F11" t="s">
        <v>25</v>
      </c>
      <c r="G11" t="s">
        <v>25</v>
      </c>
      <c r="H11">
        <v>1</v>
      </c>
      <c r="J11" t="s">
        <v>78</v>
      </c>
      <c r="K11">
        <v>100</v>
      </c>
    </row>
    <row r="12" spans="1:11" x14ac:dyDescent="0.25">
      <c r="A12" t="s">
        <v>70</v>
      </c>
      <c r="B12" t="s">
        <v>41</v>
      </c>
      <c r="C12" t="s">
        <v>49</v>
      </c>
      <c r="D12">
        <v>1462</v>
      </c>
      <c r="E12">
        <v>1390</v>
      </c>
      <c r="F12" t="s">
        <v>41</v>
      </c>
      <c r="G12" t="s">
        <v>41</v>
      </c>
      <c r="H12">
        <v>1</v>
      </c>
      <c r="J12" t="s">
        <v>83</v>
      </c>
      <c r="K12">
        <v>-200</v>
      </c>
    </row>
    <row r="13" spans="1:11" x14ac:dyDescent="0.25">
      <c r="A13" t="s">
        <v>71</v>
      </c>
      <c r="B13" t="s">
        <v>35</v>
      </c>
      <c r="C13" t="s">
        <v>24</v>
      </c>
      <c r="D13">
        <v>1465</v>
      </c>
      <c r="E13">
        <v>1601</v>
      </c>
      <c r="F13" t="s">
        <v>24</v>
      </c>
      <c r="G13" t="s">
        <v>35</v>
      </c>
      <c r="H13">
        <v>-1</v>
      </c>
      <c r="J13" t="s">
        <v>81</v>
      </c>
      <c r="K13">
        <v>1.5</v>
      </c>
    </row>
    <row r="14" spans="1:11" x14ac:dyDescent="0.25">
      <c r="A14" t="s">
        <v>72</v>
      </c>
      <c r="B14" t="s">
        <v>32</v>
      </c>
      <c r="C14" t="s">
        <v>20</v>
      </c>
      <c r="D14">
        <v>1540</v>
      </c>
      <c r="E14">
        <v>1614</v>
      </c>
      <c r="F14" t="s">
        <v>20</v>
      </c>
      <c r="G14" t="s">
        <v>20</v>
      </c>
      <c r="H14">
        <v>1</v>
      </c>
      <c r="J14" t="s">
        <v>79</v>
      </c>
      <c r="K14">
        <v>150</v>
      </c>
    </row>
    <row r="15" spans="1:11" x14ac:dyDescent="0.25">
      <c r="A15" t="s">
        <v>73</v>
      </c>
      <c r="B15" t="s">
        <v>29</v>
      </c>
      <c r="C15" t="s">
        <v>28</v>
      </c>
      <c r="D15">
        <v>1561</v>
      </c>
      <c r="E15">
        <v>1541</v>
      </c>
      <c r="F15" t="s">
        <v>29</v>
      </c>
      <c r="G15" t="s">
        <v>28</v>
      </c>
      <c r="H15">
        <v>-1</v>
      </c>
    </row>
    <row r="16" spans="1:11" x14ac:dyDescent="0.25">
      <c r="A16" t="s">
        <v>84</v>
      </c>
      <c r="B16" t="s">
        <v>22</v>
      </c>
      <c r="C16" t="s">
        <v>48</v>
      </c>
      <c r="D16">
        <v>1573</v>
      </c>
      <c r="E16">
        <v>1419</v>
      </c>
      <c r="F16" t="s">
        <v>22</v>
      </c>
      <c r="G16" t="s">
        <v>22</v>
      </c>
      <c r="H16">
        <v>1</v>
      </c>
    </row>
    <row r="17" spans="1:8" x14ac:dyDescent="0.25">
      <c r="A17" t="s">
        <v>85</v>
      </c>
      <c r="B17" t="s">
        <v>26</v>
      </c>
      <c r="C17" t="s">
        <v>39</v>
      </c>
      <c r="D17">
        <v>1549</v>
      </c>
      <c r="E17">
        <v>1485</v>
      </c>
      <c r="F17" t="s">
        <v>26</v>
      </c>
      <c r="G17" t="s">
        <v>26</v>
      </c>
      <c r="H17">
        <v>1</v>
      </c>
    </row>
    <row r="19" spans="1:8" x14ac:dyDescent="0.25">
      <c r="A19" s="11" t="s">
        <v>75</v>
      </c>
    </row>
    <row r="20" spans="1:8" x14ac:dyDescent="0.25">
      <c r="A20" t="s">
        <v>57</v>
      </c>
      <c r="B20">
        <v>12</v>
      </c>
    </row>
    <row r="21" spans="1:8" ht="15.75" thickBot="1" x14ac:dyDescent="0.3">
      <c r="A21" s="10" t="s">
        <v>58</v>
      </c>
      <c r="B21" s="10">
        <v>4</v>
      </c>
    </row>
    <row r="22" spans="1:8" x14ac:dyDescent="0.25">
      <c r="A22" t="s">
        <v>59</v>
      </c>
      <c r="B22">
        <v>8</v>
      </c>
    </row>
    <row r="24" spans="1:8" x14ac:dyDescent="0.25">
      <c r="A24" t="s">
        <v>94</v>
      </c>
      <c r="B24">
        <v>16</v>
      </c>
    </row>
    <row r="25" spans="1:8" x14ac:dyDescent="0.25">
      <c r="A25" t="s">
        <v>93</v>
      </c>
      <c r="B25">
        <v>1800</v>
      </c>
    </row>
    <row r="26" spans="1:8" x14ac:dyDescent="0.25">
      <c r="A26" t="s">
        <v>86</v>
      </c>
      <c r="B26">
        <v>200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6AC6-8913-474B-AE3D-D3C6B2B67219}">
  <dimension ref="A1:M26"/>
  <sheetViews>
    <sheetView workbookViewId="0">
      <selection activeCell="D2" sqref="D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11" bestFit="1" customWidth="1"/>
    <col min="4" max="4" width="15.42578125" bestFit="1" customWidth="1"/>
    <col min="5" max="5" width="10.42578125" bestFit="1" customWidth="1"/>
    <col min="6" max="7" width="11" bestFit="1" customWidth="1"/>
    <col min="8" max="8" width="7.140625" bestFit="1" customWidth="1"/>
    <col min="9" max="9" width="9.28515625" bestFit="1" customWidth="1"/>
    <col min="10" max="10" width="12.42578125" bestFit="1" customWidth="1"/>
    <col min="12" max="12" width="34.28515625" bestFit="1" customWidth="1"/>
    <col min="13" max="13" width="8.28515625" bestFit="1" customWidth="1"/>
  </cols>
  <sheetData>
    <row r="1" spans="1:13" x14ac:dyDescent="0.25">
      <c r="A1" s="11" t="s">
        <v>3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56</v>
      </c>
    </row>
    <row r="2" spans="1:13" x14ac:dyDescent="0.25">
      <c r="A2" t="s">
        <v>60</v>
      </c>
      <c r="B2" t="s">
        <v>49</v>
      </c>
      <c r="C2" t="s">
        <v>40</v>
      </c>
      <c r="D2">
        <f>INDEX(Table217[#All],MATCH(B2,Table217[[#All],[Team/Elo]],0),MATCH(Table14519[[#Headers],[Week 2]],Table217[#Headers],0))</f>
        <v>1373</v>
      </c>
      <c r="E2">
        <f>INDEX(Table217[#All],MATCH(C2,Table217[[#All],[Team/Elo]],0),MATCH(Table14519[[#Headers],[Week 2]],Table217[#Headers],0))</f>
        <v>1449</v>
      </c>
      <c r="F2" t="str">
        <f>IF(D2&gt;E2,B2,C2)</f>
        <v>Browns</v>
      </c>
      <c r="G2" t="s">
        <v>40</v>
      </c>
      <c r="H2">
        <f t="shared" ref="H2:H17" si="0">IF(F2=G2,1,-1)</f>
        <v>1</v>
      </c>
    </row>
    <row r="3" spans="1:13" x14ac:dyDescent="0.25">
      <c r="A3" t="s">
        <v>61</v>
      </c>
      <c r="B3" t="s">
        <v>48</v>
      </c>
      <c r="C3" t="s">
        <v>30</v>
      </c>
      <c r="D3">
        <f>INDEX(Table217[#All],MATCH(B3,Table217[[#All],[Team/Elo]],0),MATCH(Table14519[[#Headers],[Week 2]],Table217[#Headers],0))</f>
        <v>1387</v>
      </c>
      <c r="E3">
        <f>INDEX(Table217[#All],MATCH(C3,Table217[[#All],[Team/Elo]],0),MATCH(Table14519[[#Headers],[Week 2]],Table217[#Headers],0))</f>
        <v>1538</v>
      </c>
      <c r="F3" t="str">
        <f t="shared" ref="F3:F17" si="1">IF(D3&gt;E3,B3,C3)</f>
        <v>Bears</v>
      </c>
      <c r="G3" t="s">
        <v>30</v>
      </c>
      <c r="H3">
        <f t="shared" si="0"/>
        <v>1</v>
      </c>
    </row>
    <row r="4" spans="1:13" x14ac:dyDescent="0.25">
      <c r="A4" t="s">
        <v>62</v>
      </c>
      <c r="B4" t="s">
        <v>28</v>
      </c>
      <c r="C4" t="s">
        <v>34</v>
      </c>
      <c r="D4">
        <f>INDEX(Table217[#All],MATCH(B4,Table217[[#All],[Team/Elo]],0),MATCH(Table14519[[#Headers],[Week 2]],Table217[#Headers],0))</f>
        <v>1555</v>
      </c>
      <c r="E4">
        <f>INDEX(Table217[#All],MATCH(C4,Table217[[#All],[Team/Elo]],0),MATCH(Table14519[[#Headers],[Week 2]],Table217[#Headers],0))</f>
        <v>1534</v>
      </c>
      <c r="F4" t="str">
        <f t="shared" si="1"/>
        <v>Rams</v>
      </c>
      <c r="G4" t="s">
        <v>28</v>
      </c>
      <c r="H4">
        <f t="shared" si="0"/>
        <v>1</v>
      </c>
    </row>
    <row r="5" spans="1:13" x14ac:dyDescent="0.25">
      <c r="A5" t="s">
        <v>63</v>
      </c>
      <c r="B5" t="s">
        <v>38</v>
      </c>
      <c r="C5" t="s">
        <v>29</v>
      </c>
      <c r="D5">
        <f>INDEX(Table217[#All],MATCH(B5,Table217[[#All],[Team/Elo]],0),MATCH(Table14519[[#Headers],[Week 2]],Table217[#Headers],0))</f>
        <v>1469</v>
      </c>
      <c r="E5">
        <f>INDEX(Table217[#All],MATCH(C5,Table217[[#All],[Team/Elo]],0),MATCH(Table14519[[#Headers],[Week 2]],Table217[#Headers],0))</f>
        <v>1547</v>
      </c>
      <c r="F5" t="str">
        <f t="shared" si="1"/>
        <v>Cowboys</v>
      </c>
      <c r="G5" t="s">
        <v>29</v>
      </c>
      <c r="H5">
        <f t="shared" si="0"/>
        <v>1</v>
      </c>
      <c r="M5" s="12"/>
    </row>
    <row r="6" spans="1:13" x14ac:dyDescent="0.25">
      <c r="A6" t="s">
        <v>64</v>
      </c>
      <c r="B6" t="s">
        <v>45</v>
      </c>
      <c r="C6" t="s">
        <v>32</v>
      </c>
      <c r="D6">
        <f>INDEX(Table217[#All],MATCH(B6,Table217[[#All],[Team/Elo]],0),MATCH(Table14519[[#Headers],[Week 2]],Table217[#Headers],0))</f>
        <v>1410</v>
      </c>
      <c r="E6">
        <f>INDEX(Table217[#All],MATCH(C6,Table217[[#All],[Team/Elo]],0),MATCH(Table14519[[#Headers],[Week 2]],Table217[#Headers],0))</f>
        <v>1510</v>
      </c>
      <c r="F6" t="str">
        <f t="shared" si="1"/>
        <v>Buccaneers</v>
      </c>
      <c r="G6" t="s">
        <v>32</v>
      </c>
      <c r="H6">
        <f t="shared" si="0"/>
        <v>1</v>
      </c>
    </row>
    <row r="7" spans="1:13" x14ac:dyDescent="0.25">
      <c r="A7" t="s">
        <v>65</v>
      </c>
      <c r="B7" t="s">
        <v>24</v>
      </c>
      <c r="C7" t="s">
        <v>42</v>
      </c>
      <c r="D7">
        <f>INDEX(Table217[#All],MATCH(B7,Table217[[#All],[Team/Elo]],0),MATCH(Table14519[[#Headers],[Week 2]],Table217[#Headers],0))</f>
        <v>1590</v>
      </c>
      <c r="E7">
        <f>INDEX(Table217[#All],MATCH(C7,Table217[[#All],[Team/Elo]],0),MATCH(Table14519[[#Headers],[Week 2]],Table217[#Headers],0))</f>
        <v>1427</v>
      </c>
      <c r="F7" t="str">
        <f t="shared" si="1"/>
        <v>49ers</v>
      </c>
      <c r="G7" t="s">
        <v>24</v>
      </c>
      <c r="H7">
        <f t="shared" si="0"/>
        <v>1</v>
      </c>
      <c r="M7" s="13"/>
    </row>
    <row r="8" spans="1:13" x14ac:dyDescent="0.25">
      <c r="A8" t="s">
        <v>66</v>
      </c>
      <c r="B8" t="s">
        <v>39</v>
      </c>
      <c r="C8" t="s">
        <v>22</v>
      </c>
      <c r="D8">
        <f>INDEX(Table217[#All],MATCH(B8,Table217[[#All],[Team/Elo]],0),MATCH(Table14519[[#Headers],[Week 2]],Table217[#Headers],0))</f>
        <v>1472</v>
      </c>
      <c r="E8">
        <f>INDEX(Table217[#All],MATCH(C8,Table217[[#All],[Team/Elo]],0),MATCH(Table14519[[#Headers],[Week 2]],Table217[#Headers],0))</f>
        <v>1586</v>
      </c>
      <c r="F8" t="str">
        <f t="shared" si="1"/>
        <v>Steelers</v>
      </c>
      <c r="G8" t="s">
        <v>22</v>
      </c>
      <c r="H8">
        <f t="shared" si="0"/>
        <v>1</v>
      </c>
      <c r="M8" s="12"/>
    </row>
    <row r="9" spans="1:13" x14ac:dyDescent="0.25">
      <c r="A9" t="s">
        <v>67</v>
      </c>
      <c r="B9" t="s">
        <v>44</v>
      </c>
      <c r="C9" t="s">
        <v>26</v>
      </c>
      <c r="D9">
        <f>INDEX(Table217[#All],MATCH(B9,Table217[[#All],[Team/Elo]],0),MATCH(Table14519[[#Headers],[Week 2]],Table217[#Headers],0))</f>
        <v>1413</v>
      </c>
      <c r="E9">
        <f>INDEX(Table217[#All],MATCH(C9,Table217[[#All],[Team/Elo]],0),MATCH(Table14519[[#Headers],[Week 2]],Table217[#Headers],0))</f>
        <v>1557</v>
      </c>
      <c r="F9" t="str">
        <f t="shared" si="1"/>
        <v>Titans</v>
      </c>
      <c r="G9" t="s">
        <v>26</v>
      </c>
      <c r="H9">
        <f t="shared" si="0"/>
        <v>1</v>
      </c>
    </row>
    <row r="10" spans="1:13" x14ac:dyDescent="0.25">
      <c r="A10" t="s">
        <v>68</v>
      </c>
      <c r="B10" t="s">
        <v>43</v>
      </c>
      <c r="C10" t="s">
        <v>21</v>
      </c>
      <c r="D10">
        <f>INDEX(Table217[#All],MATCH(B10,Table217[[#All],[Team/Elo]],0),MATCH(Table14519[[#Headers],[Week 2]],Table217[#Headers],0))</f>
        <v>1434</v>
      </c>
      <c r="E10">
        <f>INDEX(Table217[#All],MATCH(C10,Table217[[#All],[Team/Elo]],0),MATCH(Table14519[[#Headers],[Week 2]],Table217[#Headers],0))</f>
        <v>1578</v>
      </c>
      <c r="F10" t="str">
        <f t="shared" si="1"/>
        <v>Packers</v>
      </c>
      <c r="G10" t="s">
        <v>21</v>
      </c>
      <c r="H10">
        <f t="shared" si="0"/>
        <v>1</v>
      </c>
      <c r="L10" t="s">
        <v>82</v>
      </c>
    </row>
    <row r="11" spans="1:13" x14ac:dyDescent="0.25">
      <c r="A11" t="s">
        <v>69</v>
      </c>
      <c r="B11" t="s">
        <v>27</v>
      </c>
      <c r="C11" t="s">
        <v>46</v>
      </c>
      <c r="D11">
        <f>INDEX(Table217[#All],MATCH(B11,Table217[[#All],[Team/Elo]],0),MATCH(Table14519[[#Headers],[Week 2]],Table217[#Headers],0))</f>
        <v>1551</v>
      </c>
      <c r="E11">
        <f>INDEX(Table217[#All],MATCH(C11,Table217[[#All],[Team/Elo]],0),MATCH(Table14519[[#Headers],[Week 2]],Table217[#Headers],0))</f>
        <v>1404</v>
      </c>
      <c r="F11" t="str">
        <f t="shared" si="1"/>
        <v>Bills</v>
      </c>
      <c r="G11" t="s">
        <v>27</v>
      </c>
      <c r="H11">
        <f t="shared" si="0"/>
        <v>1</v>
      </c>
      <c r="L11" t="s">
        <v>78</v>
      </c>
      <c r="M11" s="12">
        <v>100</v>
      </c>
    </row>
    <row r="12" spans="1:13" x14ac:dyDescent="0.25">
      <c r="A12" t="s">
        <v>70</v>
      </c>
      <c r="B12" t="s">
        <v>31</v>
      </c>
      <c r="C12" t="s">
        <v>33</v>
      </c>
      <c r="D12">
        <f>INDEX(Table217[#All],MATCH(B12,Table217[[#All],[Team/Elo]],0),MATCH(Table14519[[#Headers],[Week 2]],Table217[#Headers],0))</f>
        <v>1520</v>
      </c>
      <c r="E12">
        <f>INDEX(Table217[#All],MATCH(C12,Table217[[#All],[Team/Elo]],0),MATCH(Table14519[[#Headers],[Week 2]],Table217[#Headers],0))</f>
        <v>1511</v>
      </c>
      <c r="F12" t="str">
        <f t="shared" si="1"/>
        <v>Vikings</v>
      </c>
      <c r="G12" t="s">
        <v>33</v>
      </c>
      <c r="H12">
        <f t="shared" si="0"/>
        <v>-1</v>
      </c>
      <c r="L12" t="s">
        <v>83</v>
      </c>
      <c r="M12">
        <v>-200</v>
      </c>
    </row>
    <row r="13" spans="1:13" x14ac:dyDescent="0.25">
      <c r="A13" t="s">
        <v>71</v>
      </c>
      <c r="B13" t="s">
        <v>47</v>
      </c>
      <c r="C13" t="s">
        <v>35</v>
      </c>
      <c r="D13">
        <f>INDEX(Table217[#All],MATCH(B13,Table217[[#All],[Team/Elo]],0),MATCH(Table14519[[#Headers],[Week 2]],Table217[#Headers],0))</f>
        <v>1410</v>
      </c>
      <c r="E13">
        <f>INDEX(Table217[#All],MATCH(C13,Table217[[#All],[Team/Elo]],0),MATCH(Table14519[[#Headers],[Week 2]],Table217[#Headers],0))</f>
        <v>1478</v>
      </c>
      <c r="F13" t="str">
        <f t="shared" si="1"/>
        <v>Cardinals</v>
      </c>
      <c r="G13" t="s">
        <v>35</v>
      </c>
      <c r="H13">
        <f t="shared" si="0"/>
        <v>1</v>
      </c>
      <c r="L13" t="s">
        <v>81</v>
      </c>
      <c r="M13" s="13">
        <f>(M11/ABS(M12))+1</f>
        <v>1.5</v>
      </c>
    </row>
    <row r="14" spans="1:13" x14ac:dyDescent="0.25">
      <c r="A14" t="s">
        <v>72</v>
      </c>
      <c r="B14" t="s">
        <v>19</v>
      </c>
      <c r="C14" t="s">
        <v>36</v>
      </c>
      <c r="D14">
        <f>INDEX(Table217[#All],MATCH(B14,Table217[[#All],[Team/Elo]],0),MATCH(Table14519[[#Headers],[Week 2]],Table217[#Headers],0))</f>
        <v>1666</v>
      </c>
      <c r="E14">
        <f>INDEX(Table217[#All],MATCH(C14,Table217[[#All],[Team/Elo]],0),MATCH(Table14519[[#Headers],[Week 2]],Table217[#Headers],0))</f>
        <v>1465</v>
      </c>
      <c r="F14" t="str">
        <f t="shared" si="1"/>
        <v>Ravens</v>
      </c>
      <c r="G14" t="s">
        <v>19</v>
      </c>
      <c r="H14">
        <f t="shared" si="0"/>
        <v>1</v>
      </c>
      <c r="L14" t="s">
        <v>79</v>
      </c>
      <c r="M14" s="12">
        <f>M11*M13</f>
        <v>150</v>
      </c>
    </row>
    <row r="15" spans="1:13" x14ac:dyDescent="0.25">
      <c r="A15" t="s">
        <v>73</v>
      </c>
      <c r="B15" t="s">
        <v>18</v>
      </c>
      <c r="C15" t="s">
        <v>41</v>
      </c>
      <c r="D15">
        <f>INDEX(Table217[#All],MATCH(B15,Table217[[#All],[Team/Elo]],0),MATCH(Table14519[[#Headers],[Week 2]],Table217[#Headers],0))</f>
        <v>1672</v>
      </c>
      <c r="E15">
        <f>INDEX(Table217[#All],MATCH(C15,Table217[[#All],[Team/Elo]],0),MATCH(Table14519[[#Headers],[Week 2]],Table217[#Headers],0))</f>
        <v>1472</v>
      </c>
      <c r="F15" t="str">
        <f t="shared" si="1"/>
        <v>Chiefs</v>
      </c>
      <c r="G15" t="s">
        <v>18</v>
      </c>
      <c r="H15">
        <f t="shared" si="0"/>
        <v>1</v>
      </c>
    </row>
    <row r="16" spans="1:13" x14ac:dyDescent="0.25">
      <c r="A16" t="s">
        <v>84</v>
      </c>
      <c r="B16" t="s">
        <v>25</v>
      </c>
      <c r="C16" t="s">
        <v>23</v>
      </c>
      <c r="D16">
        <f>INDEX(Table217[#All],MATCH(B16,Table217[[#All],[Team/Elo]],0),MATCH(Table14519[[#Headers],[Week 2]],Table217[#Headers],0))</f>
        <v>1567</v>
      </c>
      <c r="E16">
        <f>INDEX(Table217[#All],MATCH(C16,Table217[[#All],[Team/Elo]],0),MATCH(Table14519[[#Headers],[Week 2]],Table217[#Headers],0))</f>
        <v>1570</v>
      </c>
      <c r="F16" t="str">
        <f t="shared" si="1"/>
        <v>Seahawks</v>
      </c>
      <c r="G16" t="s">
        <v>23</v>
      </c>
      <c r="H16">
        <f t="shared" si="0"/>
        <v>1</v>
      </c>
    </row>
    <row r="17" spans="1:8" x14ac:dyDescent="0.25">
      <c r="A17" t="s">
        <v>85</v>
      </c>
      <c r="B17" t="s">
        <v>20</v>
      </c>
      <c r="C17" t="s">
        <v>37</v>
      </c>
      <c r="D17">
        <f>INDEX(Table217[#All],MATCH(B17,Table217[[#All],[Team/Elo]],0),MATCH(Table14519[[#Headers],[Week 2]],Table217[#Headers],0))</f>
        <v>1632</v>
      </c>
      <c r="E17">
        <f>INDEX(Table217[#All],MATCH(C17,Table217[[#All],[Team/Elo]],0),MATCH(Table14519[[#Headers],[Week 2]],Table217[#Headers],0))</f>
        <v>1480</v>
      </c>
      <c r="F17" t="str">
        <f t="shared" si="1"/>
        <v>Saints</v>
      </c>
      <c r="G17" t="s">
        <v>37</v>
      </c>
      <c r="H17">
        <f t="shared" si="0"/>
        <v>-1</v>
      </c>
    </row>
    <row r="19" spans="1:8" x14ac:dyDescent="0.25">
      <c r="A19" s="11" t="s">
        <v>75</v>
      </c>
      <c r="D19" s="11"/>
    </row>
    <row r="20" spans="1:8" x14ac:dyDescent="0.25">
      <c r="A20" t="s">
        <v>57</v>
      </c>
      <c r="B20">
        <f>COUNTIF($H$2:$H$17,1)</f>
        <v>14</v>
      </c>
    </row>
    <row r="21" spans="1:8" ht="15.75" thickBot="1" x14ac:dyDescent="0.3">
      <c r="A21" s="10" t="s">
        <v>58</v>
      </c>
      <c r="B21" s="10">
        <f>COUNTIF($H$2:$H$17,-1)</f>
        <v>2</v>
      </c>
    </row>
    <row r="22" spans="1:8" x14ac:dyDescent="0.25">
      <c r="A22" t="s">
        <v>59</v>
      </c>
      <c r="B22">
        <f>B20-B21</f>
        <v>12</v>
      </c>
    </row>
    <row r="24" spans="1:8" x14ac:dyDescent="0.25">
      <c r="A24" t="s">
        <v>94</v>
      </c>
      <c r="B24">
        <f>B20+B21</f>
        <v>16</v>
      </c>
    </row>
    <row r="25" spans="1:8" x14ac:dyDescent="0.25">
      <c r="A25" t="s">
        <v>93</v>
      </c>
      <c r="B25" s="12">
        <f>B20*M14</f>
        <v>2100</v>
      </c>
      <c r="E25" s="12"/>
    </row>
    <row r="26" spans="1:8" x14ac:dyDescent="0.25">
      <c r="A26" t="s">
        <v>86</v>
      </c>
      <c r="B26" s="12">
        <f>B25-(B24*M11)</f>
        <v>500</v>
      </c>
      <c r="E26" s="1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B381-24C9-44B5-8102-796DA7F7F70C}">
  <dimension ref="A1:L26"/>
  <sheetViews>
    <sheetView workbookViewId="0">
      <selection activeCell="D2" sqref="D2"/>
    </sheetView>
  </sheetViews>
  <sheetFormatPr defaultRowHeight="15" x14ac:dyDescent="0.25"/>
  <cols>
    <col min="2" max="2" width="11.5703125" bestFit="1" customWidth="1"/>
    <col min="5" max="5" width="13" customWidth="1"/>
  </cols>
  <sheetData>
    <row r="1" spans="1:12" x14ac:dyDescent="0.25">
      <c r="A1" s="11" t="s">
        <v>4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56</v>
      </c>
    </row>
    <row r="2" spans="1:12" x14ac:dyDescent="0.25">
      <c r="A2" t="s">
        <v>60</v>
      </c>
      <c r="B2" t="s">
        <v>46</v>
      </c>
      <c r="C2" t="s">
        <v>44</v>
      </c>
      <c r="D2">
        <f>INDEX(Table217[#All],MATCH(B2,Table217[[#All],[Team/Elo]],0),MATCH(Table145620[[#Headers],[Week 3]],Table217[#Headers],0))</f>
        <v>1385</v>
      </c>
      <c r="E2">
        <f>INDEX(Table217[#All],MATCH(C2,Table217[[#All],[Team/Elo]],0),MATCH(Table145620[[#Headers],[Week 3]],Table217[#Headers],0))</f>
        <v>1394</v>
      </c>
      <c r="F2" t="str">
        <f>IF(D2&gt;E2,B2,C2)</f>
        <v>Jaguars</v>
      </c>
      <c r="G2" t="s">
        <v>46</v>
      </c>
      <c r="H2">
        <f t="shared" ref="H2:H4" si="0">IF(F2=G2,1,-1)</f>
        <v>-1</v>
      </c>
    </row>
    <row r="3" spans="1:12" x14ac:dyDescent="0.25">
      <c r="A3" t="s">
        <v>61</v>
      </c>
      <c r="B3" t="s">
        <v>24</v>
      </c>
      <c r="C3" t="s">
        <v>48</v>
      </c>
      <c r="D3">
        <f>INDEX(Table217[#All],MATCH(B3,Table217[[#All],[Team/Elo]],0),MATCH(Table145620[[#Headers],[Week 3]],Table217[#Headers],0))</f>
        <v>1605</v>
      </c>
      <c r="E3">
        <f>INDEX(Table217[#All],MATCH(C3,Table217[[#All],[Team/Elo]],0),MATCH(Table145620[[#Headers],[Week 3]],Table217[#Headers],0))</f>
        <v>1365</v>
      </c>
      <c r="F3" t="str">
        <f t="shared" ref="F3:F15" si="1">IF(D3&gt;E3,B3,C3)</f>
        <v>49ers</v>
      </c>
      <c r="G3" t="s">
        <v>24</v>
      </c>
      <c r="H3">
        <f t="shared" si="0"/>
        <v>1</v>
      </c>
    </row>
    <row r="4" spans="1:12" x14ac:dyDescent="0.25">
      <c r="A4" t="s">
        <v>62</v>
      </c>
      <c r="B4" t="s">
        <v>47</v>
      </c>
      <c r="C4" t="s">
        <v>40</v>
      </c>
      <c r="D4">
        <f>INDEX(Table217[#All],MATCH(B4,Table217[[#All],[Team/Elo]],0),MATCH(Table145620[[#Headers],[Week 3]],Table217[#Headers],0))</f>
        <v>1377</v>
      </c>
      <c r="E4">
        <f>INDEX(Table217[#All],MATCH(C4,Table217[[#All],[Team/Elo]],0),MATCH(Table145620[[#Headers],[Week 3]],Table217[#Headers],0))</f>
        <v>1462</v>
      </c>
      <c r="F4" t="str">
        <f t="shared" si="1"/>
        <v>Browns</v>
      </c>
      <c r="G4" t="s">
        <v>40</v>
      </c>
      <c r="H4">
        <f t="shared" si="0"/>
        <v>1</v>
      </c>
    </row>
    <row r="5" spans="1:12" x14ac:dyDescent="0.25">
      <c r="A5" t="s">
        <v>63</v>
      </c>
      <c r="B5" t="s">
        <v>49</v>
      </c>
      <c r="C5" t="s">
        <v>34</v>
      </c>
      <c r="D5">
        <f>INDEX(Table217[#All],MATCH(B5,Table217[[#All],[Team/Elo]],0),MATCH(Table145620[[#Headers],[Week 3]],Table217[#Headers],0))</f>
        <v>1351</v>
      </c>
      <c r="E5">
        <f>INDEX(Table217[#All],MATCH(C5,Table217[[#All],[Team/Elo]],0),MATCH(Table145620[[#Headers],[Week 3]],Table217[#Headers],0))</f>
        <v>1503</v>
      </c>
      <c r="F5" t="str">
        <f t="shared" si="1"/>
        <v>Eagles</v>
      </c>
      <c r="G5" s="11" t="s">
        <v>87</v>
      </c>
      <c r="H5" s="11" t="s">
        <v>87</v>
      </c>
      <c r="I5" s="11"/>
      <c r="L5" s="12"/>
    </row>
    <row r="6" spans="1:12" x14ac:dyDescent="0.25">
      <c r="A6" t="s">
        <v>64</v>
      </c>
      <c r="B6" t="s">
        <v>37</v>
      </c>
      <c r="C6" t="s">
        <v>25</v>
      </c>
      <c r="D6">
        <f>INDEX(Table217[#All],MATCH(B6,Table217[[#All],[Team/Elo]],0),MATCH(Table145620[[#Headers],[Week 3]],Table217[#Headers],0))</f>
        <v>1516</v>
      </c>
      <c r="E6">
        <f>INDEX(Table217[#All],MATCH(C6,Table217[[#All],[Team/Elo]],0),MATCH(Table145620[[#Headers],[Week 3]],Table217[#Headers],0))</f>
        <v>1548</v>
      </c>
      <c r="F6" t="str">
        <f t="shared" si="1"/>
        <v>Patriots</v>
      </c>
      <c r="G6" t="s">
        <v>25</v>
      </c>
      <c r="H6">
        <f t="shared" ref="H6:H15" si="2">IF(F6=G6,1,-1)</f>
        <v>1</v>
      </c>
    </row>
    <row r="7" spans="1:12" x14ac:dyDescent="0.25">
      <c r="A7" t="s">
        <v>65</v>
      </c>
      <c r="B7" t="s">
        <v>30</v>
      </c>
      <c r="C7" t="s">
        <v>38</v>
      </c>
      <c r="D7">
        <f>INDEX(Table217[#All],MATCH(B7,Table217[[#All],[Team/Elo]],0),MATCH(Table145620[[#Headers],[Week 3]],Table217[#Headers],0))</f>
        <v>1546</v>
      </c>
      <c r="E7">
        <f>INDEX(Table217[#All],MATCH(C7,Table217[[#All],[Team/Elo]],0),MATCH(Table145620[[#Headers],[Week 3]],Table217[#Headers],0))</f>
        <v>1460</v>
      </c>
      <c r="F7" t="str">
        <f t="shared" si="1"/>
        <v>Bears</v>
      </c>
      <c r="G7" t="s">
        <v>30</v>
      </c>
      <c r="H7">
        <f t="shared" si="2"/>
        <v>1</v>
      </c>
      <c r="L7" s="13"/>
    </row>
    <row r="8" spans="1:12" x14ac:dyDescent="0.25">
      <c r="A8" t="s">
        <v>66</v>
      </c>
      <c r="B8" t="s">
        <v>28</v>
      </c>
      <c r="C8" t="s">
        <v>27</v>
      </c>
      <c r="D8">
        <f>INDEX(Table217[#All],MATCH(B8,Table217[[#All],[Team/Elo]],0),MATCH(Table145620[[#Headers],[Week 3]],Table217[#Headers],0))</f>
        <v>1582</v>
      </c>
      <c r="E8">
        <f>INDEX(Table217[#All],MATCH(C8,Table217[[#All],[Team/Elo]],0),MATCH(Table145620[[#Headers],[Week 3]],Table217[#Headers],0))</f>
        <v>1558</v>
      </c>
      <c r="F8" t="str">
        <f t="shared" si="1"/>
        <v>Rams</v>
      </c>
      <c r="G8" t="s">
        <v>27</v>
      </c>
      <c r="H8">
        <f t="shared" si="2"/>
        <v>-1</v>
      </c>
      <c r="L8" s="12"/>
    </row>
    <row r="9" spans="1:12" x14ac:dyDescent="0.25">
      <c r="A9" t="s">
        <v>67</v>
      </c>
      <c r="B9" t="s">
        <v>36</v>
      </c>
      <c r="C9" t="s">
        <v>22</v>
      </c>
      <c r="D9">
        <f>INDEX(Table217[#All],MATCH(B9,Table217[[#All],[Team/Elo]],0),MATCH(Table145620[[#Headers],[Week 3]],Table217[#Headers],0))</f>
        <v>1424</v>
      </c>
      <c r="E9">
        <f>INDEX(Table217[#All],MATCH(C9,Table217[[#All],[Team/Elo]],0),MATCH(Table145620[[#Headers],[Week 3]],Table217[#Headers],0))</f>
        <v>1597</v>
      </c>
      <c r="F9" t="str">
        <f t="shared" si="1"/>
        <v>Steelers</v>
      </c>
      <c r="G9" t="s">
        <v>22</v>
      </c>
      <c r="H9">
        <f t="shared" si="2"/>
        <v>1</v>
      </c>
    </row>
    <row r="10" spans="1:12" x14ac:dyDescent="0.25">
      <c r="A10" t="s">
        <v>68</v>
      </c>
      <c r="B10" t="s">
        <v>26</v>
      </c>
      <c r="C10" t="s">
        <v>31</v>
      </c>
      <c r="D10">
        <f>INDEX(Table217[#All],MATCH(B10,Table217[[#All],[Team/Elo]],0),MATCH(Table145620[[#Headers],[Week 3]],Table217[#Headers],0))</f>
        <v>1564</v>
      </c>
      <c r="E10">
        <f>INDEX(Table217[#All],MATCH(C10,Table217[[#All],[Team/Elo]],0),MATCH(Table145620[[#Headers],[Week 3]],Table217[#Headers],0))</f>
        <v>1491</v>
      </c>
      <c r="F10" t="str">
        <f t="shared" si="1"/>
        <v>Titans</v>
      </c>
      <c r="G10" t="s">
        <v>26</v>
      </c>
      <c r="H10">
        <f t="shared" si="2"/>
        <v>1</v>
      </c>
      <c r="K10" t="s">
        <v>82</v>
      </c>
    </row>
    <row r="11" spans="1:12" x14ac:dyDescent="0.25">
      <c r="A11" t="s">
        <v>69</v>
      </c>
      <c r="B11" t="s">
        <v>45</v>
      </c>
      <c r="C11" t="s">
        <v>41</v>
      </c>
      <c r="D11">
        <f>INDEX(Table217[#All],MATCH(B11,Table217[[#All],[Team/Elo]],0),MATCH(Table145620[[#Headers],[Week 3]],Table217[#Headers],0))</f>
        <v>1376</v>
      </c>
      <c r="E11">
        <f>INDEX(Table217[#All],MATCH(C11,Table217[[#All],[Team/Elo]],0),MATCH(Table145620[[#Headers],[Week 3]],Table217[#Headers],0))</f>
        <v>1452</v>
      </c>
      <c r="F11" t="str">
        <f t="shared" si="1"/>
        <v>Chargers</v>
      </c>
      <c r="G11" t="s">
        <v>45</v>
      </c>
      <c r="H11">
        <f t="shared" si="2"/>
        <v>-1</v>
      </c>
      <c r="K11" t="s">
        <v>78</v>
      </c>
      <c r="L11" s="12">
        <v>100</v>
      </c>
    </row>
    <row r="12" spans="1:12" x14ac:dyDescent="0.25">
      <c r="A12" t="s">
        <v>70</v>
      </c>
      <c r="B12" t="s">
        <v>42</v>
      </c>
      <c r="C12" t="s">
        <v>33</v>
      </c>
      <c r="D12">
        <f>INDEX(Table217[#All],MATCH(B12,Table217[[#All],[Team/Elo]],0),MATCH(Table145620[[#Headers],[Week 3]],Table217[#Headers],0))</f>
        <v>1387</v>
      </c>
      <c r="E12">
        <f>INDEX(Table217[#All],MATCH(C12,Table217[[#All],[Team/Elo]],0),MATCH(Table145620[[#Headers],[Week 3]],Table217[#Headers],0))</f>
        <v>1540</v>
      </c>
      <c r="F12" t="str">
        <f t="shared" si="1"/>
        <v>Colts</v>
      </c>
      <c r="G12" t="s">
        <v>33</v>
      </c>
      <c r="H12">
        <f t="shared" si="2"/>
        <v>1</v>
      </c>
      <c r="K12" t="s">
        <v>83</v>
      </c>
      <c r="L12">
        <v>-200</v>
      </c>
    </row>
    <row r="13" spans="1:12" x14ac:dyDescent="0.25">
      <c r="A13" t="s">
        <v>71</v>
      </c>
      <c r="B13" t="s">
        <v>29</v>
      </c>
      <c r="C13" t="s">
        <v>23</v>
      </c>
      <c r="D13">
        <f>INDEX(Table217[#All],MATCH(B13,Table217[[#All],[Team/Elo]],0),MATCH(Table145620[[#Headers],[Week 3]],Table217[#Headers],0))</f>
        <v>1552</v>
      </c>
      <c r="E13">
        <f>INDEX(Table217[#All],MATCH(C13,Table217[[#All],[Team/Elo]],0),MATCH(Table145620[[#Headers],[Week 3]],Table217[#Headers],0))</f>
        <v>1587</v>
      </c>
      <c r="F13" t="str">
        <f t="shared" si="1"/>
        <v>Seahawks</v>
      </c>
      <c r="G13" t="s">
        <v>23</v>
      </c>
      <c r="H13">
        <f t="shared" si="2"/>
        <v>1</v>
      </c>
      <c r="K13" t="s">
        <v>81</v>
      </c>
      <c r="L13" s="13">
        <f>(L11/ABS(L12))+1</f>
        <v>1.5</v>
      </c>
    </row>
    <row r="14" spans="1:12" x14ac:dyDescent="0.25">
      <c r="A14" t="s">
        <v>72</v>
      </c>
      <c r="B14" t="s">
        <v>43</v>
      </c>
      <c r="C14" t="s">
        <v>35</v>
      </c>
      <c r="D14">
        <f>INDEX(Table217[#All],MATCH(B14,Table217[[#All],[Team/Elo]],0),MATCH(Table145620[[#Headers],[Week 3]],Table217[#Headers],0))</f>
        <v>1393</v>
      </c>
      <c r="E14">
        <f>INDEX(Table217[#All],MATCH(C14,Table217[[#All],[Team/Elo]],0),MATCH(Table145620[[#Headers],[Week 3]],Table217[#Headers],0))</f>
        <v>1499</v>
      </c>
      <c r="F14" t="str">
        <f t="shared" si="1"/>
        <v>Cardinals</v>
      </c>
      <c r="G14" t="s">
        <v>43</v>
      </c>
      <c r="H14">
        <f t="shared" si="2"/>
        <v>-1</v>
      </c>
      <c r="K14" t="s">
        <v>79</v>
      </c>
      <c r="L14" s="12">
        <f>L11*L13</f>
        <v>150</v>
      </c>
    </row>
    <row r="15" spans="1:12" x14ac:dyDescent="0.25">
      <c r="A15" t="s">
        <v>73</v>
      </c>
      <c r="B15" t="s">
        <v>32</v>
      </c>
      <c r="C15" t="s">
        <v>39</v>
      </c>
      <c r="D15">
        <f>INDEX(Table217[#All],MATCH(B15,Table217[[#All],[Team/Elo]],0),MATCH(Table145620[[#Headers],[Week 3]],Table217[#Headers],0))</f>
        <v>1528</v>
      </c>
      <c r="E15">
        <f>INDEX(Table217[#All],MATCH(C15,Table217[[#All],[Team/Elo]],0),MATCH(Table145620[[#Headers],[Week 3]],Table217[#Headers],0))</f>
        <v>1449</v>
      </c>
      <c r="F15" t="str">
        <f t="shared" si="1"/>
        <v>Buccaneers</v>
      </c>
      <c r="G15" t="s">
        <v>32</v>
      </c>
      <c r="H15">
        <f t="shared" si="2"/>
        <v>1</v>
      </c>
    </row>
    <row r="16" spans="1:12" x14ac:dyDescent="0.25">
      <c r="A16" t="s">
        <v>84</v>
      </c>
      <c r="B16" t="s">
        <v>21</v>
      </c>
      <c r="C16" t="s">
        <v>20</v>
      </c>
      <c r="D16">
        <f>INDEX(Table217[#All],MATCH(B16,Table217[[#All],[Team/Elo]],0),MATCH(Table145620[[#Headers],[Week 3]],Table217[#Headers],0))</f>
        <v>1595</v>
      </c>
      <c r="E16">
        <f>INDEX(Table217[#All],MATCH(C16,Table217[[#All],[Team/Elo]],0),MATCH(Table145620[[#Headers],[Week 3]],Table217[#Headers],0))</f>
        <v>1616</v>
      </c>
      <c r="F16" t="str">
        <f>IF(D16&gt;E16,B16,C16)</f>
        <v>Saints</v>
      </c>
      <c r="G16" t="s">
        <v>21</v>
      </c>
      <c r="H16">
        <f>IF(F16=G16,1,-1)</f>
        <v>-1</v>
      </c>
    </row>
    <row r="17" spans="1:8" x14ac:dyDescent="0.25">
      <c r="A17" t="s">
        <v>85</v>
      </c>
      <c r="B17" t="s">
        <v>18</v>
      </c>
      <c r="C17" t="s">
        <v>19</v>
      </c>
      <c r="D17">
        <f>INDEX(Table217[#All],MATCH(B17,Table217[[#All],[Team/Elo]],0),MATCH(Table145620[[#Headers],[Week 3]],Table217[#Headers],0))</f>
        <v>1679</v>
      </c>
      <c r="E17">
        <f>INDEX(Table217[#All],MATCH(C17,Table217[[#All],[Team/Elo]],0),MATCH(Table145620[[#Headers],[Week 3]],Table217[#Headers],0))</f>
        <v>1678</v>
      </c>
      <c r="F17" t="str">
        <f>IF(D17&gt;E17,B17,C17)</f>
        <v>Chiefs</v>
      </c>
      <c r="G17" t="s">
        <v>18</v>
      </c>
      <c r="H17">
        <f>IF(F17=G17,1,-1)</f>
        <v>1</v>
      </c>
    </row>
    <row r="19" spans="1:8" x14ac:dyDescent="0.25">
      <c r="A19" s="11" t="s">
        <v>75</v>
      </c>
      <c r="D19" s="11"/>
    </row>
    <row r="20" spans="1:8" x14ac:dyDescent="0.25">
      <c r="A20" t="s">
        <v>57</v>
      </c>
      <c r="B20">
        <f>COUNTIF($H$2:$H$17,1)</f>
        <v>10</v>
      </c>
    </row>
    <row r="21" spans="1:8" ht="15.75" thickBot="1" x14ac:dyDescent="0.3">
      <c r="A21" s="10" t="s">
        <v>58</v>
      </c>
      <c r="B21" s="10">
        <f>COUNTIF($H$2:$H$17,-1)</f>
        <v>5</v>
      </c>
    </row>
    <row r="22" spans="1:8" x14ac:dyDescent="0.25">
      <c r="A22" t="s">
        <v>59</v>
      </c>
      <c r="B22">
        <f>B20-B21</f>
        <v>5</v>
      </c>
    </row>
    <row r="24" spans="1:8" x14ac:dyDescent="0.25">
      <c r="A24" t="s">
        <v>94</v>
      </c>
      <c r="B24">
        <f>B20+B21</f>
        <v>15</v>
      </c>
    </row>
    <row r="25" spans="1:8" x14ac:dyDescent="0.25">
      <c r="A25" t="s">
        <v>93</v>
      </c>
      <c r="B25" s="12">
        <f>B20*L14</f>
        <v>1500</v>
      </c>
      <c r="E25" s="12"/>
    </row>
    <row r="26" spans="1:8" x14ac:dyDescent="0.25">
      <c r="A26" t="s">
        <v>86</v>
      </c>
      <c r="B26" s="12">
        <f>B25-(B24*L11)</f>
        <v>0</v>
      </c>
      <c r="E26" s="1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EA0D-9D4E-403A-92CC-4CFFE2ECDD05}">
  <dimension ref="A1:K26"/>
  <sheetViews>
    <sheetView workbookViewId="0">
      <selection activeCell="H15" sqref="H15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1.5703125" bestFit="1" customWidth="1"/>
    <col min="4" max="5" width="10.42578125" bestFit="1" customWidth="1"/>
    <col min="6" max="7" width="11" bestFit="1" customWidth="1"/>
    <col min="8" max="8" width="9.28515625" bestFit="1" customWidth="1"/>
    <col min="10" max="10" width="34.28515625" bestFit="1" customWidth="1"/>
    <col min="11" max="11" width="8.28515625" bestFit="1" customWidth="1"/>
  </cols>
  <sheetData>
    <row r="1" spans="1:1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56</v>
      </c>
    </row>
    <row r="2" spans="1:11" x14ac:dyDescent="0.25">
      <c r="A2" t="s">
        <v>60</v>
      </c>
      <c r="B2" t="s">
        <v>39</v>
      </c>
      <c r="C2" t="s">
        <v>42</v>
      </c>
      <c r="D2">
        <f>INDEX(Table217[#All],MATCH(B2,Table217[[#All],[Team/Elo]],0),MATCH(Table1821[[#Headers],[Week 4]],Table217[#Headers],0))</f>
        <v>1414</v>
      </c>
      <c r="E2">
        <f>INDEX(Table217[#All],MATCH(C2,Table217[[#All],[Team/Elo]],0),MATCH(Table1821[[#Headers],[Week 4]],Table217[#Headers],0))</f>
        <v>1342</v>
      </c>
      <c r="F2" t="str">
        <f>IF(D2&gt;E2,B2,C2)</f>
        <v>Broncos</v>
      </c>
      <c r="G2" t="s">
        <v>39</v>
      </c>
      <c r="H2">
        <f t="shared" ref="H2:H16" si="0">IF(F2=G2,1,-1)</f>
        <v>1</v>
      </c>
    </row>
    <row r="3" spans="1:11" x14ac:dyDescent="0.25">
      <c r="A3" t="s">
        <v>61</v>
      </c>
      <c r="B3" t="s">
        <v>20</v>
      </c>
      <c r="C3" t="s">
        <v>43</v>
      </c>
      <c r="D3">
        <f>INDEX(Table217[#All],MATCH(B3,Table217[[#All],[Team/Elo]],0),MATCH(Table1821[[#Headers],[Week 4]],Table217[#Headers],0))</f>
        <v>1596</v>
      </c>
      <c r="E3">
        <f>INDEX(Table217[#All],MATCH(C3,Table217[[#All],[Team/Elo]],0),MATCH(Table1821[[#Headers],[Week 4]],Table217[#Headers],0))</f>
        <v>1411</v>
      </c>
      <c r="F3" t="str">
        <f t="shared" ref="F3:F16" si="1">IF(D3&gt;E3,B3,C3)</f>
        <v>Saints</v>
      </c>
      <c r="G3" t="s">
        <v>20</v>
      </c>
      <c r="H3">
        <f t="shared" si="0"/>
        <v>1</v>
      </c>
      <c r="K3" s="12"/>
    </row>
    <row r="4" spans="1:11" x14ac:dyDescent="0.25">
      <c r="A4" t="s">
        <v>62</v>
      </c>
      <c r="B4" t="s">
        <v>41</v>
      </c>
      <c r="C4" t="s">
        <v>32</v>
      </c>
      <c r="D4">
        <f>INDEX(Table217[#All],MATCH(B4,Table217[[#All],[Team/Elo]],0),MATCH(Table1821[[#Headers],[Week 4]],Table217[#Headers],0))</f>
        <v>1437</v>
      </c>
      <c r="E4">
        <f>INDEX(Table217[#All],MATCH(C4,Table217[[#All],[Team/Elo]],0),MATCH(Table1821[[#Headers],[Week 4]],Table217[#Headers],0))</f>
        <v>1550</v>
      </c>
      <c r="F4" t="str">
        <f t="shared" si="1"/>
        <v>Buccaneers</v>
      </c>
      <c r="G4" t="s">
        <v>32</v>
      </c>
      <c r="H4">
        <f t="shared" si="0"/>
        <v>1</v>
      </c>
    </row>
    <row r="5" spans="1:11" x14ac:dyDescent="0.25">
      <c r="A5" t="s">
        <v>63</v>
      </c>
      <c r="B5" t="s">
        <v>44</v>
      </c>
      <c r="C5" t="s">
        <v>49</v>
      </c>
      <c r="D5">
        <f>INDEX(Table217[#All],MATCH(B5,Table217[[#All],[Team/Elo]],0),MATCH(Table1821[[#Headers],[Week 4]],Table217[#Headers],0))</f>
        <v>1365</v>
      </c>
      <c r="E5">
        <f>INDEX(Table217[#All],MATCH(C5,Table217[[#All],[Team/Elo]],0),MATCH(Table1821[[#Headers],[Week 4]],Table217[#Headers],0))</f>
        <v>1351</v>
      </c>
      <c r="F5" t="str">
        <f t="shared" si="1"/>
        <v>Jaguars</v>
      </c>
      <c r="G5" t="s">
        <v>49</v>
      </c>
      <c r="H5">
        <f t="shared" si="0"/>
        <v>-1</v>
      </c>
      <c r="K5" s="12"/>
    </row>
    <row r="6" spans="1:11" x14ac:dyDescent="0.25">
      <c r="A6" t="s">
        <v>64</v>
      </c>
      <c r="B6" t="s">
        <v>31</v>
      </c>
      <c r="C6" t="s">
        <v>36</v>
      </c>
      <c r="D6">
        <f>INDEX(Table217[#All],MATCH(B6,Table217[[#All],[Team/Elo]],0),MATCH(Table1821[[#Headers],[Week 4]],Table217[#Headers],0))</f>
        <v>1482</v>
      </c>
      <c r="E6">
        <f>INDEX(Table217[#All],MATCH(C6,Table217[[#All],[Team/Elo]],0),MATCH(Table1821[[#Headers],[Week 4]],Table217[#Headers],0))</f>
        <v>1395</v>
      </c>
      <c r="F6" t="str">
        <f t="shared" si="1"/>
        <v>Vikings</v>
      </c>
      <c r="G6" t="s">
        <v>31</v>
      </c>
      <c r="H6">
        <f t="shared" si="0"/>
        <v>1</v>
      </c>
    </row>
    <row r="7" spans="1:11" x14ac:dyDescent="0.25">
      <c r="A7" t="s">
        <v>65</v>
      </c>
      <c r="B7" t="s">
        <v>23</v>
      </c>
      <c r="C7" t="s">
        <v>46</v>
      </c>
      <c r="D7">
        <f>INDEX(Table217[#All],MATCH(B7,Table217[[#All],[Team/Elo]],0),MATCH(Table1821[[#Headers],[Week 4]],Table217[#Headers],0))</f>
        <v>1605</v>
      </c>
      <c r="E7">
        <f>INDEX(Table217[#All],MATCH(C7,Table217[[#All],[Team/Elo]],0),MATCH(Table1821[[#Headers],[Week 4]],Table217[#Headers],0))</f>
        <v>1415</v>
      </c>
      <c r="F7" t="str">
        <f t="shared" si="1"/>
        <v>Seahawks</v>
      </c>
      <c r="G7" t="s">
        <v>23</v>
      </c>
      <c r="H7">
        <f t="shared" si="0"/>
        <v>1</v>
      </c>
      <c r="K7" s="13"/>
    </row>
    <row r="8" spans="1:11" x14ac:dyDescent="0.25">
      <c r="A8" t="s">
        <v>66</v>
      </c>
      <c r="B8" t="s">
        <v>40</v>
      </c>
      <c r="C8" t="s">
        <v>29</v>
      </c>
      <c r="D8">
        <f>INDEX(Table217[#All],MATCH(B8,Table217[[#All],[Team/Elo]],0),MATCH(Table1821[[#Headers],[Week 4]],Table217[#Headers],0))</f>
        <v>1513</v>
      </c>
      <c r="E8">
        <f>INDEX(Table217[#All],MATCH(C8,Table217[[#All],[Team/Elo]],0),MATCH(Table1821[[#Headers],[Week 4]],Table217[#Headers],0))</f>
        <v>1529</v>
      </c>
      <c r="F8" t="str">
        <f t="shared" si="1"/>
        <v>Cowboys</v>
      </c>
      <c r="G8" t="s">
        <v>40</v>
      </c>
      <c r="H8">
        <f t="shared" si="0"/>
        <v>-1</v>
      </c>
      <c r="K8" s="12"/>
    </row>
    <row r="9" spans="1:11" x14ac:dyDescent="0.25">
      <c r="A9" t="s">
        <v>67</v>
      </c>
      <c r="B9" t="s">
        <v>35</v>
      </c>
      <c r="C9" t="s">
        <v>45</v>
      </c>
      <c r="D9">
        <f>INDEX(Table217[#All],MATCH(B9,Table217[[#All],[Team/Elo]],0),MATCH(Table1821[[#Headers],[Week 4]],Table217[#Headers],0))</f>
        <v>1488</v>
      </c>
      <c r="E9">
        <f>INDEX(Table217[#All],MATCH(C9,Table217[[#All],[Team/Elo]],0),MATCH(Table1821[[#Headers],[Week 4]],Table217[#Headers],0))</f>
        <v>1398</v>
      </c>
      <c r="F9" t="str">
        <f t="shared" si="1"/>
        <v>Cardinals</v>
      </c>
      <c r="G9" t="s">
        <v>45</v>
      </c>
      <c r="H9">
        <f t="shared" si="0"/>
        <v>-1</v>
      </c>
    </row>
    <row r="10" spans="1:11" x14ac:dyDescent="0.25">
      <c r="A10" t="s">
        <v>68</v>
      </c>
      <c r="B10" t="s">
        <v>19</v>
      </c>
      <c r="C10" t="s">
        <v>47</v>
      </c>
      <c r="D10">
        <f>INDEX(Table217[#All],MATCH(B10,Table217[[#All],[Team/Elo]],0),MATCH(Table1821[[#Headers],[Week 4]],Table217[#Headers],0))</f>
        <v>1650</v>
      </c>
      <c r="E10">
        <f>INDEX(Table217[#All],MATCH(C10,Table217[[#All],[Team/Elo]],0),MATCH(Table1821[[#Headers],[Week 4]],Table217[#Headers],0))</f>
        <v>1342</v>
      </c>
      <c r="F10" t="str">
        <f t="shared" si="1"/>
        <v>Ravens</v>
      </c>
      <c r="G10" t="s">
        <v>19</v>
      </c>
      <c r="H10">
        <f t="shared" si="0"/>
        <v>1</v>
      </c>
      <c r="J10" t="s">
        <v>82</v>
      </c>
    </row>
    <row r="11" spans="1:11" x14ac:dyDescent="0.25">
      <c r="A11" t="s">
        <v>69</v>
      </c>
      <c r="B11" t="s">
        <v>48</v>
      </c>
      <c r="C11" t="s">
        <v>28</v>
      </c>
      <c r="D11">
        <f>INDEX(Table217[#All],MATCH(B11,Table217[[#All],[Team/Elo]],0),MATCH(Table1821[[#Headers],[Week 4]],Table217[#Headers],0))</f>
        <v>1316</v>
      </c>
      <c r="E11">
        <f>INDEX(Table217[#All],MATCH(C11,Table217[[#All],[Team/Elo]],0),MATCH(Table1821[[#Headers],[Week 4]],Table217[#Headers],0))</f>
        <v>1568</v>
      </c>
      <c r="F11" t="str">
        <f t="shared" si="1"/>
        <v>Rams</v>
      </c>
      <c r="G11" t="s">
        <v>28</v>
      </c>
      <c r="H11">
        <f t="shared" si="0"/>
        <v>1</v>
      </c>
      <c r="J11" t="s">
        <v>78</v>
      </c>
      <c r="K11" s="12">
        <v>100</v>
      </c>
    </row>
    <row r="12" spans="1:11" x14ac:dyDescent="0.25">
      <c r="A12" t="s">
        <v>70</v>
      </c>
      <c r="B12" t="s">
        <v>27</v>
      </c>
      <c r="C12" t="s">
        <v>37</v>
      </c>
      <c r="D12">
        <f>INDEX(Table217[#All],MATCH(B12,Table217[[#All],[Team/Elo]],0),MATCH(Table1821[[#Headers],[Week 4]],Table217[#Headers],0))</f>
        <v>1572</v>
      </c>
      <c r="E12">
        <f>INDEX(Table217[#All],MATCH(C12,Table217[[#All],[Team/Elo]],0),MATCH(Table1821[[#Headers],[Week 4]],Table217[#Headers],0))</f>
        <v>1547</v>
      </c>
      <c r="F12" t="str">
        <f t="shared" si="1"/>
        <v>Bills</v>
      </c>
      <c r="G12" t="s">
        <v>27</v>
      </c>
      <c r="H12">
        <f t="shared" si="0"/>
        <v>1</v>
      </c>
      <c r="J12" t="s">
        <v>83</v>
      </c>
      <c r="K12">
        <v>-200</v>
      </c>
    </row>
    <row r="13" spans="1:11" x14ac:dyDescent="0.25">
      <c r="A13" t="s">
        <v>71</v>
      </c>
      <c r="B13" t="s">
        <v>33</v>
      </c>
      <c r="C13" t="s">
        <v>30</v>
      </c>
      <c r="D13">
        <f>INDEX(Table217[#All],MATCH(B13,Table217[[#All],[Team/Elo]],0),MATCH(Table1821[[#Headers],[Week 4]],Table217[#Headers],0))</f>
        <v>1558</v>
      </c>
      <c r="E13">
        <f>INDEX(Table217[#All],MATCH(C13,Table217[[#All],[Team/Elo]],0),MATCH(Table1821[[#Headers],[Week 4]],Table217[#Headers],0))</f>
        <v>1557</v>
      </c>
      <c r="F13" t="str">
        <f t="shared" si="1"/>
        <v>Colts</v>
      </c>
      <c r="G13" t="s">
        <v>33</v>
      </c>
      <c r="H13">
        <f t="shared" si="0"/>
        <v>1</v>
      </c>
      <c r="J13" t="s">
        <v>81</v>
      </c>
      <c r="K13" s="13">
        <f>(K11/ABS(K12))+1</f>
        <v>1.5</v>
      </c>
    </row>
    <row r="14" spans="1:11" x14ac:dyDescent="0.25">
      <c r="A14" t="s">
        <v>72</v>
      </c>
      <c r="B14" t="s">
        <v>34</v>
      </c>
      <c r="C14" t="s">
        <v>24</v>
      </c>
      <c r="D14">
        <f>INDEX(Table217[#All],MATCH(B14,Table217[[#All],[Team/Elo]],0),MATCH(Table1821[[#Headers],[Week 4]],Table217[#Headers],0))</f>
        <v>1503</v>
      </c>
      <c r="E14">
        <f>INDEX(Table217[#All],MATCH(C14,Table217[[#All],[Team/Elo]],0),MATCH(Table1821[[#Headers],[Week 4]],Table217[#Headers],0))</f>
        <v>1617</v>
      </c>
      <c r="F14" t="str">
        <f t="shared" si="1"/>
        <v>49ers</v>
      </c>
      <c r="G14" t="s">
        <v>34</v>
      </c>
      <c r="H14">
        <f t="shared" si="0"/>
        <v>-1</v>
      </c>
      <c r="J14" t="s">
        <v>79</v>
      </c>
      <c r="K14" s="12">
        <f>K11*K13</f>
        <v>150</v>
      </c>
    </row>
    <row r="15" spans="1:11" x14ac:dyDescent="0.25">
      <c r="A15" t="s">
        <v>73</v>
      </c>
      <c r="B15" t="s">
        <v>25</v>
      </c>
      <c r="C15" t="s">
        <v>18</v>
      </c>
      <c r="D15">
        <f>INDEX(Table217[#All],MATCH(B15,Table217[[#All],[Team/Elo]],0),MATCH(Table1821[[#Headers],[Week 4]],Table217[#Headers],0))</f>
        <v>1521</v>
      </c>
      <c r="E15">
        <f>INDEX(Table217[#All],MATCH(C15,Table217[[#All],[Team/Elo]],0),MATCH(Table1821[[#Headers],[Week 4]],Table217[#Headers],0))</f>
        <v>1705</v>
      </c>
      <c r="F15" t="str">
        <f t="shared" si="1"/>
        <v>Chiefs</v>
      </c>
      <c r="G15" t="s">
        <v>18</v>
      </c>
      <c r="H15">
        <f t="shared" si="0"/>
        <v>1</v>
      </c>
    </row>
    <row r="16" spans="1:11" x14ac:dyDescent="0.25">
      <c r="A16" t="s">
        <v>84</v>
      </c>
      <c r="B16" t="s">
        <v>38</v>
      </c>
      <c r="C16" t="s">
        <v>21</v>
      </c>
      <c r="D16">
        <f>INDEX(Table217[#All],MATCH(B16,Table217[[#All],[Team/Elo]],0),MATCH(Table1821[[#Headers],[Week 4]],Table217[#Headers],0))</f>
        <v>1440</v>
      </c>
      <c r="E16">
        <f>INDEX(Table217[#All],MATCH(C16,Table217[[#All],[Team/Elo]],0),MATCH(Table1821[[#Headers],[Week 4]],Table217[#Headers],0))</f>
        <v>1617</v>
      </c>
      <c r="F16" t="str">
        <f t="shared" si="1"/>
        <v>Packers</v>
      </c>
      <c r="G16" t="s">
        <v>21</v>
      </c>
      <c r="H16">
        <f t="shared" si="0"/>
        <v>1</v>
      </c>
    </row>
    <row r="17" spans="1:5" x14ac:dyDescent="0.25">
      <c r="A17" s="15" t="s">
        <v>85</v>
      </c>
    </row>
    <row r="19" spans="1:5" x14ac:dyDescent="0.25">
      <c r="A19" s="11" t="s">
        <v>75</v>
      </c>
      <c r="D19" s="11"/>
      <c r="E19" s="11"/>
    </row>
    <row r="20" spans="1:5" x14ac:dyDescent="0.25">
      <c r="A20" t="s">
        <v>57</v>
      </c>
      <c r="B20">
        <f>COUNTIF($H$2:$H$17,1)</f>
        <v>11</v>
      </c>
      <c r="D20" s="11"/>
      <c r="E20" s="11"/>
    </row>
    <row r="21" spans="1:5" ht="15.75" thickBot="1" x14ac:dyDescent="0.3">
      <c r="A21" s="10" t="s">
        <v>58</v>
      </c>
      <c r="B21" s="10">
        <f>COUNTIF($H$2:$H$17,-1)</f>
        <v>4</v>
      </c>
      <c r="D21" s="11"/>
      <c r="E21" s="11"/>
    </row>
    <row r="22" spans="1:5" x14ac:dyDescent="0.25">
      <c r="A22" t="s">
        <v>59</v>
      </c>
      <c r="B22">
        <f>B20-B21</f>
        <v>7</v>
      </c>
    </row>
    <row r="24" spans="1:5" x14ac:dyDescent="0.25">
      <c r="A24" t="s">
        <v>94</v>
      </c>
      <c r="B24">
        <f>B20+B21</f>
        <v>15</v>
      </c>
    </row>
    <row r="25" spans="1:5" x14ac:dyDescent="0.25">
      <c r="A25" t="s">
        <v>93</v>
      </c>
      <c r="B25" s="12">
        <f>B20*K14</f>
        <v>1650</v>
      </c>
      <c r="E25" s="12"/>
    </row>
    <row r="26" spans="1:5" x14ac:dyDescent="0.25">
      <c r="A26" t="s">
        <v>86</v>
      </c>
      <c r="B26" s="12">
        <f>B25-(B24*K11)</f>
        <v>150</v>
      </c>
      <c r="E26" s="1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CA5F-2196-4677-BC69-8FA5C3BDF01F}">
  <dimension ref="A1:K26"/>
  <sheetViews>
    <sheetView workbookViewId="0">
      <selection activeCell="G15" sqref="G15"/>
    </sheetView>
  </sheetViews>
  <sheetFormatPr defaultRowHeight="15" x14ac:dyDescent="0.25"/>
  <cols>
    <col min="1" max="1" width="15.42578125" bestFit="1" customWidth="1"/>
    <col min="2" max="2" width="11" bestFit="1" customWidth="1"/>
    <col min="3" max="3" width="11.5703125" bestFit="1" customWidth="1"/>
    <col min="4" max="5" width="10.42578125" bestFit="1" customWidth="1"/>
    <col min="6" max="6" width="11" bestFit="1" customWidth="1"/>
    <col min="7" max="7" width="9.7109375" bestFit="1" customWidth="1"/>
    <col min="8" max="8" width="9.28515625" bestFit="1" customWidth="1"/>
    <col min="10" max="10" width="34.28515625" bestFit="1" customWidth="1"/>
    <col min="11" max="11" width="8.28515625" bestFit="1" customWidth="1"/>
  </cols>
  <sheetData>
    <row r="1" spans="1:11" x14ac:dyDescent="0.25">
      <c r="A1" t="s">
        <v>1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56</v>
      </c>
    </row>
    <row r="2" spans="1:11" x14ac:dyDescent="0.25">
      <c r="A2" t="s">
        <v>60</v>
      </c>
      <c r="B2" t="s">
        <v>32</v>
      </c>
      <c r="C2" t="s">
        <v>30</v>
      </c>
      <c r="D2">
        <f>INDEX(Table217[#All],MATCH(B2,Table217[[#All],[Team/Elo]],0),MATCH(Table124[[#Headers],[Week 5]],Table217[#Headers],0))</f>
        <v>1563</v>
      </c>
      <c r="E2">
        <f>INDEX(Table217[#All],MATCH(C2,Table217[[#All],[Team/Elo]],0),MATCH(Table124[[#Headers],[Week 5]],Table217[#Headers],0))</f>
        <v>1534</v>
      </c>
      <c r="F2" t="str">
        <f>IF(D2&gt;E2,B2,C2)</f>
        <v>Buccaneers</v>
      </c>
      <c r="G2" t="s">
        <v>30</v>
      </c>
      <c r="H2">
        <f t="shared" ref="H2:H15" si="0">IF(F2=G2,1,-1)</f>
        <v>-1</v>
      </c>
    </row>
    <row r="3" spans="1:11" x14ac:dyDescent="0.25">
      <c r="A3" t="s">
        <v>61</v>
      </c>
      <c r="B3" t="s">
        <v>44</v>
      </c>
      <c r="C3" t="s">
        <v>36</v>
      </c>
      <c r="D3">
        <f>INDEX(Table217[#All],MATCH(B3,Table217[[#All],[Team/Elo]],0),MATCH(Table124[[#Headers],[Week 5]],Table217[#Headers],0))</f>
        <v>1343</v>
      </c>
      <c r="E3">
        <f>INDEX(Table217[#All],MATCH(C3,Table217[[#All],[Team/Elo]],0),MATCH(Table124[[#Headers],[Week 5]],Table217[#Headers],0))</f>
        <v>1369</v>
      </c>
      <c r="F3" t="str">
        <f t="shared" ref="F3:F15" si="1">IF(D3&gt;E3,B3,C3)</f>
        <v>Texans</v>
      </c>
      <c r="G3" t="s">
        <v>36</v>
      </c>
      <c r="H3">
        <f t="shared" si="0"/>
        <v>1</v>
      </c>
      <c r="K3" s="12"/>
    </row>
    <row r="4" spans="1:11" x14ac:dyDescent="0.25">
      <c r="A4" t="s">
        <v>62</v>
      </c>
      <c r="B4" t="s">
        <v>49</v>
      </c>
      <c r="C4" t="s">
        <v>19</v>
      </c>
      <c r="D4">
        <f>INDEX(Table217[#All],MATCH(B4,Table217[[#All],[Team/Elo]],0),MATCH(Table124[[#Headers],[Week 5]],Table217[#Headers],0))</f>
        <v>1374</v>
      </c>
      <c r="E4">
        <f>INDEX(Table217[#All],MATCH(C4,Table217[[#All],[Team/Elo]],0),MATCH(Table124[[#Headers],[Week 5]],Table217[#Headers],0))</f>
        <v>1656</v>
      </c>
      <c r="F4" t="str">
        <f t="shared" si="1"/>
        <v>Ravens</v>
      </c>
      <c r="G4" t="s">
        <v>19</v>
      </c>
      <c r="H4">
        <f t="shared" si="0"/>
        <v>1</v>
      </c>
    </row>
    <row r="5" spans="1:11" x14ac:dyDescent="0.25">
      <c r="A5" t="s">
        <v>63</v>
      </c>
      <c r="B5" t="s">
        <v>45</v>
      </c>
      <c r="C5" t="s">
        <v>38</v>
      </c>
      <c r="D5">
        <f>INDEX(Table217[#All],MATCH(B5,Table217[[#All],[Team/Elo]],0),MATCH(Table124[[#Headers],[Week 5]],Table217[#Headers],0))</f>
        <v>1429</v>
      </c>
      <c r="E5">
        <f>INDEX(Table217[#All],MATCH(C5,Table217[[#All],[Team/Elo]],0),MATCH(Table124[[#Headers],[Week 5]],Table217[#Headers],0))</f>
        <v>1403</v>
      </c>
      <c r="F5" t="str">
        <f t="shared" si="1"/>
        <v>Panthers</v>
      </c>
      <c r="G5" t="s">
        <v>45</v>
      </c>
      <c r="H5">
        <f t="shared" si="0"/>
        <v>1</v>
      </c>
      <c r="K5" s="12"/>
    </row>
    <row r="6" spans="1:11" x14ac:dyDescent="0.25">
      <c r="A6" t="s">
        <v>64</v>
      </c>
      <c r="B6" t="s">
        <v>37</v>
      </c>
      <c r="C6" t="s">
        <v>18</v>
      </c>
      <c r="D6">
        <f>INDEX(Table217[#All],MATCH(B6,Table217[[#All],[Team/Elo]],0),MATCH(Table124[[#Headers],[Week 5]],Table217[#Headers],0))</f>
        <v>1524</v>
      </c>
      <c r="E6">
        <f>INDEX(Table217[#All],MATCH(C6,Table217[[#All],[Team/Elo]],0),MATCH(Table124[[#Headers],[Week 5]],Table217[#Headers],0))</f>
        <v>1718</v>
      </c>
      <c r="F6" t="str">
        <f t="shared" si="1"/>
        <v>Chiefs</v>
      </c>
      <c r="G6" t="s">
        <v>37</v>
      </c>
      <c r="H6">
        <f t="shared" si="0"/>
        <v>-1</v>
      </c>
    </row>
    <row r="7" spans="1:11" x14ac:dyDescent="0.25">
      <c r="A7" t="s">
        <v>65</v>
      </c>
      <c r="B7" t="s">
        <v>35</v>
      </c>
      <c r="C7" t="s">
        <v>42</v>
      </c>
      <c r="D7">
        <f>INDEX(Table217[#All],MATCH(B7,Table217[[#All],[Team/Elo]],0),MATCH(Table124[[#Headers],[Week 5]],Table217[#Headers],0))</f>
        <v>1469</v>
      </c>
      <c r="E7">
        <f>INDEX(Table217[#All],MATCH(C7,Table217[[#All],[Team/Elo]],0),MATCH(Table124[[#Headers],[Week 5]],Table217[#Headers],0))</f>
        <v>1315</v>
      </c>
      <c r="F7" t="str">
        <f t="shared" si="1"/>
        <v>Cardinals</v>
      </c>
      <c r="G7" t="s">
        <v>35</v>
      </c>
      <c r="H7">
        <f t="shared" si="0"/>
        <v>1</v>
      </c>
      <c r="K7" s="13"/>
    </row>
    <row r="8" spans="1:11" x14ac:dyDescent="0.25">
      <c r="A8" t="s">
        <v>66</v>
      </c>
      <c r="B8" t="s">
        <v>34</v>
      </c>
      <c r="C8" t="s">
        <v>22</v>
      </c>
      <c r="D8">
        <f>INDEX(Table217[#All],MATCH(B8,Table217[[#All],[Team/Elo]],0),MATCH(Table124[[#Headers],[Week 5]],Table217[#Headers],0))</f>
        <v>1524</v>
      </c>
      <c r="E8">
        <f>INDEX(Table217[#All],MATCH(C8,Table217[[#All],[Team/Elo]],0),MATCH(Table124[[#Headers],[Week 5]],Table217[#Headers],0))</f>
        <v>1607</v>
      </c>
      <c r="F8" t="str">
        <f t="shared" si="1"/>
        <v>Steelers</v>
      </c>
      <c r="G8" t="s">
        <v>22</v>
      </c>
      <c r="H8">
        <f t="shared" si="0"/>
        <v>1</v>
      </c>
      <c r="K8" s="12"/>
    </row>
    <row r="9" spans="1:11" x14ac:dyDescent="0.25">
      <c r="A9" t="s">
        <v>67</v>
      </c>
      <c r="B9" t="s">
        <v>28</v>
      </c>
      <c r="C9" t="s">
        <v>47</v>
      </c>
      <c r="D9">
        <f>INDEX(Table217[#All],MATCH(B9,Table217[[#All],[Team/Elo]],0),MATCH(Table124[[#Headers],[Week 5]],Table217[#Headers],0))</f>
        <v>1575</v>
      </c>
      <c r="E9">
        <f>INDEX(Table217[#All],MATCH(C9,Table217[[#All],[Team/Elo]],0),MATCH(Table124[[#Headers],[Week 5]],Table217[#Headers],0))</f>
        <v>1301</v>
      </c>
      <c r="F9" t="str">
        <f t="shared" si="1"/>
        <v>Rams</v>
      </c>
      <c r="G9" t="s">
        <v>28</v>
      </c>
      <c r="H9">
        <f t="shared" si="0"/>
        <v>1</v>
      </c>
    </row>
    <row r="10" spans="1:11" x14ac:dyDescent="0.25">
      <c r="A10" t="s">
        <v>68</v>
      </c>
      <c r="B10" t="s">
        <v>46</v>
      </c>
      <c r="C10" t="s">
        <v>24</v>
      </c>
      <c r="D10">
        <f>INDEX(Table217[#All],MATCH(B10,Table217[[#All],[Team/Elo]],0),MATCH(Table124[[#Headers],[Week 5]],Table217[#Headers],0))</f>
        <v>1384</v>
      </c>
      <c r="E10">
        <f>INDEX(Table217[#All],MATCH(C10,Table217[[#All],[Team/Elo]],0),MATCH(Table124[[#Headers],[Week 5]],Table217[#Headers],0))</f>
        <v>1604</v>
      </c>
      <c r="F10" t="str">
        <f t="shared" si="1"/>
        <v>49ers</v>
      </c>
      <c r="G10" t="s">
        <v>46</v>
      </c>
      <c r="H10">
        <f t="shared" si="0"/>
        <v>-1</v>
      </c>
      <c r="J10" t="s">
        <v>82</v>
      </c>
    </row>
    <row r="11" spans="1:11" x14ac:dyDescent="0.25">
      <c r="A11" t="s">
        <v>69</v>
      </c>
      <c r="B11" t="s">
        <v>48</v>
      </c>
      <c r="C11" t="s">
        <v>29</v>
      </c>
      <c r="D11">
        <f>INDEX(Table217[#All],MATCH(B11,Table217[[#All],[Team/Elo]],0),MATCH(Table124[[#Headers],[Week 5]],Table217[#Headers],0))</f>
        <v>1284</v>
      </c>
      <c r="E11">
        <f>INDEX(Table217[#All],MATCH(C11,Table217[[#All],[Team/Elo]],0),MATCH(Table124[[#Headers],[Week 5]],Table217[#Headers],0))</f>
        <v>1505</v>
      </c>
      <c r="F11" t="str">
        <f t="shared" si="1"/>
        <v>Cowboys</v>
      </c>
      <c r="G11" t="s">
        <v>29</v>
      </c>
      <c r="H11">
        <f t="shared" si="0"/>
        <v>1</v>
      </c>
      <c r="J11" t="s">
        <v>78</v>
      </c>
      <c r="K11" s="12">
        <v>100</v>
      </c>
    </row>
    <row r="12" spans="1:11" x14ac:dyDescent="0.25">
      <c r="A12" t="s">
        <v>70</v>
      </c>
      <c r="B12" t="s">
        <v>33</v>
      </c>
      <c r="C12" t="s">
        <v>40</v>
      </c>
      <c r="D12">
        <f>INDEX(Table217[#All],MATCH(B12,Table217[[#All],[Team/Elo]],0),MATCH(Table124[[#Headers],[Week 5]],Table217[#Headers],0))</f>
        <v>1579</v>
      </c>
      <c r="E12">
        <f>INDEX(Table217[#All],MATCH(C12,Table217[[#All],[Team/Elo]],0),MATCH(Table124[[#Headers],[Week 5]],Table217[#Headers],0))</f>
        <v>1539</v>
      </c>
      <c r="F12" t="str">
        <f t="shared" si="1"/>
        <v>Colts</v>
      </c>
      <c r="G12" t="s">
        <v>40</v>
      </c>
      <c r="H12">
        <f t="shared" si="0"/>
        <v>-1</v>
      </c>
      <c r="J12" t="s">
        <v>83</v>
      </c>
      <c r="K12">
        <v>-200</v>
      </c>
    </row>
    <row r="13" spans="1:11" x14ac:dyDescent="0.25">
      <c r="A13" t="s">
        <v>71</v>
      </c>
      <c r="B13" t="s">
        <v>31</v>
      </c>
      <c r="C13" t="s">
        <v>23</v>
      </c>
      <c r="D13">
        <f>INDEX(Table217[#All],MATCH(B13,Table217[[#All],[Team/Elo]],0),MATCH(Table124[[#Headers],[Week 5]],Table217[#Headers],0))</f>
        <v>1497</v>
      </c>
      <c r="E13">
        <f>INDEX(Table217[#All],MATCH(C13,Table217[[#All],[Team/Elo]],0),MATCH(Table124[[#Headers],[Week 5]],Table217[#Headers],0))</f>
        <v>1615</v>
      </c>
      <c r="F13" t="str">
        <f t="shared" si="1"/>
        <v>Seahawks</v>
      </c>
      <c r="G13" t="s">
        <v>23</v>
      </c>
      <c r="H13">
        <f t="shared" si="0"/>
        <v>1</v>
      </c>
      <c r="J13" t="s">
        <v>81</v>
      </c>
      <c r="K13" s="13">
        <f>(K11/ABS(K12))+1</f>
        <v>1.5</v>
      </c>
    </row>
    <row r="14" spans="1:11" x14ac:dyDescent="0.25">
      <c r="A14" t="s">
        <v>72</v>
      </c>
      <c r="B14" t="s">
        <v>41</v>
      </c>
      <c r="C14" t="s">
        <v>20</v>
      </c>
      <c r="D14">
        <f>INDEX(Table217[#All],MATCH(B14,Table217[[#All],[Team/Elo]],0),MATCH(Table124[[#Headers],[Week 5]],Table217[#Headers],0))</f>
        <v>1411</v>
      </c>
      <c r="E14">
        <f>INDEX(Table217[#All],MATCH(C14,Table217[[#All],[Team/Elo]],0),MATCH(Table124[[#Headers],[Week 5]],Table217[#Headers],0))</f>
        <v>1605</v>
      </c>
      <c r="F14" t="str">
        <f t="shared" si="1"/>
        <v>Saints</v>
      </c>
      <c r="G14" t="s">
        <v>20</v>
      </c>
      <c r="H14">
        <f t="shared" si="0"/>
        <v>1</v>
      </c>
      <c r="J14" t="s">
        <v>79</v>
      </c>
      <c r="K14" s="12">
        <f>K11*K13</f>
        <v>150</v>
      </c>
    </row>
    <row r="15" spans="1:11" x14ac:dyDescent="0.25">
      <c r="A15" t="s">
        <v>73</v>
      </c>
      <c r="B15" t="s">
        <v>27</v>
      </c>
      <c r="C15" t="s">
        <v>26</v>
      </c>
      <c r="D15">
        <f>INDEX(Table217[#All],MATCH(B15,Table217[[#All],[Team/Elo]],0),MATCH(Table124[[#Headers],[Week 5]],Table217[#Headers],0))</f>
        <v>1591</v>
      </c>
      <c r="E15">
        <f>INDEX(Table217[#All],MATCH(C15,Table217[[#All],[Team/Elo]],0),MATCH(Table124[[#Headers],[Week 5]],Table217[#Headers],0))</f>
        <v>1569</v>
      </c>
      <c r="F15" t="str">
        <f t="shared" si="1"/>
        <v>Bills</v>
      </c>
      <c r="G15" t="s">
        <v>26</v>
      </c>
      <c r="H15">
        <f t="shared" si="0"/>
        <v>-1</v>
      </c>
    </row>
    <row r="16" spans="1:11" x14ac:dyDescent="0.25">
      <c r="A16" t="s">
        <v>84</v>
      </c>
    </row>
    <row r="17" spans="1:8" x14ac:dyDescent="0.25">
      <c r="A17" s="15" t="s">
        <v>85</v>
      </c>
      <c r="D17" s="11"/>
    </row>
    <row r="19" spans="1:8" x14ac:dyDescent="0.25">
      <c r="A19" s="11" t="s">
        <v>75</v>
      </c>
      <c r="D19" s="11"/>
    </row>
    <row r="20" spans="1:8" x14ac:dyDescent="0.25">
      <c r="A20" t="s">
        <v>57</v>
      </c>
      <c r="B20">
        <f>COUNTIF($H$2:$H$17,1)</f>
        <v>9</v>
      </c>
    </row>
    <row r="21" spans="1:8" ht="15.75" thickBot="1" x14ac:dyDescent="0.3">
      <c r="A21" s="10" t="s">
        <v>58</v>
      </c>
      <c r="B21" s="10">
        <f>COUNTIF($H$2:$H$17,-1)</f>
        <v>5</v>
      </c>
      <c r="D21" s="11"/>
    </row>
    <row r="22" spans="1:8" x14ac:dyDescent="0.25">
      <c r="A22" t="s">
        <v>59</v>
      </c>
      <c r="B22">
        <f>B20-B21</f>
        <v>4</v>
      </c>
    </row>
    <row r="24" spans="1:8" x14ac:dyDescent="0.25">
      <c r="A24" t="s">
        <v>94</v>
      </c>
      <c r="B24">
        <f>B20+B21</f>
        <v>14</v>
      </c>
      <c r="H24" s="11"/>
    </row>
    <row r="25" spans="1:8" x14ac:dyDescent="0.25">
      <c r="A25" t="s">
        <v>93</v>
      </c>
      <c r="B25" s="12">
        <f>B20*K14</f>
        <v>1350</v>
      </c>
      <c r="E25" s="12"/>
      <c r="H25" s="11"/>
    </row>
    <row r="26" spans="1:8" x14ac:dyDescent="0.25">
      <c r="A26" t="s">
        <v>86</v>
      </c>
      <c r="B26" s="12">
        <f>B25-(B24*K11)</f>
        <v>-50</v>
      </c>
      <c r="E26" s="12"/>
      <c r="H26" s="1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A4C4-4FDC-4183-A1A5-2CEB8292E85D}">
  <dimension ref="A1:K26"/>
  <sheetViews>
    <sheetView workbookViewId="0">
      <selection activeCell="E14" sqref="E14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11" bestFit="1" customWidth="1"/>
    <col min="4" max="5" width="10.42578125" bestFit="1" customWidth="1"/>
    <col min="6" max="6" width="9.5703125" bestFit="1" customWidth="1"/>
    <col min="7" max="7" width="6.5703125" bestFit="1" customWidth="1"/>
    <col min="8" max="8" width="9.28515625" bestFit="1" customWidth="1"/>
    <col min="10" max="10" width="34.28515625" bestFit="1" customWidth="1"/>
    <col min="11" max="11" width="8.28515625" bestFit="1" customWidth="1"/>
  </cols>
  <sheetData>
    <row r="1" spans="1:11" x14ac:dyDescent="0.25">
      <c r="A1" t="s">
        <v>6</v>
      </c>
      <c r="B1" t="s">
        <v>51</v>
      </c>
      <c r="C1" t="s">
        <v>52</v>
      </c>
      <c r="D1" t="s">
        <v>53</v>
      </c>
      <c r="E1" t="s">
        <v>54</v>
      </c>
      <c r="F1" t="s">
        <v>50</v>
      </c>
      <c r="G1" t="s">
        <v>55</v>
      </c>
      <c r="H1" t="s">
        <v>56</v>
      </c>
    </row>
    <row r="2" spans="1:11" x14ac:dyDescent="0.25">
      <c r="A2" t="s">
        <v>60</v>
      </c>
      <c r="B2" t="s">
        <v>36</v>
      </c>
      <c r="C2" t="s">
        <v>26</v>
      </c>
      <c r="D2">
        <f>INDEX(Table217[#All],MATCH(B2,Table217[[#All],[Team/Elo]],0),MATCH(Table11625[[#Headers],[Week 6]],Table217[#Headers],0))</f>
        <v>1394</v>
      </c>
      <c r="E2">
        <f>INDEX(Table217[#All],MATCH(C2,Table217[[#All],[Team/Elo]],0),MATCH(Table11625[[#Headers],[Week 6]],Table217[#Headers],0))</f>
        <v>1604</v>
      </c>
      <c r="F2" t="str">
        <f>IF(D2&gt;E2,B2,C2)</f>
        <v>Titans</v>
      </c>
      <c r="H2">
        <f t="shared" ref="H2:H15" si="0">IF(F2=G2,1,-1)</f>
        <v>-1</v>
      </c>
    </row>
    <row r="3" spans="1:11" x14ac:dyDescent="0.25">
      <c r="A3" t="s">
        <v>61</v>
      </c>
      <c r="B3" t="s">
        <v>19</v>
      </c>
      <c r="C3" t="s">
        <v>34</v>
      </c>
      <c r="D3">
        <f>INDEX(Table217[#All],MATCH(B3,Table217[[#All],[Team/Elo]],0),MATCH(Table11625[[#Headers],[Week 6]],Table217[#Headers],0))</f>
        <v>1665</v>
      </c>
      <c r="E3">
        <f>INDEX(Table217[#All],MATCH(C3,Table217[[#All],[Team/Elo]],0),MATCH(Table11625[[#Headers],[Week 6]],Table217[#Headers],0))</f>
        <v>1496</v>
      </c>
      <c r="F3" t="str">
        <f t="shared" ref="F3:F15" si="1">IF(D3&gt;E3,B3,C3)</f>
        <v>Ravens</v>
      </c>
      <c r="H3">
        <f t="shared" si="0"/>
        <v>-1</v>
      </c>
      <c r="K3" s="12"/>
    </row>
    <row r="4" spans="1:11" x14ac:dyDescent="0.25">
      <c r="A4" t="s">
        <v>62</v>
      </c>
      <c r="B4" t="s">
        <v>38</v>
      </c>
      <c r="C4" t="s">
        <v>31</v>
      </c>
      <c r="D4">
        <f>INDEX(Table217[#All],MATCH(B4,Table217[[#All],[Team/Elo]],0),MATCH(Table11625[[#Headers],[Week 6]],Table217[#Headers],0))</f>
        <v>1380</v>
      </c>
      <c r="E4">
        <f>INDEX(Table217[#All],MATCH(C4,Table217[[#All],[Team/Elo]],0),MATCH(Table11625[[#Headers],[Week 6]],Table217[#Headers],0))</f>
        <v>1488</v>
      </c>
      <c r="F4" t="str">
        <f t="shared" si="1"/>
        <v>Vikings</v>
      </c>
      <c r="H4">
        <f t="shared" si="0"/>
        <v>-1</v>
      </c>
    </row>
    <row r="5" spans="1:11" x14ac:dyDescent="0.25">
      <c r="A5" t="s">
        <v>63</v>
      </c>
      <c r="B5" t="s">
        <v>40</v>
      </c>
      <c r="C5" t="s">
        <v>22</v>
      </c>
      <c r="D5">
        <f>INDEX(Table217[#All],MATCH(B5,Table217[[#All],[Team/Elo]],0),MATCH(Table11625[[#Headers],[Week 6]],Table217[#Headers],0))</f>
        <v>1565</v>
      </c>
      <c r="E5">
        <f>INDEX(Table217[#All],MATCH(C5,Table217[[#All],[Team/Elo]],0),MATCH(Table11625[[#Headers],[Week 6]],Table217[#Headers],0))</f>
        <v>1623</v>
      </c>
      <c r="F5" t="str">
        <f t="shared" si="1"/>
        <v>Steelers</v>
      </c>
      <c r="H5">
        <f t="shared" si="0"/>
        <v>-1</v>
      </c>
      <c r="K5" s="12"/>
    </row>
    <row r="6" spans="1:11" x14ac:dyDescent="0.25">
      <c r="A6" t="s">
        <v>64</v>
      </c>
      <c r="B6" t="s">
        <v>49</v>
      </c>
      <c r="C6" t="s">
        <v>33</v>
      </c>
      <c r="D6">
        <f>INDEX(Table217[#All],MATCH(B6,Table217[[#All],[Team/Elo]],0),MATCH(Table11625[[#Headers],[Week 6]],Table217[#Headers],0))</f>
        <v>1326</v>
      </c>
      <c r="E6">
        <f>INDEX(Table217[#All],MATCH(C6,Table217[[#All],[Team/Elo]],0),MATCH(Table11625[[#Headers],[Week 6]],Table217[#Headers],0))</f>
        <v>1558</v>
      </c>
      <c r="F6" t="str">
        <f t="shared" si="1"/>
        <v>Colts</v>
      </c>
      <c r="H6">
        <f t="shared" si="0"/>
        <v>-1</v>
      </c>
    </row>
    <row r="7" spans="1:11" x14ac:dyDescent="0.25">
      <c r="A7" t="s">
        <v>65</v>
      </c>
      <c r="B7" t="s">
        <v>43</v>
      </c>
      <c r="C7" t="s">
        <v>44</v>
      </c>
      <c r="D7">
        <f>INDEX(Table217[#All],MATCH(B7,Table217[[#All],[Team/Elo]],0),MATCH(Table11625[[#Headers],[Week 6]],Table217[#Headers],0))</f>
        <v>1384</v>
      </c>
      <c r="E7">
        <f>INDEX(Table217[#All],MATCH(C7,Table217[[#All],[Team/Elo]],0),MATCH(Table11625[[#Headers],[Week 6]],Table217[#Headers],0))</f>
        <v>1312</v>
      </c>
      <c r="F7" t="str">
        <f t="shared" si="1"/>
        <v>Lions</v>
      </c>
      <c r="H7">
        <f t="shared" si="0"/>
        <v>-1</v>
      </c>
      <c r="K7" s="13"/>
    </row>
    <row r="8" spans="1:11" x14ac:dyDescent="0.25">
      <c r="A8" t="s">
        <v>66</v>
      </c>
      <c r="B8" t="s">
        <v>30</v>
      </c>
      <c r="C8" t="s">
        <v>45</v>
      </c>
      <c r="D8">
        <f>INDEX(Table217[#All],MATCH(B8,Table217[[#All],[Team/Elo]],0),MATCH(Table11625[[#Headers],[Week 6]],Table217[#Headers],0))</f>
        <v>1556</v>
      </c>
      <c r="E8">
        <f>INDEX(Table217[#All],MATCH(C8,Table217[[#All],[Team/Elo]],0),MATCH(Table11625[[#Headers],[Week 6]],Table217[#Headers],0))</f>
        <v>1448</v>
      </c>
      <c r="F8" t="str">
        <f t="shared" si="1"/>
        <v>Bears</v>
      </c>
      <c r="H8">
        <f t="shared" si="0"/>
        <v>-1</v>
      </c>
      <c r="K8" s="12"/>
    </row>
    <row r="9" spans="1:11" x14ac:dyDescent="0.25">
      <c r="A9" t="s">
        <v>67</v>
      </c>
      <c r="B9" t="s">
        <v>47</v>
      </c>
      <c r="C9" t="s">
        <v>48</v>
      </c>
      <c r="D9">
        <f>INDEX(Table217[#All],MATCH(B9,Table217[[#All],[Team/Elo]],0),MATCH(Table11625[[#Headers],[Week 6]],Table217[#Headers],0))</f>
        <v>1256</v>
      </c>
      <c r="E9">
        <f>INDEX(Table217[#All],MATCH(C9,Table217[[#All],[Team/Elo]],0),MATCH(Table11625[[#Headers],[Week 6]],Table217[#Headers],0))</f>
        <v>1264</v>
      </c>
      <c r="F9" t="str">
        <f t="shared" si="1"/>
        <v>Giants</v>
      </c>
      <c r="H9">
        <f t="shared" si="0"/>
        <v>-1</v>
      </c>
    </row>
    <row r="10" spans="1:11" x14ac:dyDescent="0.25">
      <c r="A10" t="s">
        <v>68</v>
      </c>
      <c r="B10" t="s">
        <v>39</v>
      </c>
      <c r="C10" t="s">
        <v>25</v>
      </c>
      <c r="D10">
        <f>INDEX(Table217[#All],MATCH(B10,Table217[[#All],[Team/Elo]],0),MATCH(Table11625[[#Headers],[Week 6]],Table217[#Headers],0))</f>
        <v>1431</v>
      </c>
      <c r="E10">
        <f>INDEX(Table217[#All],MATCH(C10,Table217[[#All],[Team/Elo]],0),MATCH(Table11625[[#Headers],[Week 6]],Table217[#Headers],0))</f>
        <v>1482</v>
      </c>
      <c r="F10" t="str">
        <f t="shared" si="1"/>
        <v>Patriots</v>
      </c>
      <c r="H10">
        <f t="shared" si="0"/>
        <v>-1</v>
      </c>
      <c r="J10" t="s">
        <v>82</v>
      </c>
    </row>
    <row r="11" spans="1:11" x14ac:dyDescent="0.25">
      <c r="A11" t="s">
        <v>69</v>
      </c>
      <c r="B11" t="s">
        <v>42</v>
      </c>
      <c r="C11" t="s">
        <v>46</v>
      </c>
      <c r="D11">
        <f>INDEX(Table217[#All],MATCH(B11,Table217[[#All],[Team/Elo]],0),MATCH(Table11625[[#Headers],[Week 6]],Table217[#Headers],0))</f>
        <v>1274</v>
      </c>
      <c r="E11">
        <f>INDEX(Table217[#All],MATCH(C11,Table217[[#All],[Team/Elo]],0),MATCH(Table11625[[#Headers],[Week 6]],Table217[#Headers],0))</f>
        <v>1441</v>
      </c>
      <c r="F11" t="str">
        <f t="shared" si="1"/>
        <v>Dolphins</v>
      </c>
      <c r="H11">
        <f t="shared" si="0"/>
        <v>-1</v>
      </c>
      <c r="J11" t="s">
        <v>78</v>
      </c>
      <c r="K11" s="12">
        <v>100</v>
      </c>
    </row>
    <row r="12" spans="1:11" x14ac:dyDescent="0.25">
      <c r="A12" t="s">
        <v>70</v>
      </c>
      <c r="B12" t="s">
        <v>21</v>
      </c>
      <c r="C12" t="s">
        <v>32</v>
      </c>
      <c r="D12">
        <f>INDEX(Table217[#All],MATCH(B12,Table217[[#All],[Team/Elo]],0),MATCH(Table11625[[#Headers],[Week 6]],Table217[#Headers],0))</f>
        <v>1630</v>
      </c>
      <c r="E12">
        <f>INDEX(Table217[#All],MATCH(C12,Table217[[#All],[Team/Elo]],0),MATCH(Table11625[[#Headers],[Week 6]],Table217[#Headers],0))</f>
        <v>1541</v>
      </c>
      <c r="F12" t="str">
        <f t="shared" si="1"/>
        <v>Packers</v>
      </c>
      <c r="H12">
        <f t="shared" si="0"/>
        <v>-1</v>
      </c>
      <c r="J12" t="s">
        <v>83</v>
      </c>
      <c r="K12">
        <v>-200</v>
      </c>
    </row>
    <row r="13" spans="1:11" x14ac:dyDescent="0.25">
      <c r="A13" t="s">
        <v>71</v>
      </c>
      <c r="B13" t="s">
        <v>28</v>
      </c>
      <c r="C13" t="s">
        <v>24</v>
      </c>
      <c r="D13">
        <f>INDEX(Table217[#All],MATCH(B13,Table217[[#All],[Team/Elo]],0),MATCH(Table11625[[#Headers],[Week 6]],Table217[#Headers],0))</f>
        <v>1584</v>
      </c>
      <c r="E13">
        <f>INDEX(Table217[#All],MATCH(C13,Table217[[#All],[Team/Elo]],0),MATCH(Table11625[[#Headers],[Week 6]],Table217[#Headers],0))</f>
        <v>1587</v>
      </c>
      <c r="F13" t="str">
        <f t="shared" si="1"/>
        <v>49ers</v>
      </c>
      <c r="H13">
        <f t="shared" si="0"/>
        <v>-1</v>
      </c>
      <c r="J13" t="s">
        <v>81</v>
      </c>
      <c r="K13" s="13">
        <f>(K11/ABS(K12))+1</f>
        <v>1.5</v>
      </c>
    </row>
    <row r="14" spans="1:11" x14ac:dyDescent="0.25">
      <c r="A14" t="s">
        <v>72</v>
      </c>
      <c r="B14" t="s">
        <v>18</v>
      </c>
      <c r="C14" t="s">
        <v>27</v>
      </c>
      <c r="D14">
        <f>INDEX(Table217[#All],MATCH(B14,Table217[[#All],[Team/Elo]],0),MATCH(Table11625[[#Headers],[Week 6]],Table217[#Headers],0))</f>
        <v>1706</v>
      </c>
      <c r="E14">
        <f>INDEX(Table217[#All],MATCH(C14,Table217[[#All],[Team/Elo]],0),MATCH(Table11625[[#Headers],[Week 6]],Table217[#Headers],0))</f>
        <v>1559</v>
      </c>
      <c r="F14" t="str">
        <f t="shared" si="1"/>
        <v>Chiefs</v>
      </c>
      <c r="H14">
        <f t="shared" si="0"/>
        <v>-1</v>
      </c>
      <c r="J14" t="s">
        <v>79</v>
      </c>
      <c r="K14" s="12">
        <f>K11*K13</f>
        <v>150</v>
      </c>
    </row>
    <row r="15" spans="1:11" x14ac:dyDescent="0.25">
      <c r="A15" t="s">
        <v>73</v>
      </c>
      <c r="B15" t="s">
        <v>35</v>
      </c>
      <c r="C15" t="s">
        <v>29</v>
      </c>
      <c r="D15">
        <f>INDEX(Table217[#All],MATCH(B15,Table217[[#All],[Team/Elo]],0),MATCH(Table11625[[#Headers],[Week 6]],Table217[#Headers],0))</f>
        <v>1485</v>
      </c>
      <c r="E15">
        <f>INDEX(Table217[#All],MATCH(C15,Table217[[#All],[Team/Elo]],0),MATCH(Table11625[[#Headers],[Week 6]],Table217[#Headers],0))</f>
        <v>1510</v>
      </c>
      <c r="F15" t="str">
        <f t="shared" si="1"/>
        <v>Cowboys</v>
      </c>
      <c r="H15">
        <f t="shared" si="0"/>
        <v>-1</v>
      </c>
    </row>
    <row r="16" spans="1:11" x14ac:dyDescent="0.25">
      <c r="A16" t="s">
        <v>84</v>
      </c>
    </row>
    <row r="17" spans="1:8" x14ac:dyDescent="0.25">
      <c r="A17" s="15" t="s">
        <v>85</v>
      </c>
      <c r="D17" s="11"/>
    </row>
    <row r="19" spans="1:8" x14ac:dyDescent="0.25">
      <c r="A19" s="11" t="s">
        <v>75</v>
      </c>
      <c r="D19" s="11"/>
    </row>
    <row r="20" spans="1:8" x14ac:dyDescent="0.25">
      <c r="A20" t="s">
        <v>57</v>
      </c>
      <c r="B20">
        <f>COUNTIF($H$2:$H$17,1)</f>
        <v>0</v>
      </c>
    </row>
    <row r="21" spans="1:8" ht="15.75" thickBot="1" x14ac:dyDescent="0.3">
      <c r="A21" s="10" t="s">
        <v>58</v>
      </c>
      <c r="B21" s="10">
        <f>COUNTIF($H$2:$H$17,-1)</f>
        <v>14</v>
      </c>
      <c r="D21" s="11"/>
    </row>
    <row r="22" spans="1:8" x14ac:dyDescent="0.25">
      <c r="A22" t="s">
        <v>59</v>
      </c>
      <c r="B22">
        <f>B20-B21</f>
        <v>-14</v>
      </c>
    </row>
    <row r="24" spans="1:8" x14ac:dyDescent="0.25">
      <c r="A24" t="s">
        <v>94</v>
      </c>
      <c r="B24">
        <f>B20+B21</f>
        <v>14</v>
      </c>
      <c r="H24" s="11"/>
    </row>
    <row r="25" spans="1:8" x14ac:dyDescent="0.25">
      <c r="A25" t="s">
        <v>93</v>
      </c>
      <c r="B25" s="12">
        <f>B20*K14</f>
        <v>0</v>
      </c>
      <c r="E25" s="12"/>
      <c r="H25" s="11"/>
    </row>
    <row r="26" spans="1:8" x14ac:dyDescent="0.25">
      <c r="A26" t="s">
        <v>86</v>
      </c>
      <c r="B26" s="12">
        <f>B25-(B24*K11)</f>
        <v>-1400</v>
      </c>
      <c r="E26" s="12"/>
      <c r="H26" s="1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1C45-884D-406B-AD80-3813433F82F9}">
  <dimension ref="A1:B22"/>
  <sheetViews>
    <sheetView tabSelected="1" workbookViewId="0">
      <selection activeCell="B14" sqref="B14"/>
    </sheetView>
  </sheetViews>
  <sheetFormatPr defaultRowHeight="15" x14ac:dyDescent="0.25"/>
  <cols>
    <col min="1" max="1" width="11.42578125" customWidth="1"/>
    <col min="2" max="2" width="10.5703125" bestFit="1" customWidth="1"/>
  </cols>
  <sheetData>
    <row r="1" spans="1:2" x14ac:dyDescent="0.25">
      <c r="A1" s="18" t="s">
        <v>98</v>
      </c>
      <c r="B1" s="11" t="s">
        <v>90</v>
      </c>
    </row>
    <row r="2" spans="1:2" x14ac:dyDescent="0.25">
      <c r="A2" t="s">
        <v>2</v>
      </c>
      <c r="B2" s="12">
        <f>Week_1_Mine!$B$26</f>
        <v>200</v>
      </c>
    </row>
    <row r="3" spans="1:2" x14ac:dyDescent="0.25">
      <c r="A3" t="s">
        <v>3</v>
      </c>
      <c r="B3" s="12">
        <f>Week_2_Mine!$B$26</f>
        <v>500</v>
      </c>
    </row>
    <row r="4" spans="1:2" x14ac:dyDescent="0.25">
      <c r="A4" t="s">
        <v>4</v>
      </c>
      <c r="B4" s="12">
        <f>Week_3_Mine!$B$26</f>
        <v>0</v>
      </c>
    </row>
    <row r="5" spans="1:2" x14ac:dyDescent="0.25">
      <c r="A5" t="s">
        <v>0</v>
      </c>
      <c r="B5" s="12">
        <f>Week_4_Mine!$B$26</f>
        <v>150</v>
      </c>
    </row>
    <row r="6" spans="1:2" x14ac:dyDescent="0.25">
      <c r="A6" t="s">
        <v>1</v>
      </c>
      <c r="B6" s="12">
        <f>Week_5_Mine!$B$26</f>
        <v>-50</v>
      </c>
    </row>
    <row r="7" spans="1:2" x14ac:dyDescent="0.25">
      <c r="A7" t="s">
        <v>6</v>
      </c>
      <c r="B7" s="12"/>
    </row>
    <row r="8" spans="1:2" x14ac:dyDescent="0.25">
      <c r="A8" t="s">
        <v>7</v>
      </c>
      <c r="B8" s="12"/>
    </row>
    <row r="9" spans="1:2" x14ac:dyDescent="0.25">
      <c r="A9" t="s">
        <v>8</v>
      </c>
      <c r="B9" s="12"/>
    </row>
    <row r="10" spans="1:2" x14ac:dyDescent="0.25">
      <c r="A10" t="s">
        <v>9</v>
      </c>
      <c r="B10" s="12"/>
    </row>
    <row r="11" spans="1:2" x14ac:dyDescent="0.25">
      <c r="A11" t="s">
        <v>10</v>
      </c>
      <c r="B11" s="12"/>
    </row>
    <row r="12" spans="1:2" x14ac:dyDescent="0.25">
      <c r="A12" t="s">
        <v>11</v>
      </c>
      <c r="B12" s="12"/>
    </row>
    <row r="13" spans="1:2" x14ac:dyDescent="0.25">
      <c r="A13" t="s">
        <v>12</v>
      </c>
      <c r="B13" s="12"/>
    </row>
    <row r="14" spans="1:2" x14ac:dyDescent="0.25">
      <c r="A14" t="s">
        <v>13</v>
      </c>
      <c r="B14" s="12"/>
    </row>
    <row r="15" spans="1:2" x14ac:dyDescent="0.25">
      <c r="A15" t="s">
        <v>14</v>
      </c>
      <c r="B15" s="12"/>
    </row>
    <row r="16" spans="1:2" x14ac:dyDescent="0.25">
      <c r="A16" t="s">
        <v>15</v>
      </c>
      <c r="B16" s="12"/>
    </row>
    <row r="17" spans="1:2" x14ac:dyDescent="0.25">
      <c r="A17" t="s">
        <v>16</v>
      </c>
      <c r="B17" s="12"/>
    </row>
    <row r="18" spans="1:2" x14ac:dyDescent="0.25">
      <c r="A18" s="16" t="s">
        <v>17</v>
      </c>
      <c r="B18" s="17"/>
    </row>
    <row r="19" spans="1:2" x14ac:dyDescent="0.25">
      <c r="A19" t="s">
        <v>86</v>
      </c>
      <c r="B19" s="12">
        <f>SUM(B2:B18)</f>
        <v>800</v>
      </c>
    </row>
    <row r="20" spans="1:2" x14ac:dyDescent="0.25">
      <c r="A20" t="s">
        <v>95</v>
      </c>
      <c r="B20" s="21">
        <f>B19/1600</f>
        <v>0.5</v>
      </c>
    </row>
    <row r="21" spans="1:2" x14ac:dyDescent="0.25">
      <c r="A21" s="19" t="s">
        <v>88</v>
      </c>
      <c r="B21" s="20">
        <f>B19</f>
        <v>800</v>
      </c>
    </row>
    <row r="22" spans="1:2" x14ac:dyDescent="0.25">
      <c r="A22" t="s">
        <v>101</v>
      </c>
      <c r="B22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elo_data</vt:lpstr>
      <vt:lpstr>elo_chart</vt:lpstr>
      <vt:lpstr>Week_1</vt:lpstr>
      <vt:lpstr>Week_2</vt:lpstr>
      <vt:lpstr>Week_3</vt:lpstr>
      <vt:lpstr>Week_4</vt:lpstr>
      <vt:lpstr>Week_5</vt:lpstr>
      <vt:lpstr>Week_6</vt:lpstr>
      <vt:lpstr>Profit_538</vt:lpstr>
      <vt:lpstr>elo_data_mine</vt:lpstr>
      <vt:lpstr>Week_1_Mine</vt:lpstr>
      <vt:lpstr>Week_2_Mine</vt:lpstr>
      <vt:lpstr>Week_3_Mine</vt:lpstr>
      <vt:lpstr>Week_4_Mine</vt:lpstr>
      <vt:lpstr>Week_5_Mine</vt:lpstr>
      <vt:lpstr>Week_6_Mine</vt:lpstr>
      <vt:lpstr>Profit_Mine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Krute</dc:creator>
  <cp:lastModifiedBy>Nick Krute</cp:lastModifiedBy>
  <dcterms:created xsi:type="dcterms:W3CDTF">2020-10-09T01:45:58Z</dcterms:created>
  <dcterms:modified xsi:type="dcterms:W3CDTF">2020-10-15T02:48:07Z</dcterms:modified>
</cp:coreProperties>
</file>