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IFERROR(__xludf.DUMMYFUNCTION("importdata(""https://www.amfiindia.com/spages/NAVAll.txt"")"),"Scheme Code;ISIN Div Payout/ ISIN Growth;ISIN Div Reinvestment;Scheme Name;Net Asset Value;Date")</f>
        <v>Scheme Code;ISIN Div Payout/ ISIN Growth;ISIN Div Reinvestment;Scheme Name;Net Asset Value;Date</v>
      </c>
      <c r="B1" s="1"/>
    </row>
    <row r="2">
      <c r="A2" s="1"/>
      <c r="B2" s="1"/>
    </row>
    <row r="3">
      <c r="A3" s="1" t="str">
        <f>IFERROR(__xludf.DUMMYFUNCTION("""COMPUTED_VALUE"""),"Open Ended Schemes(Debt Scheme - Banking and PSU Fund)")</f>
        <v>Open Ended Schemes(Debt Scheme - Banking and PSU Fund)</v>
      </c>
      <c r="B3" s="1"/>
    </row>
    <row r="4">
      <c r="A4" s="1"/>
      <c r="B4" s="1"/>
    </row>
    <row r="5">
      <c r="A5" s="1" t="str">
        <f>IFERROR(__xludf.DUMMYFUNCTION("""COMPUTED_VALUE"""),"Aditya Birla Sun Life Mutual Fund")</f>
        <v>Aditya Birla Sun Life Mutual Fund</v>
      </c>
      <c r="B5" s="1"/>
    </row>
    <row r="6">
      <c r="A6" s="1"/>
      <c r="B6" s="1"/>
    </row>
    <row r="7">
      <c r="A7" s="1" t="str">
        <f>IFERROR(__xludf.DUMMYFUNCTION("""COMPUTED_VALUE"""),"119551;INF209KA12Z1;INF209KA13Z9;Aditya Birla Sun Life Banking &amp; PSU Debt Fund  - DIRECT - IDCW;113.708;25-Aug-2023")</f>
        <v>119551;INF209KA12Z1;INF209KA13Z9;Aditya Birla Sun Life Banking &amp; PSU Debt Fund  - DIRECT - IDCW;113.708;25-Aug-2023</v>
      </c>
      <c r="B7" s="1"/>
    </row>
    <row r="8">
      <c r="A8" s="1" t="str">
        <f>IFERROR(__xludf.DUMMYFUNCTION("""COMPUTED_VALUE"""),"119552;INF209K01YM2;-;Aditya Birla Sun Life Banking &amp; PSU Debt Fund  - DIRECT - MONTHLY IDCW;114.6137;25-Aug-2023")</f>
        <v>119552;INF209K01YM2;-;Aditya Birla Sun Life Banking &amp; PSU Debt Fund  - DIRECT - MONTHLY IDCW;114.6137;25-Aug-2023</v>
      </c>
      <c r="B8" s="1"/>
    </row>
    <row r="9">
      <c r="A9" s="1" t="str">
        <f>IFERROR(__xludf.DUMMYFUNCTION("""COMPUTED_VALUE"""),"119553;INF209K01YO8;-;Aditya Birla Sun Life Banking &amp; PSU Debt Fund  - Direct - Quarterly IDCW;112.6882;25-Aug-2023")</f>
        <v>119553;INF209K01YO8;-;Aditya Birla Sun Life Banking &amp; PSU Debt Fund  - Direct - Quarterly IDCW;112.6882;25-Aug-2023</v>
      </c>
      <c r="B9" s="1"/>
    </row>
    <row r="10">
      <c r="A10" s="1" t="str">
        <f>IFERROR(__xludf.DUMMYFUNCTION("""COMPUTED_VALUE"""),"108272;INF209K01LX6;INF209KA11Z3;Aditya Birla Sun Life Banking &amp; PSU Debt Fund  - REGULAR - IDCW;160.7528;25-Aug-2023")</f>
        <v>108272;INF209K01LX6;INF209KA11Z3;Aditya Birla Sun Life Banking &amp; PSU Debt Fund  - REGULAR - IDCW;160.7528;25-Aug-2023</v>
      </c>
      <c r="B10" s="1"/>
    </row>
    <row r="11">
      <c r="A11" s="1" t="str">
        <f>IFERROR(__xludf.DUMMYFUNCTION("""COMPUTED_VALUE"""),"110282;INF209K01LU2;-;Aditya Birla Sun Life Banking &amp; PSU Debt Fund  - REGULAR - MONTHLY IDCW;111.2163;25-Aug-2023")</f>
        <v>110282;INF209K01LU2;-;Aditya Birla Sun Life Banking &amp; PSU Debt Fund  - REGULAR - MONTHLY IDCW;111.2163;25-Aug-2023</v>
      </c>
      <c r="B11" s="1"/>
    </row>
    <row r="12">
      <c r="A12" s="1" t="str">
        <f>IFERROR(__xludf.DUMMYFUNCTION("""COMPUTED_VALUE"""),"108274;INF209K01LN7;-;Aditya Birla Sun Life Banking &amp; PSU Debt Fund  - REGULAR - Quarterly IDCW;109.4585;25-Aug-2023")</f>
        <v>108274;INF209K01LN7;-;Aditya Birla Sun Life Banking &amp; PSU Debt Fund  - REGULAR - Quarterly IDCW;109.4585;25-Aug-2023</v>
      </c>
      <c r="B12" s="1"/>
    </row>
    <row r="13">
      <c r="A13" s="1" t="str">
        <f>IFERROR(__xludf.DUMMYFUNCTION("""COMPUTED_VALUE"""),"110490;INF209K01LR8;-;Aditya Birla Sun Life Banking &amp; PSU Debt Fund  - retail - monthly IDCW;111.0755;25-Aug-2023")</f>
        <v>110490;INF209K01LR8;-;Aditya Birla Sun Life Banking &amp; PSU Debt Fund  - retail - monthly IDCW;111.0755;25-Aug-2023</v>
      </c>
      <c r="B13" s="1"/>
    </row>
    <row r="14">
      <c r="A14" s="1" t="str">
        <f>IFERROR(__xludf.DUMMYFUNCTION("""COMPUTED_VALUE"""),"106157;INF209K01LS6;-;Aditya Birla Sun Life Banking &amp; PSU Debt Fund  - retail - quarterly IDCW;112.2424;25-Aug-2023")</f>
        <v>106157;INF209K01LS6;-;Aditya Birla Sun Life Banking &amp; PSU Debt Fund  - retail - quarterly IDCW;112.2424;25-Aug-2023</v>
      </c>
      <c r="B14" s="1"/>
    </row>
    <row r="15">
      <c r="A15" s="1" t="str">
        <f>IFERROR(__xludf.DUMMYFUNCTION("""COMPUTED_VALUE"""),"108273;INF209K01LV0;-;Aditya Birla Sun Life Banking &amp; PSU Debt Fund - Regular Plan-Growth;318.1862;25-Aug-2023")</f>
        <v>108273;INF209K01LV0;-;Aditya Birla Sun Life Banking &amp; PSU Debt Fund - Regular Plan-Growth;318.1862;25-Aug-2023</v>
      </c>
      <c r="B15" s="1"/>
    </row>
    <row r="16">
      <c r="A16" s="1" t="str">
        <f>IFERROR(__xludf.DUMMYFUNCTION("""COMPUTED_VALUE"""),"103176;INF209K01LT4;-;Aditya Birla Sun Life Banking &amp; PSU Debt Fund - Retail Plan-Growth;477.6386;25-Aug-2023")</f>
        <v>103176;INF209K01LT4;-;Aditya Birla Sun Life Banking &amp; PSU Debt Fund - Retail Plan-Growth;477.6386;25-Aug-2023</v>
      </c>
      <c r="B16" s="1"/>
    </row>
    <row r="17">
      <c r="A17" s="1" t="str">
        <f>IFERROR(__xludf.DUMMYFUNCTION("""COMPUTED_VALUE"""),"119550;INF209K01YN0;-;Aditya Birla Sun Life Banking &amp; PSU Debt Fund- Direct Plan-Growth;328.1705;25-Aug-2023")</f>
        <v>119550;INF209K01YN0;-;Aditya Birla Sun Life Banking &amp; PSU Debt Fund- Direct Plan-Growth;328.1705;25-Aug-2023</v>
      </c>
      <c r="B17" s="1"/>
    </row>
    <row r="18">
      <c r="A18" s="1"/>
      <c r="B18" s="1"/>
    </row>
    <row r="19">
      <c r="A19" s="1" t="str">
        <f>IFERROR(__xludf.DUMMYFUNCTION("""COMPUTED_VALUE"""),"Axis Mutual Fund")</f>
        <v>Axis Mutual Fund</v>
      </c>
      <c r="B19" s="1"/>
    </row>
    <row r="20">
      <c r="A20" s="1"/>
      <c r="B20" s="1"/>
    </row>
    <row r="21">
      <c r="A21" s="1" t="str">
        <f>IFERROR(__xludf.DUMMYFUNCTION("""COMPUTED_VALUE"""),"128952;INF846K01NF8;-;Axis Banking &amp; PSU Debt Fund - Direct Plan - Bonus Option;1532.8272;14-Jun-2017")</f>
        <v>128952;INF846K01NF8;-;Axis Banking &amp; PSU Debt Fund - Direct Plan - Bonus Option;1532.8272;14-Jun-2017</v>
      </c>
      <c r="B21" s="1"/>
    </row>
    <row r="22">
      <c r="A22" s="1" t="str">
        <f>IFERROR(__xludf.DUMMYFUNCTION("""COMPUTED_VALUE"""),"120437;-;INF846K01CU0;Axis Banking &amp; PSU Debt Fund - Direct Plan - Daily IDCW;1039.1310;25-Aug-2023")</f>
        <v>120437;-;INF846K01CU0;Axis Banking &amp; PSU Debt Fund - Direct Plan - Daily IDCW;1039.1310;25-Aug-2023</v>
      </c>
      <c r="B22" s="1"/>
    </row>
    <row r="23">
      <c r="A23" s="1" t="str">
        <f>IFERROR(__xludf.DUMMYFUNCTION("""COMPUTED_VALUE"""),"120438;INF846K01CR6;-;Axis Banking &amp; PSU Debt Fund - Direct Plan - Growth Option;2354.8910;25-Aug-2023")</f>
        <v>120438;INF846K01CR6;-;Axis Banking &amp; PSU Debt Fund - Direct Plan - Growth Option;2354.8910;25-Aug-2023</v>
      </c>
      <c r="B23" s="1"/>
    </row>
    <row r="24">
      <c r="A24" s="1" t="str">
        <f>IFERROR(__xludf.DUMMYFUNCTION("""COMPUTED_VALUE"""),"120439;INF846K01CT2;INF846K01CS4;Axis Banking &amp; PSU Debt Fund - Direct Plan - Monthly IDCW;1032.8188;25-Aug-2023")</f>
        <v>120439;INF846K01CT2;INF846K01CS4;Axis Banking &amp; PSU Debt Fund - Direct Plan - Monthly IDCW;1032.8188;25-Aug-2023</v>
      </c>
      <c r="B24" s="1"/>
    </row>
    <row r="25">
      <c r="A25" s="1" t="str">
        <f>IFERROR(__xludf.DUMMYFUNCTION("""COMPUTED_VALUE"""),"120436;INF846K01CV8;INF846K01CW6;Axis Banking &amp; PSU Debt Fund - Direct Plan - Weekly IDCW;1040.0227;25-Aug-2023")</f>
        <v>120436;INF846K01CV8;INF846K01CW6;Axis Banking &amp; PSU Debt Fund - Direct Plan - Weekly IDCW;1040.0227;25-Aug-2023</v>
      </c>
      <c r="B25" s="1"/>
    </row>
    <row r="26">
      <c r="A26" s="1" t="str">
        <f>IFERROR(__xludf.DUMMYFUNCTION("""COMPUTED_VALUE"""),"128953;INF846K01NG6;-;Axis Banking &amp; PSU Debt Fund - Regular Plan - Bonus Option;1289.4075;18-May-2015")</f>
        <v>128953;INF846K01NG6;-;Axis Banking &amp; PSU Debt Fund - Regular Plan - Bonus Option;1289.4075;18-May-2015</v>
      </c>
      <c r="B26" s="1"/>
    </row>
    <row r="27">
      <c r="A27" s="1" t="str">
        <f>IFERROR(__xludf.DUMMYFUNCTION("""COMPUTED_VALUE"""),"117447;-;INF846K01CC8;Axis Banking &amp; PSU Debt Fund - Regular Plan - Daily IDCW;1039.1303;25-Aug-2023")</f>
        <v>117447;-;INF846K01CC8;Axis Banking &amp; PSU Debt Fund - Regular Plan - Daily IDCW;1039.1303;25-Aug-2023</v>
      </c>
      <c r="B27" s="1"/>
    </row>
    <row r="28">
      <c r="A28" s="1" t="str">
        <f>IFERROR(__xludf.DUMMYFUNCTION("""COMPUTED_VALUE"""),"117446;INF846K01CB0;-;Axis Banking &amp; PSU Debt Fund - Regular Plan - Growth option;2295.6385;25-Aug-2023")</f>
        <v>117446;INF846K01CB0;-;Axis Banking &amp; PSU Debt Fund - Regular Plan - Growth option;2295.6385;25-Aug-2023</v>
      </c>
      <c r="B28" s="1"/>
    </row>
    <row r="29">
      <c r="A29" s="1" t="str">
        <f>IFERROR(__xludf.DUMMYFUNCTION("""COMPUTED_VALUE"""),"117449;INF846K01CF1;INF846K01CG9;Axis Banking &amp; PSU Debt Fund - Regular Plan - Monthly IDCW;1032.8102;25-Aug-2023")</f>
        <v>117449;INF846K01CF1;INF846K01CG9;Axis Banking &amp; PSU Debt Fund - Regular Plan - Monthly IDCW;1032.8102;25-Aug-2023</v>
      </c>
      <c r="B29" s="1"/>
    </row>
    <row r="30">
      <c r="A30" s="1" t="str">
        <f>IFERROR(__xludf.DUMMYFUNCTION("""COMPUTED_VALUE"""),"117448;INF846K01CD6;INF846K01CE4;Axis Banking &amp; PSU Debt Fund - Regular Plan - Weekly IDCW;1039.9875;25-Aug-2023")</f>
        <v>117448;INF846K01CD6;INF846K01CE4;Axis Banking &amp; PSU Debt Fund - Regular Plan - Weekly IDCW;1039.9875;25-Aug-2023</v>
      </c>
      <c r="B30" s="1"/>
    </row>
    <row r="31">
      <c r="A31" s="1"/>
      <c r="B31" s="1"/>
    </row>
    <row r="32">
      <c r="A32" s="1" t="str">
        <f>IFERROR(__xludf.DUMMYFUNCTION("""COMPUTED_VALUE"""),"Bandhan Mutual Fund")</f>
        <v>Bandhan Mutual Fund</v>
      </c>
      <c r="B32" s="1"/>
    </row>
    <row r="33">
      <c r="A33" s="1"/>
      <c r="B33" s="1"/>
    </row>
    <row r="34">
      <c r="A34" s="1" t="str">
        <f>IFERROR(__xludf.DUMMYFUNCTION("""COMPUTED_VALUE"""),"121936;INF194K019M8;-;BANDHAN Banking &amp; PSU Debt Fund - Direct Annual IDCW;12.2640;25-Aug-2023")</f>
        <v>121936;INF194K019M8;-;BANDHAN Banking &amp; PSU Debt Fund - Direct Annual IDCW;12.2640;25-Aug-2023</v>
      </c>
      <c r="B34" s="1"/>
    </row>
    <row r="35">
      <c r="A35" s="1" t="str">
        <f>IFERROR(__xludf.DUMMYFUNCTION("""COMPUTED_VALUE"""),"127471;-;INF194KA1JD3;BANDHAN Banking &amp; PSU Debt Fund - Direct Daily IDCW;10.4768;25-Aug-2023")</f>
        <v>127471;-;INF194KA1JD3;BANDHAN Banking &amp; PSU Debt Fund - Direct Daily IDCW;10.4768;25-Aug-2023</v>
      </c>
      <c r="B35" s="1"/>
    </row>
    <row r="36">
      <c r="A36" s="1" t="str">
        <f>IFERROR(__xludf.DUMMYFUNCTION("""COMPUTED_VALUE"""),"121934;-;INF194K010N5;BANDHAN Banking &amp; PSU Debt Fund - Direct Fortnightly IDCW;10.4730;25-Aug-2023")</f>
        <v>121934;-;INF194K010N5;BANDHAN Banking &amp; PSU Debt Fund - Direct Fortnightly IDCW;10.4730;25-Aug-2023</v>
      </c>
      <c r="B36" s="1"/>
    </row>
    <row r="37">
      <c r="A37" s="1" t="str">
        <f>IFERROR(__xludf.DUMMYFUNCTION("""COMPUTED_VALUE"""),"121279;INF194K015G8;-;BANDHAN Banking &amp; PSU Debt Fund - Direct Growth;21.9631;25-Aug-2023")</f>
        <v>121279;INF194K015G8;-;BANDHAN Banking &amp; PSU Debt Fund - Direct Growth;21.9631;25-Aug-2023</v>
      </c>
      <c r="B37" s="1"/>
    </row>
    <row r="38">
      <c r="A38" s="1" t="str">
        <f>IFERROR(__xludf.DUMMYFUNCTION("""COMPUTED_VALUE"""),"121281;INF194K016G6;INF194K017G4;BANDHAN Banking &amp; PSU Debt Fund - Direct IDCW;11.5537;25-Aug-2023")</f>
        <v>121281;INF194K016G6;INF194K017G4;BANDHAN Banking &amp; PSU Debt Fund - Direct IDCW;11.5537;25-Aug-2023</v>
      </c>
      <c r="B38" s="1"/>
    </row>
    <row r="39">
      <c r="A39" s="1" t="str">
        <f>IFERROR(__xludf.DUMMYFUNCTION("""COMPUTED_VALUE"""),"121935;-;INF194K011N3;BANDHAN Banking &amp; PSU Debt Fund - Direct Monthly IDCW;10.4618;25-Aug-2023")</f>
        <v>121935;-;INF194K011N3;BANDHAN Banking &amp; PSU Debt Fund - Direct Monthly IDCW;10.4618;25-Aug-2023</v>
      </c>
      <c r="B39" s="1"/>
    </row>
    <row r="40">
      <c r="A40" s="1" t="str">
        <f>IFERROR(__xludf.DUMMYFUNCTION("""COMPUTED_VALUE"""),"121938;INF194K018M0;-;BANDHAN Banking &amp; PSU Debt Fund - Direct Quarterly IDCW;10.7888;25-Aug-2023")</f>
        <v>121938;INF194K018M0;-;BANDHAN Banking &amp; PSU Debt Fund - Direct Quarterly IDCW;10.7888;25-Aug-2023</v>
      </c>
      <c r="B40" s="1"/>
    </row>
    <row r="41">
      <c r="A41" s="1" t="str">
        <f>IFERROR(__xludf.DUMMYFUNCTION("""COMPUTED_VALUE"""),"121933;INF194K015M6;-;BANDHAN Banking &amp; PSU Debt Fund - Regular Annual IDCW;11.2878;25-Aug-2023")</f>
        <v>121933;INF194K015M6;-;BANDHAN Banking &amp; PSU Debt Fund - Regular Annual IDCW;11.2878;25-Aug-2023</v>
      </c>
      <c r="B41" s="1"/>
    </row>
    <row r="42">
      <c r="A42" s="1" t="str">
        <f>IFERROR(__xludf.DUMMYFUNCTION("""COMPUTED_VALUE"""),"127470;-;INF194KA1JC5;BANDHAN Banking &amp; PSU Debt Fund - Regular Daily IDCW;10.8788;25-Aug-2023")</f>
        <v>127470;-;INF194KA1JC5;BANDHAN Banking &amp; PSU Debt Fund - Regular Daily IDCW;10.8788;25-Aug-2023</v>
      </c>
      <c r="B42" s="1"/>
    </row>
    <row r="43">
      <c r="A43" s="1" t="str">
        <f>IFERROR(__xludf.DUMMYFUNCTION("""COMPUTED_VALUE"""),"121931;-;INF194K016M4;BANDHAN Banking &amp; PSU Debt Fund - Regular Fortnightly IDCW;10.6279;25-Aug-2023")</f>
        <v>121931;-;INF194K016M4;BANDHAN Banking &amp; PSU Debt Fund - Regular Fortnightly IDCW;10.6279;25-Aug-2023</v>
      </c>
      <c r="B43" s="1"/>
    </row>
    <row r="44">
      <c r="A44" s="1" t="str">
        <f>IFERROR(__xludf.DUMMYFUNCTION("""COMPUTED_VALUE"""),"121280;INF194K01SN6;-;BANDHAN Banking &amp; PSU Debt Fund - Regular Growth;21.4602;25-Aug-2023")</f>
        <v>121280;INF194K01SN6;-;BANDHAN Banking &amp; PSU Debt Fund - Regular Growth;21.4602;25-Aug-2023</v>
      </c>
      <c r="B44" s="1"/>
    </row>
    <row r="45">
      <c r="A45" s="1" t="str">
        <f>IFERROR(__xludf.DUMMYFUNCTION("""COMPUTED_VALUE"""),"121282;INF194K01SO4;INF194K012D2;BANDHAN Banking &amp; PSU Debt Fund - Regular IDCW;11.5885;25-Aug-2023")</f>
        <v>121282;INF194K01SO4;INF194K012D2;BANDHAN Banking &amp; PSU Debt Fund - Regular IDCW;11.5885;25-Aug-2023</v>
      </c>
      <c r="B45" s="1"/>
    </row>
    <row r="46">
      <c r="A46" s="1" t="str">
        <f>IFERROR(__xludf.DUMMYFUNCTION("""COMPUTED_VALUE"""),"121932;-;INF194K017M2;BANDHAN Banking &amp; PSU Debt Fund - Regular Monthly IDCW;10.7042;25-Aug-2023")</f>
        <v>121932;-;INF194K017M2;BANDHAN Banking &amp; PSU Debt Fund - Regular Monthly IDCW;10.7042;25-Aug-2023</v>
      </c>
      <c r="B46" s="1"/>
    </row>
    <row r="47">
      <c r="A47" s="1" t="str">
        <f>IFERROR(__xludf.DUMMYFUNCTION("""COMPUTED_VALUE"""),"121937;INF194K014M9;-;BANDHAN Banking &amp; PSU Debt Fund - Regular Quarterly IDCW;10.6955;25-Aug-2023")</f>
        <v>121937;INF194K014M9;-;BANDHAN Banking &amp; PSU Debt Fund - Regular Quarterly IDCW;10.6955;25-Aug-2023</v>
      </c>
      <c r="B47" s="1"/>
    </row>
    <row r="48">
      <c r="A48" s="1"/>
      <c r="B48" s="1"/>
    </row>
    <row r="49">
      <c r="A49" s="1" t="str">
        <f>IFERROR(__xludf.DUMMYFUNCTION("""COMPUTED_VALUE"""),"Baroda BNP Paribas Mutual Fund")</f>
        <v>Baroda BNP Paribas Mutual Fund</v>
      </c>
      <c r="B49" s="1"/>
    </row>
    <row r="50">
      <c r="A50" s="1"/>
      <c r="B50" s="1"/>
    </row>
    <row r="51">
      <c r="A51" s="1" t="str">
        <f>IFERROR(__xludf.DUMMYFUNCTION("""COMPUTED_VALUE"""),"148629;INF955L01KF1;INF955L01KG9;Baroda BNP Paribas Banking and PSU Bond Fund -Direct Plan-Monthly IDCW Option;10.2284;25-Aug-2023")</f>
        <v>148629;INF955L01KF1;INF955L01KG9;Baroda BNP Paribas Banking and PSU Bond Fund -Direct Plan-Monthly IDCW Option;10.2284;25-Aug-2023</v>
      </c>
      <c r="B51" s="1"/>
    </row>
    <row r="52">
      <c r="A52" s="1" t="str">
        <f>IFERROR(__xludf.DUMMYFUNCTION("""COMPUTED_VALUE"""),"148628;INF955L01KC8;-;Baroda BNP Paribas Banking and PSU Bond Fund- Direct Plan -Growth Option;11.1406;25-Aug-2023")</f>
        <v>148628;INF955L01KC8;-;Baroda BNP Paribas Banking and PSU Bond Fund- Direct Plan -Growth Option;11.1406;25-Aug-2023</v>
      </c>
      <c r="B52" s="1"/>
    </row>
    <row r="53">
      <c r="A53" s="1" t="str">
        <f>IFERROR(__xludf.DUMMYFUNCTION("""COMPUTED_VALUE"""),"148630;INF955L01KD6;INF955L01KE4;Baroda BNP Paribas Banking and PSU Bond Fund-Direct plan-Quarterly IDCW Option;10.3479;25-Aug-2023")</f>
        <v>148630;INF955L01KD6;INF955L01KE4;Baroda BNP Paribas Banking and PSU Bond Fund-Direct plan-Quarterly IDCW Option;10.3479;25-Aug-2023</v>
      </c>
      <c r="B53" s="1"/>
    </row>
    <row r="54">
      <c r="A54" s="1" t="str">
        <f>IFERROR(__xludf.DUMMYFUNCTION("""COMPUTED_VALUE"""),"148625;INF955L01JX6;-;Baroda BNP Paribas Banking and PSU Bond Fund-Regular Plan -Growth Option;10.9804;25-Aug-2023")</f>
        <v>148625;INF955L01JX6;-;Baroda BNP Paribas Banking and PSU Bond Fund-Regular Plan -Growth Option;10.9804;25-Aug-2023</v>
      </c>
      <c r="B54" s="1"/>
    </row>
    <row r="55">
      <c r="A55" s="1" t="str">
        <f>IFERROR(__xludf.DUMMYFUNCTION("""COMPUTED_VALUE"""),"148626;INF955L01KA2;INF955L01KB0;Baroda BNP Paribas Banking and PSU Bond Fund-Regular Plan -Monthly IDCW Option;10.1488;25-Aug-2023")</f>
        <v>148626;INF955L01KA2;INF955L01KB0;Baroda BNP Paribas Banking and PSU Bond Fund-Regular Plan -Monthly IDCW Option;10.1488;25-Aug-2023</v>
      </c>
      <c r="B55" s="1"/>
    </row>
    <row r="56">
      <c r="A56" s="1" t="str">
        <f>IFERROR(__xludf.DUMMYFUNCTION("""COMPUTED_VALUE"""),"148627;INF955L01JY4;INF955L01JZ1;Baroda BNP Paribas Banking and PSU Bond Fund-Regular Plan-Quarterly IDCW Option;10.2083;25-Aug-2023")</f>
        <v>148627;INF955L01JY4;INF955L01JZ1;Baroda BNP Paribas Banking and PSU Bond Fund-Regular Plan-Quarterly IDCW Option;10.2083;25-Aug-2023</v>
      </c>
      <c r="B56" s="1"/>
    </row>
    <row r="57">
      <c r="A57" s="1"/>
      <c r="B57" s="1"/>
    </row>
    <row r="58">
      <c r="A58" s="1" t="str">
        <f>IFERROR(__xludf.DUMMYFUNCTION("""COMPUTED_VALUE"""),"Canara Robeco Mutual Fund")</f>
        <v>Canara Robeco Mutual Fund</v>
      </c>
      <c r="B58" s="1"/>
    </row>
    <row r="59">
      <c r="A59" s="1"/>
      <c r="B59" s="1"/>
    </row>
    <row r="60">
      <c r="A60" s="1" t="str">
        <f>IFERROR(__xludf.DUMMYFUNCTION("""COMPUTED_VALUE"""),"150505;INF760K01KC4;-;Canara Robeco Banking and PSU Debt Fund- Direct Plan- Growth Option;10.5954;25-Aug-2023")</f>
        <v>150505;INF760K01KC4;-;Canara Robeco Banking and PSU Debt Fund- Direct Plan- Growth Option;10.5954;25-Aug-2023</v>
      </c>
      <c r="B60" s="1"/>
    </row>
    <row r="61">
      <c r="A61" s="1" t="str">
        <f>IFERROR(__xludf.DUMMYFUNCTION("""COMPUTED_VALUE"""),"150507;INF760K01KE0;INF760K01KD2;Canara Robeco Banking and PSU Debt Fund- Direct Plan- IDCW Payout;10.3329;25-Aug-2023")</f>
        <v>150507;INF760K01KE0;INF760K01KD2;Canara Robeco Banking and PSU Debt Fund- Direct Plan- IDCW Payout;10.3329;25-Aug-2023</v>
      </c>
      <c r="B61" s="1"/>
    </row>
    <row r="62">
      <c r="A62" s="1" t="str">
        <f>IFERROR(__xludf.DUMMYFUNCTION("""COMPUTED_VALUE"""),"150503;INF760K01KF7;-;Canara Robeco Banking and PSU Debt Fund- Regular Plan- Growth Option;10.5651;25-Aug-2023")</f>
        <v>150503;INF760K01KF7;-;Canara Robeco Banking and PSU Debt Fund- Regular Plan- Growth Option;10.5651;25-Aug-2023</v>
      </c>
      <c r="B62" s="1"/>
    </row>
    <row r="63">
      <c r="A63" s="1" t="str">
        <f>IFERROR(__xludf.DUMMYFUNCTION("""COMPUTED_VALUE"""),"150504;INF760K01KH3;INF760K01KG5;Canara Robeco Banking and PSU Debt Fund- Regular Plan- IDCW (Payout/ Reinvestment);10.3032;25-Aug-2023")</f>
        <v>150504;INF760K01KH3;INF760K01KG5;Canara Robeco Banking and PSU Debt Fund- Regular Plan- IDCW (Payout/ Reinvestment);10.3032;25-Aug-2023</v>
      </c>
      <c r="B63" s="1"/>
    </row>
    <row r="64">
      <c r="A64" s="1"/>
      <c r="B64" s="1"/>
    </row>
    <row r="65">
      <c r="A65" s="1" t="str">
        <f>IFERROR(__xludf.DUMMYFUNCTION("""COMPUTED_VALUE"""),"DSP Mutual Fund")</f>
        <v>DSP Mutual Fund</v>
      </c>
      <c r="B65" s="1"/>
    </row>
    <row r="66">
      <c r="A66" s="1"/>
      <c r="B66" s="1"/>
    </row>
    <row r="67">
      <c r="A67" s="1" t="str">
        <f>IFERROR(__xludf.DUMMYFUNCTION("""COMPUTED_VALUE"""),"124175;INF740K01ZW2;-;DSP Banking &amp; PSU Debt Fund - Direct Plan - Growth;21.4482;25-Aug-2023")</f>
        <v>124175;INF740K01ZW2;-;DSP Banking &amp; PSU Debt Fund - Direct Plan - Growth;21.4482;25-Aug-2023</v>
      </c>
      <c r="B67" s="1"/>
    </row>
    <row r="68">
      <c r="A68" s="1" t="str">
        <f>IFERROR(__xludf.DUMMYFUNCTION("""COMPUTED_VALUE"""),"124178;INF740K01A18;INF740K01A26;DSP Banking &amp; PSU Debt Fund - Direct Plan - IDCW;10.5033;25-Aug-2023")</f>
        <v>124178;INF740K01A18;INF740K01A26;DSP Banking &amp; PSU Debt Fund - Direct Plan - IDCW;10.5033;25-Aug-2023</v>
      </c>
      <c r="B68" s="1"/>
    </row>
    <row r="69">
      <c r="A69" s="1" t="str">
        <f>IFERROR(__xludf.DUMMYFUNCTION("""COMPUTED_VALUE"""),"124182;-;INF740KA1OF7;DSP Banking &amp; PSU Debt Fund - Direct Plan - IDCW - Daily Reinvest;10.1600;25-Aug-2023")</f>
        <v>124182;-;INF740KA1OF7;DSP Banking &amp; PSU Debt Fund - Direct Plan - IDCW - Daily Reinvest;10.1600;25-Aug-2023</v>
      </c>
      <c r="B69" s="1"/>
    </row>
    <row r="70">
      <c r="A70" s="1" t="str">
        <f>IFERROR(__xludf.DUMMYFUNCTION("""COMPUTED_VALUE"""),"124176;INF740K01ZX0;INF740K01ZY8;DSP Banking &amp; PSU Debt Fund - Direct Plan - IDCW - Monthly;10.2566;25-Aug-2023")</f>
        <v>124176;INF740K01ZX0;INF740K01ZY8;DSP Banking &amp; PSU Debt Fund - Direct Plan - IDCW - Monthly;10.2566;25-Aug-2023</v>
      </c>
      <c r="B70" s="1"/>
    </row>
    <row r="71">
      <c r="A71" s="1" t="str">
        <f>IFERROR(__xludf.DUMMYFUNCTION("""COMPUTED_VALUE"""),"124177;INF740K01ZZ5;INF740K01A00;DSP Banking &amp; PSU Debt Fund - Direct Plan - IDCW - Quarterly ;10.2539;25-Aug-2023")</f>
        <v>124177;INF740K01ZZ5;INF740K01A00;DSP Banking &amp; PSU Debt Fund - Direct Plan - IDCW - Quarterly ;10.2539;25-Aug-2023</v>
      </c>
      <c r="B71" s="1"/>
    </row>
    <row r="72">
      <c r="A72" s="1" t="str">
        <f>IFERROR(__xludf.DUMMYFUNCTION("""COMPUTED_VALUE"""),"124183;INF740KA1OG5;INF740KA1OH3;DSP Banking &amp; PSU Debt Fund - Direct Plan - IDCW - Weekly;10.1631;25-Aug-2023")</f>
        <v>124183;INF740KA1OG5;INF740KA1OH3;DSP Banking &amp; PSU Debt Fund - Direct Plan - IDCW - Weekly;10.1631;25-Aug-2023</v>
      </c>
      <c r="B72" s="1"/>
    </row>
    <row r="73">
      <c r="A73" s="1" t="str">
        <f>IFERROR(__xludf.DUMMYFUNCTION("""COMPUTED_VALUE"""),"124172;INF740K01ZP6;-;DSP Banking &amp; PSU Debt Fund - Regular Plan - Growth;20.8173;25-Aug-2023")</f>
        <v>124172;INF740K01ZP6;-;DSP Banking &amp; PSU Debt Fund - Regular Plan - Growth;20.8173;25-Aug-2023</v>
      </c>
      <c r="B73" s="1"/>
    </row>
    <row r="74">
      <c r="A74" s="1" t="str">
        <f>IFERROR(__xludf.DUMMYFUNCTION("""COMPUTED_VALUE"""),"124174;INF740K01ZU6;INF740K01ZV4;DSP Banking &amp; PSU Debt Fund - Regular Plan - IDCW;10.4917;25-Aug-2023")</f>
        <v>124174;INF740K01ZU6;INF740K01ZV4;DSP Banking &amp; PSU Debt Fund - Regular Plan - IDCW;10.4917;25-Aug-2023</v>
      </c>
      <c r="B74" s="1"/>
    </row>
    <row r="75">
      <c r="A75" s="1" t="str">
        <f>IFERROR(__xludf.DUMMYFUNCTION("""COMPUTED_VALUE"""),"124173;-;INF740KA1OI1;DSP Banking &amp; PSU Debt Fund - Regular Plan - IDCW - Daily Reinvest;10.1600;25-Aug-2023")</f>
        <v>124173;-;INF740KA1OI1;DSP Banking &amp; PSU Debt Fund - Regular Plan - IDCW - Daily Reinvest;10.1600;25-Aug-2023</v>
      </c>
      <c r="B75" s="1"/>
    </row>
    <row r="76">
      <c r="A76" s="1" t="str">
        <f>IFERROR(__xludf.DUMMYFUNCTION("""COMPUTED_VALUE"""),"124180;INF740K01ZQ4;INF740K01ZR2;DSP Banking &amp; PSU Debt Fund - Regular Plan - IDCW - Monthly;10.2481;25-Aug-2023")</f>
        <v>124180;INF740K01ZQ4;INF740K01ZR2;DSP Banking &amp; PSU Debt Fund - Regular Plan - IDCW - Monthly;10.2481;25-Aug-2023</v>
      </c>
      <c r="B76" s="1"/>
    </row>
    <row r="77">
      <c r="A77" s="1" t="str">
        <f>IFERROR(__xludf.DUMMYFUNCTION("""COMPUTED_VALUE"""),"124181;INF740K01ZS0;INF740K01ZT8;DSP Banking &amp; PSU Debt Fund - Regular Plan - IDCW - Quarterly ;10.2492;25-Aug-2023")</f>
        <v>124181;INF740K01ZS0;INF740K01ZT8;DSP Banking &amp; PSU Debt Fund - Regular Plan - IDCW - Quarterly ;10.2492;25-Aug-2023</v>
      </c>
      <c r="B77" s="1"/>
    </row>
    <row r="78">
      <c r="A78" s="1" t="str">
        <f>IFERROR(__xludf.DUMMYFUNCTION("""COMPUTED_VALUE"""),"124179;INF740KA1OJ9;INF740KA1OK7;DSP Banking &amp; PSU Debt Fund - Regular Plan - IDCW - Weekly;10.1630;25-Aug-2023")</f>
        <v>124179;INF740KA1OJ9;INF740KA1OK7;DSP Banking &amp; PSU Debt Fund - Regular Plan - IDCW - Weekly;10.1630;25-Aug-2023</v>
      </c>
      <c r="B78" s="1"/>
    </row>
    <row r="79">
      <c r="A79" s="1"/>
      <c r="B79" s="1"/>
    </row>
    <row r="80">
      <c r="A80" s="1" t="str">
        <f>IFERROR(__xludf.DUMMYFUNCTION("""COMPUTED_VALUE"""),"Edelweiss Mutual Fund")</f>
        <v>Edelweiss Mutual Fund</v>
      </c>
      <c r="B80" s="1"/>
    </row>
    <row r="81">
      <c r="A81" s="1"/>
      <c r="B81" s="1"/>
    </row>
    <row r="82">
      <c r="A82" s="1" t="str">
        <f>IFERROR(__xludf.DUMMYFUNCTION("""COMPUTED_VALUE"""),"140286;INF843K01FC8;-;Edelweiss Banking and PSU Debt Fund - Direct Plan - Growth Option;21.9564;25-Aug-2023")</f>
        <v>140286;INF843K01FC8;-;Edelweiss Banking and PSU Debt Fund - Direct Plan - Growth Option;21.9564;25-Aug-2023</v>
      </c>
      <c r="B82" s="1"/>
    </row>
    <row r="83">
      <c r="A83" s="1" t="str">
        <f>IFERROR(__xludf.DUMMYFUNCTION("""COMPUTED_VALUE"""),"140288;INF843K01FD6;INF843K01FE4;Edelweiss Banking and PSU Debt Fund - Direct Plan - IDCW Option;18.1696;25-Aug-2023")</f>
        <v>140288;INF843K01FD6;INF843K01FE4;Edelweiss Banking and PSU Debt Fund - Direct Plan - IDCW Option;18.1696;25-Aug-2023</v>
      </c>
      <c r="B83" s="1"/>
    </row>
    <row r="84">
      <c r="A84" s="1" t="str">
        <f>IFERROR(__xludf.DUMMYFUNCTION("""COMPUTED_VALUE"""),"140291;INF843K01FG9;-;Edelweiss Banking and PSU Debt Fund - Direct Plan Fortnightly - IDCW Option;14.5649;25-Aug-2023")</f>
        <v>140291;INF843K01FG9;-;Edelweiss Banking and PSU Debt Fund - Direct Plan Fortnightly - IDCW Option;14.5649;25-Aug-2023</v>
      </c>
      <c r="B84" s="1"/>
    </row>
    <row r="85">
      <c r="A85" s="1" t="str">
        <f>IFERROR(__xludf.DUMMYFUNCTION("""COMPUTED_VALUE"""),"140293;INF843K01FI5;INF843K01FH7;Edelweiss Banking and PSU Debt Fund - Direct Plan Monthly - IDCW Option;10.9097;25-Aug-2023")</f>
        <v>140293;INF843K01FI5;INF843K01FH7;Edelweiss Banking and PSU Debt Fund - Direct Plan Monthly - IDCW Option;10.9097;25-Aug-2023</v>
      </c>
      <c r="B85" s="1"/>
    </row>
    <row r="86">
      <c r="A86" s="1" t="str">
        <f>IFERROR(__xludf.DUMMYFUNCTION("""COMPUTED_VALUE"""),"140290;INF843K01FF1;-;Edelweiss Banking and PSU Debt Fund - Direct Plan weekly - IDCW Option;10.5521;25-Aug-2023")</f>
        <v>140290;INF843K01FF1;-;Edelweiss Banking and PSU Debt Fund - Direct Plan weekly - IDCW Option;10.5521;25-Aug-2023</v>
      </c>
      <c r="B86" s="1"/>
    </row>
    <row r="87">
      <c r="A87" s="1" t="str">
        <f>IFERROR(__xludf.DUMMYFUNCTION("""COMPUTED_VALUE"""),"140283;INF843K01FK1;-;Edelweiss Banking and PSU Debt Fund - Regular Plan - Growth Option;21.3108;25-Aug-2023")</f>
        <v>140283;INF843K01FK1;-;Edelweiss Banking and PSU Debt Fund - Regular Plan - Growth Option;21.3108;25-Aug-2023</v>
      </c>
      <c r="B87" s="1"/>
    </row>
    <row r="88">
      <c r="A88" s="1" t="str">
        <f>IFERROR(__xludf.DUMMYFUNCTION("""COMPUTED_VALUE"""),"140284;INF843K01FL9;INF843K01FM7;Edelweiss Banking and PSU Debt Fund - Regular Plan - IDCW Option;17.5421;25-Aug-2023")</f>
        <v>140284;INF843K01FL9;INF843K01FM7;Edelweiss Banking and PSU Debt Fund - Regular Plan - IDCW Option;17.5421;25-Aug-2023</v>
      </c>
      <c r="B88" s="1"/>
    </row>
    <row r="89">
      <c r="A89" s="1" t="str">
        <f>IFERROR(__xludf.DUMMYFUNCTION("""COMPUTED_VALUE"""),"140294;INF843K01FO3;-;Edelweiss Banking and PSU Debt Fund - Regular Plan Fortnightly - IDCW Option;14.1823;25-Aug-2023")</f>
        <v>140294;INF843K01FO3;-;Edelweiss Banking and PSU Debt Fund - Regular Plan Fortnightly - IDCW Option;14.1823;25-Aug-2023</v>
      </c>
      <c r="B89" s="1"/>
    </row>
    <row r="90">
      <c r="A90" s="1" t="str">
        <f>IFERROR(__xludf.DUMMYFUNCTION("""COMPUTED_VALUE"""),"140292;INF843K01FQ8;INF843K01FP0;Edelweiss Banking and PSU Debt Fund - Regular Plan Monthly - IDCW Option;11.1519;25-Aug-2023")</f>
        <v>140292;INF843K01FQ8;INF843K01FP0;Edelweiss Banking and PSU Debt Fund - Regular Plan Monthly - IDCW Option;11.1519;25-Aug-2023</v>
      </c>
      <c r="B90" s="1"/>
    </row>
    <row r="91">
      <c r="A91" s="1" t="str">
        <f>IFERROR(__xludf.DUMMYFUNCTION("""COMPUTED_VALUE"""),"140289;INF843K01FN5;-;Edelweiss Banking and PSU Debt Fund - Regular Plan Weekly - IDCW Option;10.1445;25-Aug-2023")</f>
        <v>140289;INF843K01FN5;-;Edelweiss Banking and PSU Debt Fund - Regular Plan Weekly - IDCW Option;10.1445;25-Aug-2023</v>
      </c>
      <c r="B91" s="1"/>
    </row>
    <row r="92">
      <c r="A92" s="1"/>
      <c r="B92" s="1"/>
    </row>
    <row r="93">
      <c r="A93" s="1" t="str">
        <f>IFERROR(__xludf.DUMMYFUNCTION("""COMPUTED_VALUE"""),"Franklin Templeton Mutual Fund")</f>
        <v>Franklin Templeton Mutual Fund</v>
      </c>
      <c r="B93" s="1"/>
    </row>
    <row r="94">
      <c r="A94" s="1"/>
      <c r="B94" s="1"/>
    </row>
    <row r="95">
      <c r="A95" s="1" t="str">
        <f>IFERROR(__xludf.DUMMYFUNCTION("""COMPUTED_VALUE"""),"129008;INF090I01KR8;-;Franklin India Banking &amp; PSU Debt Fund - Direct - Growth;20.2732;25-Aug-2023")</f>
        <v>129008;INF090I01KR8;-;Franklin India Banking &amp; PSU Debt Fund - Direct - Growth;20.2732;25-Aug-2023</v>
      </c>
      <c r="B95" s="1"/>
    </row>
    <row r="96">
      <c r="A96" s="1" t="str">
        <f>IFERROR(__xludf.DUMMYFUNCTION("""COMPUTED_VALUE"""),"129006;INF090I01KO5;-;Franklin India Banking &amp; PSU Debt Fund - Growth;19.5247;25-Aug-2023")</f>
        <v>129006;INF090I01KO5;-;Franklin India Banking &amp; PSU Debt Fund - Growth;19.5247;25-Aug-2023</v>
      </c>
      <c r="B96" s="1"/>
    </row>
    <row r="97">
      <c r="A97" s="1" t="str">
        <f>IFERROR(__xludf.DUMMYFUNCTION("""COMPUTED_VALUE"""),"129009;INF090I01KS6;INF090I01KT4;Franklin India Banking and PSU Debt Fund - Direct - IDCW ;10.9609;25-Aug-2023")</f>
        <v>129009;INF090I01KS6;INF090I01KT4;Franklin India Banking and PSU Debt Fund - Direct - IDCW ;10.9609;25-Aug-2023</v>
      </c>
      <c r="B97" s="1"/>
    </row>
    <row r="98">
      <c r="A98" s="1" t="str">
        <f>IFERROR(__xludf.DUMMYFUNCTION("""COMPUTED_VALUE"""),"129007;INF090I01KP2;INF090I01KQ0;Franklin India Banking and PSU Debt Fund - IDCW ;10.4208;25-Aug-2023")</f>
        <v>129007;INF090I01KP2;INF090I01KQ0;Franklin India Banking and PSU Debt Fund - IDCW ;10.4208;25-Aug-2023</v>
      </c>
      <c r="B98" s="1"/>
    </row>
    <row r="99">
      <c r="A99" s="1"/>
      <c r="B99" s="1"/>
    </row>
    <row r="100">
      <c r="A100" s="1" t="str">
        <f>IFERROR(__xludf.DUMMYFUNCTION("""COMPUTED_VALUE"""),"HDFC Mutual Fund")</f>
        <v>HDFC Mutual Fund</v>
      </c>
      <c r="B100" s="1"/>
    </row>
    <row r="101">
      <c r="A101" s="1"/>
      <c r="B101" s="1"/>
    </row>
    <row r="102">
      <c r="A102" s="1" t="str">
        <f>IFERROR(__xludf.DUMMYFUNCTION("""COMPUTED_VALUE"""),"128628;INF179KA1JC4;-;HDFC Banking and PSU Debt Fund - Growth Option;19.9768;25-Aug-2023")</f>
        <v>128628;INF179KA1JC4;-;HDFC Banking and PSU Debt Fund - Growth Option;19.9768;25-Aug-2023</v>
      </c>
      <c r="B102" s="1"/>
    </row>
    <row r="103">
      <c r="A103" s="1" t="str">
        <f>IFERROR(__xludf.DUMMYFUNCTION("""COMPUTED_VALUE"""),"128629;INF179KA1IZ7;-;HDFC Banking and PSU Debt Fund - Growth Option - Direct Plan;20.6508;25-Aug-2023")</f>
        <v>128629;INF179KA1IZ7;-;HDFC Banking and PSU Debt Fund - Growth Option - Direct Plan;20.6508;25-Aug-2023</v>
      </c>
      <c r="B103" s="1"/>
    </row>
    <row r="104">
      <c r="A104" s="1" t="str">
        <f>IFERROR(__xludf.DUMMYFUNCTION("""COMPUTED_VALUE"""),"128627;INF179KA1JD2;INF179KA1JE0;HDFC Banking and PSU Debt Fund - IDCW Option;10.1524;25-Aug-2023")</f>
        <v>128627;INF179KA1JD2;INF179KA1JE0;HDFC Banking and PSU Debt Fund - IDCW Option;10.1524;25-Aug-2023</v>
      </c>
      <c r="B104" s="1"/>
    </row>
    <row r="105">
      <c r="A105" s="1" t="str">
        <f>IFERROR(__xludf.DUMMYFUNCTION("""COMPUTED_VALUE"""),"128626;INF179KA1JA8;INF179KA1JB6;HDFC Banking and PSU Debt Fund - IDCW Option - Direct Plan;10.0428;25-Aug-2023")</f>
        <v>128626;INF179KA1JA8;INF179KA1JB6;HDFC Banking and PSU Debt Fund - IDCW Option - Direct Plan;10.0428;25-Aug-2023</v>
      </c>
      <c r="B105" s="1"/>
    </row>
    <row r="106">
      <c r="A106" s="1"/>
      <c r="B106" s="1"/>
    </row>
    <row r="107">
      <c r="A107" s="1" t="str">
        <f>IFERROR(__xludf.DUMMYFUNCTION("""COMPUTED_VALUE"""),"HSBC Mutual Fund")</f>
        <v>HSBC Mutual Fund</v>
      </c>
      <c r="B107" s="1"/>
    </row>
    <row r="108">
      <c r="A108" s="1"/>
      <c r="B108" s="1"/>
    </row>
    <row r="109">
      <c r="A109" s="1" t="str">
        <f>IFERROR(__xludf.DUMMYFUNCTION("""COMPUTED_VALUE"""),"151108;-;INF917K01HL7;HSBC Banking and PSU Debt Fund - Direct Daily IDCW;11.1907;25-Aug-2023")</f>
        <v>151108;-;INF917K01HL7;HSBC Banking and PSU Debt Fund - Direct Daily IDCW;11.1907;25-Aug-2023</v>
      </c>
      <c r="B109" s="1"/>
    </row>
    <row r="110">
      <c r="A110" s="1" t="str">
        <f>IFERROR(__xludf.DUMMYFUNCTION("""COMPUTED_VALUE"""),"151107;INF917K01HH5;-;HSBC Banking and PSU Debt Fund - Direct Growth;22.144;25-Aug-2023")</f>
        <v>151107;INF917K01HH5;-;HSBC Banking and PSU Debt Fund - Direct Growth;22.144;25-Aug-2023</v>
      </c>
      <c r="B110" s="1"/>
    </row>
    <row r="111">
      <c r="A111" s="1" t="str">
        <f>IFERROR(__xludf.DUMMYFUNCTION("""COMPUTED_VALUE"""),"151106;INF917K01HJ1;INF917K01HI3;HSBC Banking and PSU Debt Fund - Direct Monthly IDCW;11.3122;25-Aug-2023")</f>
        <v>151106;INF917K01HJ1;INF917K01HI3;HSBC Banking and PSU Debt Fund - Direct Monthly IDCW;11.3122;25-Aug-2023</v>
      </c>
      <c r="B111" s="1"/>
    </row>
    <row r="112">
      <c r="A112" s="1" t="str">
        <f>IFERROR(__xludf.DUMMYFUNCTION("""COMPUTED_VALUE"""),"151109;-;INF917K01HK9;HSBC Banking and PSU Debt Fund - Direct Weekly IDCW;10.359;25-Aug-2023")</f>
        <v>151109;-;INF917K01HK9;HSBC Banking and PSU Debt Fund - Direct Weekly IDCW;10.359;25-Aug-2023</v>
      </c>
      <c r="B112" s="1"/>
    </row>
    <row r="113">
      <c r="A113" s="1" t="str">
        <f>IFERROR(__xludf.DUMMYFUNCTION("""COMPUTED_VALUE"""),"151102;-;INF677K01AF4;HSBC Banking and PSU Debt Fund - Regular Daily IDCW;11.116;25-Aug-2023")</f>
        <v>151102;-;INF677K01AF4;HSBC Banking and PSU Debt Fund - Regular Daily IDCW;11.116;25-Aug-2023</v>
      </c>
      <c r="B113" s="1"/>
    </row>
    <row r="114">
      <c r="A114" s="1" t="str">
        <f>IFERROR(__xludf.DUMMYFUNCTION("""COMPUTED_VALUE"""),"151104;INF677K01AE7;-;HSBC Banking and PSU Debt Fund - Regular Growth;21.1708;25-Aug-2023")</f>
        <v>151104;INF677K01AE7;-;HSBC Banking and PSU Debt Fund - Regular Growth;21.1708;25-Aug-2023</v>
      </c>
      <c r="B114" s="1"/>
    </row>
    <row r="115">
      <c r="A115" s="1" t="str">
        <f>IFERROR(__xludf.DUMMYFUNCTION("""COMPUTED_VALUE"""),"151105;INF677K01AI8;INF677K01AJ6;HSBC Banking and PSU Debt Fund - Regular Monthly IDCW;10.7523;25-Aug-2023")</f>
        <v>151105;INF677K01AI8;INF677K01AJ6;HSBC Banking and PSU Debt Fund - Regular Monthly IDCW;10.7523;25-Aug-2023</v>
      </c>
      <c r="B115" s="1"/>
    </row>
    <row r="116">
      <c r="A116" s="1" t="str">
        <f>IFERROR(__xludf.DUMMYFUNCTION("""COMPUTED_VALUE"""),"151103;-;INF917K01HM5;HSBC Banking and PSU Debt Fund - Regular Weekly IDCW;10.3316;25-Aug-2023")</f>
        <v>151103;-;INF917K01HM5;HSBC Banking and PSU Debt Fund - Regular Weekly IDCW;10.3316;25-Aug-2023</v>
      </c>
      <c r="B116" s="1"/>
    </row>
    <row r="117">
      <c r="A117" s="1"/>
      <c r="B117" s="1"/>
    </row>
    <row r="118">
      <c r="A118" s="1" t="str">
        <f>IFERROR(__xludf.DUMMYFUNCTION("""COMPUTED_VALUE"""),"ICICI Prudential Mutual Fund")</f>
        <v>ICICI Prudential Mutual Fund</v>
      </c>
      <c r="B118" s="1"/>
    </row>
    <row r="119">
      <c r="A119" s="1"/>
      <c r="B119" s="1"/>
    </row>
    <row r="120">
      <c r="A120" s="1" t="str">
        <f>IFERROR(__xludf.DUMMYFUNCTION("""COMPUTED_VALUE"""),"112343;INF109K01WS5;INF109K01RV9;ICICI Prudential Banking and PSU Debt Fund -  Daily IDCW;10.0549;16-Sep-2022")</f>
        <v>112343;INF109K01WS5;INF109K01RV9;ICICI Prudential Banking and PSU Debt Fund -  Daily IDCW;10.0549;16-Sep-2022</v>
      </c>
      <c r="B120" s="1"/>
    </row>
    <row r="121">
      <c r="A121" s="1" t="str">
        <f>IFERROR(__xludf.DUMMYFUNCTION("""COMPUTED_VALUE"""),"112344;INF109K01WR7;INF109K01RU1;ICICI Prudential Banking and PSU Debt Fund -  Weekly IDCW;10.2427;16-Sep-2022")</f>
        <v>112344;INF109K01WR7;INF109K01RU1;ICICI Prudential Banking and PSU Debt Fund -  Weekly IDCW;10.2427;16-Sep-2022</v>
      </c>
      <c r="B121" s="1"/>
    </row>
    <row r="122">
      <c r="A122" s="1" t="str">
        <f>IFERROR(__xludf.DUMMYFUNCTION("""COMPUTED_VALUE"""),"130897;INF109KA1B57;-;ICICI Prudential Banking and PSU Debt Fund - Bonus;15.8889;24-Apr-2020")</f>
        <v>130897;INF109KA1B57;-;ICICI Prudential Banking and PSU Debt Fund - Bonus;15.8889;24-Apr-2020</v>
      </c>
      <c r="B122" s="1"/>
    </row>
    <row r="123">
      <c r="A123" s="1" t="str">
        <f>IFERROR(__xludf.DUMMYFUNCTION("""COMPUTED_VALUE"""),"120257;INF109K01Z89;INF109K01Z97;ICICI Prudential Banking and PSU Debt Fund - Direct Plan -  Daily IDCW;10.2538;16-Sep-2022")</f>
        <v>120257;INF109K01Z89;INF109K01Z97;ICICI Prudential Banking and PSU Debt Fund - Direct Plan -  Daily IDCW;10.2538;16-Sep-2022</v>
      </c>
      <c r="B123" s="1"/>
    </row>
    <row r="124">
      <c r="A124" s="1" t="str">
        <f>IFERROR(__xludf.DUMMYFUNCTION("""COMPUTED_VALUE"""),"120256;INF109K010A6;-;ICICI Prudential Banking and PSU Debt Fund - Direct Plan -  Growth;29.4386;25-Aug-2023")</f>
        <v>120256;INF109K010A6;-;ICICI Prudential Banking and PSU Debt Fund - Direct Plan -  Growth;29.4386;25-Aug-2023</v>
      </c>
      <c r="B124" s="1"/>
    </row>
    <row r="125">
      <c r="A125" s="1" t="str">
        <f>IFERROR(__xludf.DUMMYFUNCTION("""COMPUTED_VALUE"""),"120258;INF109K011A4;INF109K012A2;ICICI Prudential Banking and PSU Debt Fund - Direct Plan -  Quarterly IDCW;12.7170;25-Aug-2023")</f>
        <v>120258;INF109K011A4;INF109K012A2;ICICI Prudential Banking and PSU Debt Fund - Direct Plan -  Quarterly IDCW;12.7170;25-Aug-2023</v>
      </c>
      <c r="B125" s="1"/>
    </row>
    <row r="126">
      <c r="A126" s="1" t="str">
        <f>IFERROR(__xludf.DUMMYFUNCTION("""COMPUTED_VALUE"""),"120255;INF109K013A0;INF109K014A8;ICICI Prudential Banking and PSU Debt Fund - Direct Plan -  Weekly IDCW;10.3708;16-Sep-2022")</f>
        <v>120255;INF109K013A0;INF109K014A8;ICICI Prudential Banking and PSU Debt Fund - Direct Plan -  Weekly IDCW;10.3708;16-Sep-2022</v>
      </c>
      <c r="B126" s="1"/>
    </row>
    <row r="127">
      <c r="A127" s="1" t="str">
        <f>IFERROR(__xludf.DUMMYFUNCTION("""COMPUTED_VALUE"""),"130950;INF109KA1B40;-;ICICI Prudential Banking and PSU Debt Fund - Direct Plan Bonus;13.8665;10-Apr-2018")</f>
        <v>130950;INF109KA1B40;-;ICICI Prudential Banking and PSU Debt Fund - Direct Plan Bonus;13.8665;10-Apr-2018</v>
      </c>
      <c r="B127" s="1"/>
    </row>
    <row r="128">
      <c r="A128" s="1" t="str">
        <f>IFERROR(__xludf.DUMMYFUNCTION("""COMPUTED_VALUE"""),"131148;INF109KA1M96;INF109KA1M88;ICICI Prudential Banking and PSU Debt Fund - Direct Plan Half Yearly IDCW Option;13.1098;16-Sep-2022")</f>
        <v>131148;INF109KA1M96;INF109KA1M88;ICICI Prudential Banking and PSU Debt Fund - Direct Plan Half Yearly IDCW Option;13.1098;16-Sep-2022</v>
      </c>
      <c r="B128" s="1"/>
    </row>
    <row r="129">
      <c r="A129" s="1" t="str">
        <f>IFERROR(__xludf.DUMMYFUNCTION("""COMPUTED_VALUE"""),"112342;INF109K01RT3;-;ICICI Prudential Banking and PSU Debt Fund - Growth;28.4162;25-Aug-2023")</f>
        <v>112342;INF109K01RT3;-;ICICI Prudential Banking and PSU Debt Fund - Growth;28.4162;25-Aug-2023</v>
      </c>
      <c r="B129" s="1"/>
    </row>
    <row r="130">
      <c r="A130" s="1" t="str">
        <f>IFERROR(__xludf.DUMMYFUNCTION("""COMPUTED_VALUE"""),"116174;INF109K01YE1;INF109K01YD3;ICICI Prudential Banking and PSU Debt Fund - Quarterly IDCW;10.7773;25-Aug-2023")</f>
        <v>116174;INF109K01YE1;INF109K01YD3;ICICI Prudential Banking and PSU Debt Fund - Quarterly IDCW;10.7773;25-Aug-2023</v>
      </c>
      <c r="B130" s="1"/>
    </row>
    <row r="131">
      <c r="A131" s="1" t="str">
        <f>IFERROR(__xludf.DUMMYFUNCTION("""COMPUTED_VALUE"""),"131147;INF109KA1M70;INF109KA1M62;ICICI Prudential Banking and PSU Debt Fund Half Yearly IDCW Option;12.9261;16-Sep-2022")</f>
        <v>131147;INF109KA1M70;INF109KA1M62;ICICI Prudential Banking and PSU Debt Fund Half Yearly IDCW Option;12.9261;16-Sep-2022</v>
      </c>
      <c r="B131" s="1"/>
    </row>
    <row r="132">
      <c r="A132" s="1" t="str">
        <f>IFERROR(__xludf.DUMMYFUNCTION("""COMPUTED_VALUE"""),"113247;INF109K01WW7;INF109K01JM5;ICICI Prudential Banking and PSU Debt Fund Retail Daily Dividend;10.0122;24-Apr-2020")</f>
        <v>113247;INF109K01WW7;INF109K01JM5;ICICI Prudential Banking and PSU Debt Fund Retail Daily Dividend;10.0122;24-Apr-2020</v>
      </c>
      <c r="B132" s="1"/>
    </row>
    <row r="133">
      <c r="A133" s="1" t="str">
        <f>IFERROR(__xludf.DUMMYFUNCTION("""COMPUTED_VALUE"""),"113242;INF109K01II5;-;ICICI Prudential Banking and PSU Debt Fund Retail Growth;21.631;24-Apr-2020")</f>
        <v>113242;INF109K01II5;-;ICICI Prudential Banking and PSU Debt Fund Retail Growth;21.631;24-Apr-2020</v>
      </c>
      <c r="B133" s="1"/>
    </row>
    <row r="134">
      <c r="A134" s="1" t="str">
        <f>IFERROR(__xludf.DUMMYFUNCTION("""COMPUTED_VALUE"""),"113243;INF109K01WV9;INF109K01IJ3;ICICI Prudential Banking and PSU Debt Fund Retail Weekly Dividend;10.3305;20-Aug-2015")</f>
        <v>113243;INF109K01WV9;INF109K01IJ3;ICICI Prudential Banking and PSU Debt Fund Retail Weekly Dividend;10.3305;20-Aug-2015</v>
      </c>
      <c r="B134" s="1"/>
    </row>
    <row r="135">
      <c r="A135" s="1"/>
      <c r="B135" s="1"/>
    </row>
    <row r="136">
      <c r="A136" s="1" t="str">
        <f>IFERROR(__xludf.DUMMYFUNCTION("""COMPUTED_VALUE"""),"Invesco Mutual Fund")</f>
        <v>Invesco Mutual Fund</v>
      </c>
      <c r="B136" s="1"/>
    </row>
    <row r="137">
      <c r="A137" s="1"/>
      <c r="B137" s="1"/>
    </row>
    <row r="138">
      <c r="A138" s="1" t="str">
        <f>IFERROR(__xludf.DUMMYFUNCTION("""COMPUTED_VALUE"""),"118234;-;INF205K01JX8;Invesco India Banking &amp; PSU Debt Fund - Daily IDCW (Reinvestment);1011.3627;25-Aug-2023")</f>
        <v>118234;-;INF205K01JX8;Invesco India Banking &amp; PSU Debt Fund - Daily IDCW (Reinvestment);1011.3627;25-Aug-2023</v>
      </c>
      <c r="B138" s="1"/>
    </row>
    <row r="139">
      <c r="A139" s="1" t="str">
        <f>IFERROR(__xludf.DUMMYFUNCTION("""COMPUTED_VALUE"""),"120444;INF205K01KT4;-;Invesco India Banking &amp; PSU Debt Fund - Direct Plan -  Growth Option;2086.8768;25-Aug-2023")</f>
        <v>120444;INF205K01KT4;-;Invesco India Banking &amp; PSU Debt Fund - Direct Plan -  Growth Option;2086.8768;25-Aug-2023</v>
      </c>
      <c r="B139" s="1"/>
    </row>
    <row r="140">
      <c r="A140" s="1" t="str">
        <f>IFERROR(__xludf.DUMMYFUNCTION("""COMPUTED_VALUE"""),"120443;-;INF205K01KS6;Invesco India Banking &amp; PSU Debt Fund - Direct Plan - Daily IDCW (Reinvestment);1032.2094;25-Aug-2023")</f>
        <v>120443;-;INF205K01KS6;Invesco India Banking &amp; PSU Debt Fund - Direct Plan - Daily IDCW (Reinvestment);1032.2094;25-Aug-2023</v>
      </c>
      <c r="B140" s="1"/>
    </row>
    <row r="141">
      <c r="A141" s="1" t="str">
        <f>IFERROR(__xludf.DUMMYFUNCTION("""COMPUTED_VALUE"""),"120445;INF205K01KU2;INF205K01KV0;Invesco India Banking &amp; PSU Debt Fund - Direct Plan - Monthly IDCW (Payout / Reinvestment);1013.8213;25-Aug-2023")</f>
        <v>120445;INF205K01KU2;INF205K01KV0;Invesco India Banking &amp; PSU Debt Fund - Direct Plan - Monthly IDCW (Payout / Reinvestment);1013.8213;25-Aug-2023</v>
      </c>
      <c r="B141" s="1"/>
    </row>
    <row r="142">
      <c r="A142" s="1" t="str">
        <f>IFERROR(__xludf.DUMMYFUNCTION("""COMPUTED_VALUE"""),"118232;INF205K01JV2;-;Invesco India Banking &amp; PSU Debt Fund - Growth Option;1960.5693;25-Aug-2023")</f>
        <v>118232;INF205K01JV2;-;Invesco India Banking &amp; PSU Debt Fund - Growth Option;1960.5693;25-Aug-2023</v>
      </c>
      <c r="B142" s="1"/>
    </row>
    <row r="143">
      <c r="A143" s="1" t="str">
        <f>IFERROR(__xludf.DUMMYFUNCTION("""COMPUTED_VALUE"""),"118233;INF205K01JW0;INF205K01JY6;Invesco India Banking &amp; PSU Debt Fund - Monthly IDCW (Payout / Reinvestment);1033.7018;25-Aug-2023")</f>
        <v>118233;INF205K01JW0;INF205K01JY6;Invesco India Banking &amp; PSU Debt Fund - Monthly IDCW (Payout / Reinvestment);1033.7018;25-Aug-2023</v>
      </c>
      <c r="B143" s="1"/>
    </row>
    <row r="144">
      <c r="A144" s="1"/>
      <c r="B144" s="1"/>
    </row>
    <row r="145">
      <c r="A145" s="1" t="str">
        <f>IFERROR(__xludf.DUMMYFUNCTION("""COMPUTED_VALUE"""),"ITI Mutual Fund")</f>
        <v>ITI Mutual Fund</v>
      </c>
      <c r="B145" s="1"/>
    </row>
    <row r="146">
      <c r="A146" s="1"/>
      <c r="B146" s="1"/>
    </row>
    <row r="147">
      <c r="A147" s="1" t="str">
        <f>IFERROR(__xludf.DUMMYFUNCTION("""COMPUTED_VALUE"""),"148534;INF00XX01861;-;ITI Banking &amp; PSU Debt Fund - Direct Plan - Growth Option;11.5564;25-Aug-2023")</f>
        <v>148534;INF00XX01861;-;ITI Banking &amp; PSU Debt Fund - Direct Plan - Growth Option;11.5564;25-Aug-2023</v>
      </c>
      <c r="B147" s="1"/>
    </row>
    <row r="148">
      <c r="A148" s="1" t="str">
        <f>IFERROR(__xludf.DUMMYFUNCTION("""COMPUTED_VALUE"""),"148536;INF00XX01879;INF00XX01887;ITI Banking &amp; PSU Debt Fund - Direct Plan - IDCW Option;11.5564;25-Aug-2023")</f>
        <v>148536;INF00XX01879;INF00XX01887;ITI Banking &amp; PSU Debt Fund - Direct Plan - IDCW Option;11.5564;25-Aug-2023</v>
      </c>
      <c r="B148" s="1"/>
    </row>
    <row r="149">
      <c r="A149" s="1" t="str">
        <f>IFERROR(__xludf.DUMMYFUNCTION("""COMPUTED_VALUE"""),"148535;INF00XX01838;-;ITI Banking &amp; PSU Debt Fund - Regular Plan - Growth Option;11.3775;25-Aug-2023")</f>
        <v>148535;INF00XX01838;-;ITI Banking &amp; PSU Debt Fund - Regular Plan - Growth Option;11.3775;25-Aug-2023</v>
      </c>
      <c r="B149" s="1"/>
    </row>
    <row r="150">
      <c r="A150" s="1" t="str">
        <f>IFERROR(__xludf.DUMMYFUNCTION("""COMPUTED_VALUE"""),"148533;INF00XX01846;INF00XX01853;ITI Banking &amp; PSU Debt Fund - Regular Plan - IDCW Option;11.3775;25-Aug-2023")</f>
        <v>148533;INF00XX01846;INF00XX01853;ITI Banking &amp; PSU Debt Fund - Regular Plan - IDCW Option;11.3775;25-Aug-2023</v>
      </c>
      <c r="B150" s="1"/>
    </row>
    <row r="151">
      <c r="A151" s="1"/>
      <c r="B151" s="1"/>
    </row>
    <row r="152">
      <c r="A152" s="1" t="str">
        <f>IFERROR(__xludf.DUMMYFUNCTION("""COMPUTED_VALUE"""),"Kotak Mahindra Mutual Fund")</f>
        <v>Kotak Mahindra Mutual Fund</v>
      </c>
      <c r="B152" s="1"/>
    </row>
    <row r="153">
      <c r="A153" s="1"/>
      <c r="B153" s="1"/>
    </row>
    <row r="154">
      <c r="A154" s="1" t="str">
        <f>IFERROR(__xludf.DUMMYFUNCTION("""COMPUTED_VALUE"""),"123688;INF174K01FS4;INF174K01FR6;Kotak Banking and PSU Debt - Annual Dividend;16.1842;15-Sep-2017")</f>
        <v>123688;INF174K01FS4;INF174K01FR6;Kotak Banking and PSU Debt - Annual Dividend;16.1842;15-Sep-2017</v>
      </c>
      <c r="B154" s="1"/>
    </row>
    <row r="155">
      <c r="A155" s="1" t="str">
        <f>IFERROR(__xludf.DUMMYFUNCTION("""COMPUTED_VALUE"""),"123858;-;INF174K01SD9;Kotak Banking and PSU Debt - Daily Dividend Reinvestment;10.188;15-Sep-2017")</f>
        <v>123858;-;INF174K01SD9;Kotak Banking and PSU Debt - Daily Dividend Reinvestment;10.188;15-Sep-2017</v>
      </c>
      <c r="B155" s="1"/>
    </row>
    <row r="156">
      <c r="A156" s="1" t="str">
        <f>IFERROR(__xludf.DUMMYFUNCTION("""COMPUTED_VALUE"""),"123859;INF174K01SE7;-;Kotak Banking and PSU Debt - Direct Daily Dividend Reinvestment;10.2604;15-Sep-2017")</f>
        <v>123859;INF174K01SE7;-;Kotak Banking and PSU Debt - Direct Daily Dividend Reinvestment;10.2604;15-Sep-2017</v>
      </c>
      <c r="B156" s="1"/>
    </row>
    <row r="157">
      <c r="A157" s="1" t="str">
        <f>IFERROR(__xludf.DUMMYFUNCTION("""COMPUTED_VALUE"""),"123690;INF174K01FO3;-;Kotak Banking and PSU Debt - Growth;56.6608;25-Aug-2023")</f>
        <v>123690;INF174K01FO3;-;Kotak Banking and PSU Debt - Growth;56.6608;25-Aug-2023</v>
      </c>
      <c r="B157" s="1"/>
    </row>
    <row r="158">
      <c r="A158" s="1" t="str">
        <f>IFERROR(__xludf.DUMMYFUNCTION("""COMPUTED_VALUE"""),"123691;INF174K01FQ8;INF174K01FP0;Kotak Banking and PSU Debt - Monthly Payout of Income Distribution cum capital withdrawal option;10.6453;25-Aug-2023")</f>
        <v>123691;INF174K01FQ8;INF174K01FP0;Kotak Banking and PSU Debt - Monthly Payout of Income Distribution cum capital withdrawal option;10.6453;25-Aug-2023</v>
      </c>
      <c r="B158" s="1"/>
    </row>
    <row r="159">
      <c r="A159" s="1" t="str">
        <f>IFERROR(__xludf.DUMMYFUNCTION("""COMPUTED_VALUE"""),"123689;INF174K01KI5;INF174K01KJ3;Kotak Banking and PSU Debt Direct - Annual Dividend;17.1427;15-Sep-2017")</f>
        <v>123689;INF174K01KI5;INF174K01KJ3;Kotak Banking and PSU Debt Direct - Annual Dividend;17.1427;15-Sep-2017</v>
      </c>
      <c r="B159" s="1"/>
    </row>
    <row r="160">
      <c r="A160" s="1" t="str">
        <f>IFERROR(__xludf.DUMMYFUNCTION("""COMPUTED_VALUE"""),"123693;INF174K01KH7;-;Kotak Banking and PSU Debt Direct - Growth;58.6096;25-Aug-2023")</f>
        <v>123693;INF174K01KH7;-;Kotak Banking and PSU Debt Direct - Growth;58.6096;25-Aug-2023</v>
      </c>
      <c r="B160" s="1"/>
    </row>
    <row r="161">
      <c r="A161" s="1" t="str">
        <f>IFERROR(__xludf.DUMMYFUNCTION("""COMPUTED_VALUE"""),"123692;INF174K01KK1;-;Kotak Banking and PSU Debt Direct - Monthly Payout of Income Distribution cum capital withdrawal option;10.262;25-Aug-2023")</f>
        <v>123692;INF174K01KK1;-;Kotak Banking and PSU Debt Direct - Monthly Payout of Income Distribution cum capital withdrawal option;10.262;25-Aug-2023</v>
      </c>
      <c r="B161" s="1"/>
    </row>
    <row r="162">
      <c r="A162" s="1"/>
      <c r="B162" s="1"/>
    </row>
    <row r="163">
      <c r="A163" s="1" t="str">
        <f>IFERROR(__xludf.DUMMYFUNCTION("""COMPUTED_VALUE"""),"LIC Mutual Fund")</f>
        <v>LIC Mutual Fund</v>
      </c>
      <c r="B163" s="1"/>
    </row>
    <row r="164">
      <c r="A164" s="1"/>
      <c r="B164" s="1"/>
    </row>
    <row r="165">
      <c r="A165" s="1" t="str">
        <f>IFERROR(__xludf.DUMMYFUNCTION("""COMPUTED_VALUE"""),"120337;INF767K01GJ2;INF767K01GM6;LIC MF Banking &amp; PSU Debt Fund-Direct Plan-Daily IDCW;13.0711;25-Aug-2023")</f>
        <v>120337;INF767K01GJ2;INF767K01GM6;LIC MF Banking &amp; PSU Debt Fund-Direct Plan-Daily IDCW;13.0711;25-Aug-2023</v>
      </c>
      <c r="B165" s="1"/>
    </row>
    <row r="166">
      <c r="A166" s="1" t="str">
        <f>IFERROR(__xludf.DUMMYFUNCTION("""COMPUTED_VALUE"""),"120338;INF767K01GI4;-;LIC MF Banking &amp; PSU Debt Fund-Direct Plan-Growth;32.3048;25-Aug-2023")</f>
        <v>120338;INF767K01GI4;-;LIC MF Banking &amp; PSU Debt Fund-Direct Plan-Growth;32.3048;25-Aug-2023</v>
      </c>
      <c r="B166" s="1"/>
    </row>
    <row r="167">
      <c r="A167" s="1" t="str">
        <f>IFERROR(__xludf.DUMMYFUNCTION("""COMPUTED_VALUE"""),"120339;INF767K01GK0;INF767K01GN4;LIC MF Banking &amp; PSU Debt Fund-Direct Plan-Monthly IDCW;12.1664;25-Aug-2023")</f>
        <v>120339;INF767K01GK0;INF767K01GN4;LIC MF Banking &amp; PSU Debt Fund-Direct Plan-Monthly IDCW;12.1664;25-Aug-2023</v>
      </c>
      <c r="B167" s="1"/>
    </row>
    <row r="168">
      <c r="A168" s="1" t="str">
        <f>IFERROR(__xludf.DUMMYFUNCTION("""COMPUTED_VALUE"""),"120336;INF767K01GL8;INF767K01GO2;LIC MF Banking &amp; PSU Debt Fund-Direct Plan-Weekly IDCW;10.0581;25-Aug-2023")</f>
        <v>120336;INF767K01GL8;INF767K01GO2;LIC MF Banking &amp; PSU Debt Fund-Direct Plan-Weekly IDCW;10.0581;25-Aug-2023</v>
      </c>
      <c r="B168" s="1"/>
    </row>
    <row r="169">
      <c r="A169" s="1" t="str">
        <f>IFERROR(__xludf.DUMMYFUNCTION("""COMPUTED_VALUE"""),"105822;INF767K01519;INF767K01527;LIC MF Banking &amp; PSU Debt Fund-Regular Plan-Daily IDCW;10.8899;25-Aug-2023")</f>
        <v>105822;INF767K01519;INF767K01527;LIC MF Banking &amp; PSU Debt Fund-Regular Plan-Daily IDCW;10.8899;25-Aug-2023</v>
      </c>
      <c r="B169" s="1"/>
    </row>
    <row r="170">
      <c r="A170" s="1" t="str">
        <f>IFERROR(__xludf.DUMMYFUNCTION("""COMPUTED_VALUE"""),"105823;INF767K01535;-;LIC MF Banking &amp; PSU Debt Fund-Regular Plan-Growth;30.2332;25-Aug-2023")</f>
        <v>105823;INF767K01535;-;LIC MF Banking &amp; PSU Debt Fund-Regular Plan-Growth;30.2332;25-Aug-2023</v>
      </c>
      <c r="B170" s="1"/>
    </row>
    <row r="171">
      <c r="A171" s="1" t="str">
        <f>IFERROR(__xludf.DUMMYFUNCTION("""COMPUTED_VALUE"""),"105856;INF767K01543;INF767K01550;LIC MF Banking &amp; PSU Debt Fund-Regular Plan-Monthly IDCW;11.3152;25-Aug-2023")</f>
        <v>105856;INF767K01543;INF767K01550;LIC MF Banking &amp; PSU Debt Fund-Regular Plan-Monthly IDCW;11.3152;25-Aug-2023</v>
      </c>
      <c r="B171" s="1"/>
    </row>
    <row r="172">
      <c r="A172" s="1" t="str">
        <f>IFERROR(__xludf.DUMMYFUNCTION("""COMPUTED_VALUE"""),"105857;INF767K01568;INF767K01576;LIC MF Banking &amp; PSU Debt Fund-Regular Plan-Weekly IDCW;10.0556;25-Aug-2023")</f>
        <v>105857;INF767K01568;INF767K01576;LIC MF Banking &amp; PSU Debt Fund-Regular Plan-Weekly IDCW;10.0556;25-Aug-2023</v>
      </c>
      <c r="B172" s="1"/>
    </row>
    <row r="173">
      <c r="A173" s="1"/>
      <c r="B173" s="1"/>
    </row>
    <row r="174">
      <c r="A174" s="1" t="str">
        <f>IFERROR(__xludf.DUMMYFUNCTION("""COMPUTED_VALUE"""),"Mirae Asset Mutual Fund")</f>
        <v>Mirae Asset Mutual Fund</v>
      </c>
      <c r="B174" s="1"/>
    </row>
    <row r="175">
      <c r="A175" s="1"/>
      <c r="B175" s="1"/>
    </row>
    <row r="176">
      <c r="A176" s="1" t="str">
        <f>IFERROR(__xludf.DUMMYFUNCTION("""COMPUTED_VALUE"""),"148419;INF769K01FY9;-;Mirae Asset Banking and PSU Debt Fund Direct Growth;11.4431;25-Aug-2023")</f>
        <v>148419;INF769K01FY9;-;Mirae Asset Banking and PSU Debt Fund Direct Growth;11.4431;25-Aug-2023</v>
      </c>
      <c r="B176" s="1"/>
    </row>
    <row r="177">
      <c r="A177" s="1" t="str">
        <f>IFERROR(__xludf.DUMMYFUNCTION("""COMPUTED_VALUE"""),"148417;INF769K01FX1;INF769K01FZ6;Mirae Asset Banking and PSU Debt Fund Direct IDCW;11.4425;25-Aug-2023")</f>
        <v>148417;INF769K01FX1;INF769K01FZ6;Mirae Asset Banking and PSU Debt Fund Direct IDCW;11.4425;25-Aug-2023</v>
      </c>
      <c r="B177" s="1"/>
    </row>
    <row r="178">
      <c r="A178" s="1" t="str">
        <f>IFERROR(__xludf.DUMMYFUNCTION("""COMPUTED_VALUE"""),"148416;INF769K01FV5;-;Mirae Asset Banking and PSU Debt Fund Regular Growth Plan;11.2875;25-Aug-2023")</f>
        <v>148416;INF769K01FV5;-;Mirae Asset Banking and PSU Debt Fund Regular Growth Plan;11.2875;25-Aug-2023</v>
      </c>
      <c r="B178" s="1"/>
    </row>
    <row r="179">
      <c r="A179" s="1" t="str">
        <f>IFERROR(__xludf.DUMMYFUNCTION("""COMPUTED_VALUE"""),"148418;INF769K01FU7;INF769K01FW3;Mirae Asset Banking and PSU Debt Fund Regular IDCW;11.2885;25-Aug-2023")</f>
        <v>148418;INF769K01FU7;INF769K01FW3;Mirae Asset Banking and PSU Debt Fund Regular IDCW;11.2885;25-Aug-2023</v>
      </c>
      <c r="B179" s="1"/>
    </row>
    <row r="180">
      <c r="A180" s="1"/>
      <c r="B180" s="1"/>
    </row>
    <row r="181">
      <c r="A181" s="1" t="str">
        <f>IFERROR(__xludf.DUMMYFUNCTION("""COMPUTED_VALUE"""),"Nippon India Mutual Fund")</f>
        <v>Nippon India Mutual Fund</v>
      </c>
      <c r="B181" s="1"/>
    </row>
    <row r="182">
      <c r="A182" s="1"/>
      <c r="B182" s="1"/>
    </row>
    <row r="183">
      <c r="A183" s="1" t="str">
        <f>IFERROR(__xludf.DUMMYFUNCTION("""COMPUTED_VALUE"""),"134552;INF204KA1U61;-;Nippon India Banking  &amp; PSU Debt Fund- Direct Plan-Growth Plan- Bonus Option;18.5595;25-Aug-2023")</f>
        <v>134552;INF204KA1U61;-;Nippon India Banking  &amp; PSU Debt Fund- Direct Plan-Growth Plan- Bonus Option;18.5595;25-Aug-2023</v>
      </c>
      <c r="B183" s="1"/>
    </row>
    <row r="184">
      <c r="A184" s="1" t="str">
        <f>IFERROR(__xludf.DUMMYFUNCTION("""COMPUTED_VALUE"""),"134547;INF204KA1U53;-;Nippon India Banking  &amp; PSU Debt Fund- Direct Plan-Growth Plan- Growth Option;18.5592;25-Aug-2023")</f>
        <v>134547;INF204KA1U53;-;Nippon India Banking  &amp; PSU Debt Fund- Direct Plan-Growth Plan- Growth Option;18.5592;25-Aug-2023</v>
      </c>
      <c r="B184" s="1"/>
    </row>
    <row r="185">
      <c r="A185" s="1" t="str">
        <f>IFERROR(__xludf.DUMMYFUNCTION("""COMPUTED_VALUE"""),"134546;INF204KA1T64;-;Nippon India Banking  &amp; PSU Debt Fund- Growth Plan- Bonus Option;12.3452;02-Feb-2018")</f>
        <v>134546;INF204KA1T64;-;Nippon India Banking  &amp; PSU Debt Fund- Growth Plan- Bonus Option;12.3452;02-Feb-2018</v>
      </c>
      <c r="B185" s="1"/>
    </row>
    <row r="186">
      <c r="A186" s="1" t="str">
        <f>IFERROR(__xludf.DUMMYFUNCTION("""COMPUTED_VALUE"""),"134545;INF204KA1T56;-;Nippon India Banking  &amp; PSU Debt Fund- Growth Plan- Growth Option;18.0137;25-Aug-2023")</f>
        <v>134545;INF204KA1T56;-;Nippon India Banking  &amp; PSU Debt Fund- Growth Plan- Growth Option;18.0137;25-Aug-2023</v>
      </c>
      <c r="B186" s="1"/>
    </row>
    <row r="187">
      <c r="A187" s="1" t="str">
        <f>IFERROR(__xludf.DUMMYFUNCTION("""COMPUTED_VALUE"""),"134555;INF204KA1U79;INF204KA1U87;NIPPON INDIA BANKING &amp; PSU DEBT FUND - Direct Plan - IDCW Option;18.5592;25-Aug-2023")</f>
        <v>134555;INF204KA1U79;INF204KA1U87;NIPPON INDIA BANKING &amp; PSU DEBT FUND - Direct Plan - IDCW Option;18.5592;25-Aug-2023</v>
      </c>
      <c r="B187" s="1"/>
    </row>
    <row r="188">
      <c r="A188" s="1" t="str">
        <f>IFERROR(__xludf.DUMMYFUNCTION("""COMPUTED_VALUE"""),"134550;INF204KA1V37;INF204KA1V45;NIPPON INDIA BANKING &amp; PSU DEBT FUND - Direct Plan - MONTHLY IDCW Option;10.6617;25-Aug-2023")</f>
        <v>134550;INF204KA1V37;INF204KA1V45;NIPPON INDIA BANKING &amp; PSU DEBT FUND - Direct Plan - MONTHLY IDCW Option;10.6617;25-Aug-2023</v>
      </c>
      <c r="B188" s="1"/>
    </row>
    <row r="189">
      <c r="A189" s="1" t="str">
        <f>IFERROR(__xludf.DUMMYFUNCTION("""COMPUTED_VALUE"""),"134556;INF204KA1U95;INF204KA1V03;NIPPON INDIA BANKING &amp; PSU DEBT FUND - Direct Plan - QUARTERLY IDCW Option;10.7327;25-Aug-2023")</f>
        <v>134556;INF204KA1U95;INF204KA1V03;NIPPON INDIA BANKING &amp; PSU DEBT FUND - Direct Plan - QUARTERLY IDCW Option;10.7327;25-Aug-2023</v>
      </c>
      <c r="B189" s="1"/>
    </row>
    <row r="190">
      <c r="A190" s="1" t="str">
        <f>IFERROR(__xludf.DUMMYFUNCTION("""COMPUTED_VALUE"""),"134554;INF204KA1V11;INF204KA1V29;NIPPON INDIA BANKING &amp; PSU DEBT FUND - Direct Plan - WEEKLY IDCW Option;10.2877;25-Aug-2023")</f>
        <v>134554;INF204KA1V11;INF204KA1V29;NIPPON INDIA BANKING &amp; PSU DEBT FUND - Direct Plan - WEEKLY IDCW Option;10.2877;25-Aug-2023</v>
      </c>
      <c r="B190" s="1"/>
    </row>
    <row r="191">
      <c r="A191" s="1" t="str">
        <f>IFERROR(__xludf.DUMMYFUNCTION("""COMPUTED_VALUE"""),"134548;INF204KA1T72;INF204KA1T80;NIPPON INDIA BANKING &amp; PSU DEBT FUND - IDCW Option;18.0137;25-Aug-2023")</f>
        <v>134548;INF204KA1T72;INF204KA1T80;NIPPON INDIA BANKING &amp; PSU DEBT FUND - IDCW Option;18.0137;25-Aug-2023</v>
      </c>
      <c r="B191" s="1"/>
    </row>
    <row r="192">
      <c r="A192" s="1" t="str">
        <f>IFERROR(__xludf.DUMMYFUNCTION("""COMPUTED_VALUE"""),"134549;INF204KA1U38;INF204KA1U46;NIPPON INDIA BANKING &amp; PSU DEBT FUND - MONTHLY IDCW Option;10.5985;25-Aug-2023")</f>
        <v>134549;INF204KA1U38;INF204KA1U46;NIPPON INDIA BANKING &amp; PSU DEBT FUND - MONTHLY IDCW Option;10.5985;25-Aug-2023</v>
      </c>
      <c r="B192" s="1"/>
    </row>
    <row r="193">
      <c r="A193" s="1" t="str">
        <f>IFERROR(__xludf.DUMMYFUNCTION("""COMPUTED_VALUE"""),"134551;INF204KA1T98;INF204KA1U04;NIPPON INDIA BANKING &amp; PSU DEBT FUND - QUARTERLY IDCW Option;10.6771;25-Aug-2023")</f>
        <v>134551;INF204KA1T98;INF204KA1U04;NIPPON INDIA BANKING &amp; PSU DEBT FUND - QUARTERLY IDCW Option;10.6771;25-Aug-2023</v>
      </c>
      <c r="B193" s="1"/>
    </row>
    <row r="194">
      <c r="A194" s="1" t="str">
        <f>IFERROR(__xludf.DUMMYFUNCTION("""COMPUTED_VALUE"""),"134553;INF204KA1U12;INF204KA1U20;NIPPON INDIA BANKING &amp; PSU DEBT FUND - WEEKLY IDCW Option;10.2885;25-Aug-2023")</f>
        <v>134553;INF204KA1U12;INF204KA1U20;NIPPON INDIA BANKING &amp; PSU DEBT FUND - WEEKLY IDCW Option;10.2885;25-Aug-2023</v>
      </c>
      <c r="B194" s="1"/>
    </row>
    <row r="195">
      <c r="A195" s="1"/>
      <c r="B195" s="1"/>
    </row>
    <row r="196">
      <c r="A196" s="1" t="str">
        <f>IFERROR(__xludf.DUMMYFUNCTION("""COMPUTED_VALUE"""),"PGIM India Mutual Fund")</f>
        <v>PGIM India Mutual Fund</v>
      </c>
      <c r="B196" s="1"/>
    </row>
    <row r="197">
      <c r="A197" s="1"/>
      <c r="B197" s="1"/>
    </row>
    <row r="198">
      <c r="A198" s="1" t="str">
        <f>IFERROR(__xludf.DUMMYFUNCTION("""COMPUTED_VALUE"""),"138573;INF223J01VH1;-;PGIM India Banking and PSU Debt fund - Bonus;13.3974;01-Aug-2016")</f>
        <v>138573;INF223J01VH1;-;PGIM India Banking and PSU Debt fund - Bonus;13.3974;01-Aug-2016</v>
      </c>
      <c r="B198" s="1"/>
    </row>
    <row r="199">
      <c r="A199" s="1" t="str">
        <f>IFERROR(__xludf.DUMMYFUNCTION("""COMPUTED_VALUE"""),"138580;INF223JA1LT3;INF223JA1LU1;PGIM India Banking and PSU Debt Fund - Direct Plan - Regular Dividend;10.3726;25-Aug-2023")</f>
        <v>138580;INF223JA1LT3;INF223JA1LU1;PGIM India Banking and PSU Debt Fund - Direct Plan - Regular Dividend;10.3726;25-Aug-2023</v>
      </c>
      <c r="B199" s="1"/>
    </row>
    <row r="200">
      <c r="A200" s="1" t="str">
        <f>IFERROR(__xludf.DUMMYFUNCTION("""COMPUTED_VALUE"""),"138565;INF223J01SU0;-;PGIM India Banking and PSU Debt fund - Monthly Dividend;10.7742;05-Mar-2021")</f>
        <v>138565;INF223J01SU0;-;PGIM India Banking and PSU Debt fund - Monthly Dividend;10.7742;05-Mar-2021</v>
      </c>
      <c r="B200" s="1"/>
    </row>
    <row r="201">
      <c r="A201" s="1" t="str">
        <f>IFERROR(__xludf.DUMMYFUNCTION("""COMPUTED_VALUE"""),"138576;INF223J01VF5;-;PGIM India Banking and PSU Debt fund - Quarterly Bonus;11.6111;01-Aug-2016")</f>
        <v>138576;INF223J01VF5;-;PGIM India Banking and PSU Debt fund - Quarterly Bonus;11.6111;01-Aug-2016</v>
      </c>
      <c r="B201" s="1"/>
    </row>
    <row r="202">
      <c r="A202" s="1" t="str">
        <f>IFERROR(__xludf.DUMMYFUNCTION("""COMPUTED_VALUE"""),"138571;INF223J01VV2;-;PGIM India Banking and PSU Debt fund - Quarterly Dividend;10.6065;25-Aug-2023")</f>
        <v>138571;INF223J01VV2;-;PGIM India Banking and PSU Debt fund - Quarterly Dividend;10.6065;25-Aug-2023</v>
      </c>
      <c r="B202" s="1"/>
    </row>
    <row r="203">
      <c r="A203" s="1" t="str">
        <f>IFERROR(__xludf.DUMMYFUNCTION("""COMPUTED_VALUE"""),"138579;INF223JA1LR7;INF223JA1LS5;PGIM India Banking and PSU Debt Fund - Regular Dividend;10.3541;25-Aug-2023")</f>
        <v>138579;INF223JA1LR7;INF223JA1LS5;PGIM India Banking and PSU Debt Fund - Regular Dividend;10.3541;25-Aug-2023</v>
      </c>
      <c r="B203" s="1"/>
    </row>
    <row r="204">
      <c r="A204" s="1" t="str">
        <f>IFERROR(__xludf.DUMMYFUNCTION("""COMPUTED_VALUE"""),"138570;INF223J01VT6;INF223J01VU4;PGIM India Banking and PSU Debt fund - Weekly Dividend;10.2735;28-Jul-2019")</f>
        <v>138570;INF223J01VT6;INF223J01VU4;PGIM India Banking and PSU Debt fund - Weekly Dividend;10.2735;28-Jul-2019</v>
      </c>
      <c r="B204" s="1"/>
    </row>
    <row r="205">
      <c r="A205" s="1" t="str">
        <f>IFERROR(__xludf.DUMMYFUNCTION("""COMPUTED_VALUE"""),"138566;INF223J01SW6;-;PGIM India Banking and PSU Debt fund -Growth;21.1859;25-Aug-2023")</f>
        <v>138566;INF223J01SW6;-;PGIM India Banking and PSU Debt fund -Growth;21.1859;25-Aug-2023</v>
      </c>
      <c r="B205" s="1"/>
    </row>
    <row r="206">
      <c r="A206" s="1" t="str">
        <f>IFERROR(__xludf.DUMMYFUNCTION("""COMPUTED_VALUE"""),"138575;INF223J01VG3;-;PGIM India Banking and PSU Debt fund- Direct Plan-  Quarterly Bonus;13.6246;01-Aug-2016")</f>
        <v>138575;INF223J01VG3;-;PGIM India Banking and PSU Debt fund- Direct Plan-  Quarterly Bonus;13.6246;01-Aug-2016</v>
      </c>
      <c r="B206" s="1"/>
    </row>
    <row r="207">
      <c r="A207" s="1" t="str">
        <f>IFERROR(__xludf.DUMMYFUNCTION("""COMPUTED_VALUE"""),"138574;INF223J01VI9;-;PGIM India Banking and PSU Debt fund- Direct Plan-  Regular Bonus;15.2364;19-Jun-2018")</f>
        <v>138574;INF223J01VI9;-;PGIM India Banking and PSU Debt fund- Direct Plan-  Regular Bonus;15.2364;19-Jun-2018</v>
      </c>
      <c r="B207" s="1"/>
    </row>
    <row r="208">
      <c r="A208" s="1" t="str">
        <f>IFERROR(__xludf.DUMMYFUNCTION("""COMPUTED_VALUE"""),"138568;INF223J01WD8;-;PGIM India Banking and PSU Debt fund- Direct Plan- Annual Dividend;11.0995;05-Mar-2021")</f>
        <v>138568;INF223J01WD8;-;PGIM India Banking and PSU Debt fund- Direct Plan- Annual Dividend;11.0995;05-Mar-2021</v>
      </c>
      <c r="B208" s="1"/>
    </row>
    <row r="209">
      <c r="A209" s="1" t="str">
        <f>IFERROR(__xludf.DUMMYFUNCTION("""COMPUTED_VALUE"""),"138563;INF223J01SX4;INF223J01SY2;PGIM India Banking and PSU Debt fund- Direct Plan- Monthly Dividend;10.9284;05-Mar-2021")</f>
        <v>138563;INF223J01SX4;INF223J01SY2;PGIM India Banking and PSU Debt fund- Direct Plan- Monthly Dividend;10.9284;05-Mar-2021</v>
      </c>
      <c r="B209" s="1"/>
    </row>
    <row r="210">
      <c r="A210" s="1" t="str">
        <f>IFERROR(__xludf.DUMMYFUNCTION("""COMPUTED_VALUE"""),"138567;INF223J01WB2;-;PGIM India Banking and PSU Debt fund- Direct Plan- Quarterly Dividend;10.6732;25-Aug-2023")</f>
        <v>138567;INF223J01WB2;-;PGIM India Banking and PSU Debt fund- Direct Plan- Quarterly Dividend;10.6732;25-Aug-2023</v>
      </c>
      <c r="B210" s="1"/>
    </row>
    <row r="211">
      <c r="A211" s="1" t="str">
        <f>IFERROR(__xludf.DUMMYFUNCTION("""COMPUTED_VALUE"""),"138569;INF223J01VZ3;INF223J01WA4;PGIM India Banking and PSU Debt fund- Direct Plan- Weekly Dividend;10.2259;28-Jul-2019")</f>
        <v>138569;INF223J01VZ3;INF223J01WA4;PGIM India Banking and PSU Debt fund- Direct Plan- Weekly Dividend;10.2259;28-Jul-2019</v>
      </c>
      <c r="B211" s="1"/>
    </row>
    <row r="212">
      <c r="A212" s="1" t="str">
        <f>IFERROR(__xludf.DUMMYFUNCTION("""COMPUTED_VALUE"""),"138564;INF223J01SZ9;-;PGIM India Banking and PSU Debt fund- Direct Plan-Growth;22.2077;25-Aug-2023")</f>
        <v>138564;INF223J01SZ9;-;PGIM India Banking and PSU Debt fund- Direct Plan-Growth;22.2077;25-Aug-2023</v>
      </c>
      <c r="B212" s="1"/>
    </row>
    <row r="213">
      <c r="A213" s="1"/>
      <c r="B213" s="1"/>
    </row>
    <row r="214">
      <c r="A214" s="1" t="str">
        <f>IFERROR(__xludf.DUMMYFUNCTION("""COMPUTED_VALUE"""),"SBI Mutual Fund")</f>
        <v>SBI Mutual Fund</v>
      </c>
      <c r="B214" s="1"/>
    </row>
    <row r="215">
      <c r="A215" s="1"/>
      <c r="B215" s="1"/>
    </row>
    <row r="216">
      <c r="A216" s="1" t="str">
        <f>IFERROR(__xludf.DUMMYFUNCTION("""COMPUTED_VALUE"""),"125502;-;INF200K01V16;SBI Banking &amp; PSU Fund - Direct Plan - Daily Income Distribution cum Capital Withdrawal Option (IDCW);1258.1179;25-Aug-2023")</f>
        <v>125502;-;INF200K01V16;SBI Banking &amp; PSU Fund - Direct Plan - Daily Income Distribution cum Capital Withdrawal Option (IDCW);1258.1179;25-Aug-2023</v>
      </c>
      <c r="B216" s="1"/>
    </row>
    <row r="217">
      <c r="A217" s="1" t="str">
        <f>IFERROR(__xludf.DUMMYFUNCTION("""COMPUTED_VALUE"""),"125503;INF200K01V08;-;SBI BANKING &amp; PSU FUND - Direct Plan - Growth;2856.2896;25-Aug-2023")</f>
        <v>125503;INF200K01V08;-;SBI BANKING &amp; PSU FUND - Direct Plan - Growth;2856.2896;25-Aug-2023</v>
      </c>
      <c r="B217" s="1"/>
    </row>
    <row r="218">
      <c r="A218" s="1" t="str">
        <f>IFERROR(__xludf.DUMMYFUNCTION("""COMPUTED_VALUE"""),"125505;INF200K01V40;INF200K01V57;SBI Banking &amp; PSU Fund - Direct Plan - Monthly Income Distribution cum Capital Withdrawal Option (IDCW);1220.6905;25-Aug-2023")</f>
        <v>125505;INF200K01V40;INF200K01V57;SBI Banking &amp; PSU Fund - Direct Plan - Monthly Income Distribution cum Capital Withdrawal Option (IDCW);1220.6905;25-Aug-2023</v>
      </c>
      <c r="B218" s="1"/>
    </row>
    <row r="219">
      <c r="A219" s="1" t="str">
        <f>IFERROR(__xludf.DUMMYFUNCTION("""COMPUTED_VALUE"""),"125504;INF200K01V32;INF200K01V24;SBI Banking &amp; PSU Fund - Direct Plan - Weekly Income Distribution cum Capital Withdrawal Option (IDCW);1255.3218;25-Aug-2023")</f>
        <v>125504;INF200K01V32;INF200K01V24;SBI Banking &amp; PSU Fund - Direct Plan - Weekly Income Distribution cum Capital Withdrawal Option (IDCW);1255.3218;25-Aug-2023</v>
      </c>
      <c r="B219" s="1"/>
    </row>
    <row r="220">
      <c r="A220" s="1" t="str">
        <f>IFERROR(__xludf.DUMMYFUNCTION("""COMPUTED_VALUE"""),"125498;INF200K01U41;-;SBI BANKING &amp; PSU FUND - Regular Paln - Growth;2710.2718;25-Aug-2023")</f>
        <v>125498;INF200K01U41;-;SBI BANKING &amp; PSU FUND - Regular Paln - Growth;2710.2718;25-Aug-2023</v>
      </c>
      <c r="B220" s="1"/>
    </row>
    <row r="221">
      <c r="A221" s="1" t="str">
        <f>IFERROR(__xludf.DUMMYFUNCTION("""COMPUTED_VALUE"""),"125499;-;INF200K01U58;SBI Banking &amp; PSU Fund - Regular Plan - Daily Income Distribution cum Capital Withdrawal Option (IDCW);1236.5018;25-Aug-2023")</f>
        <v>125499;-;INF200K01U58;SBI Banking &amp; PSU Fund - Regular Plan - Daily Income Distribution cum Capital Withdrawal Option (IDCW);1236.5018;25-Aug-2023</v>
      </c>
      <c r="B221" s="1"/>
    </row>
    <row r="222">
      <c r="A222" s="1" t="str">
        <f>IFERROR(__xludf.DUMMYFUNCTION("""COMPUTED_VALUE"""),"125501;INF200K01U82;INF200K01U90;SBI Banking &amp; PSU Fund - Regular Plan - Monthly Income Distribution cum Capital Withdrawal Option (IDCW);1160.1096;25-Aug-2023")</f>
        <v>125501;INF200K01U82;INF200K01U90;SBI Banking &amp; PSU Fund - Regular Plan - Monthly Income Distribution cum Capital Withdrawal Option (IDCW);1160.1096;25-Aug-2023</v>
      </c>
      <c r="B222" s="1"/>
    </row>
    <row r="223">
      <c r="A223" s="1" t="str">
        <f>IFERROR(__xludf.DUMMYFUNCTION("""COMPUTED_VALUE"""),"125500;INF200K01U74;INF200K01U66;SBI Banking &amp; PSU Fund - Regular Plan - Weekly Income Distribution cum Capital Withdrawal Option (IDCW);1236.2401;25-Aug-2023")</f>
        <v>125500;INF200K01U74;INF200K01U66;SBI Banking &amp; PSU Fund - Regular Plan - Weekly Income Distribution cum Capital Withdrawal Option (IDCW);1236.2401;25-Aug-2023</v>
      </c>
      <c r="B223" s="1"/>
    </row>
    <row r="224">
      <c r="A224" s="1"/>
      <c r="B224" s="1"/>
    </row>
    <row r="225">
      <c r="A225" s="1" t="str">
        <f>IFERROR(__xludf.DUMMYFUNCTION("""COMPUTED_VALUE"""),"Sundaram Mutual Fund")</f>
        <v>Sundaram Mutual Fund</v>
      </c>
      <c r="B225" s="1"/>
    </row>
    <row r="226">
      <c r="A226" s="1"/>
      <c r="B226" s="1"/>
    </row>
    <row r="227">
      <c r="A227" s="1" t="str">
        <f>IFERROR(__xludf.DUMMYFUNCTION("""COMPUTED_VALUE"""),"134363;INF903J017I5;-;Sundaram Banking &amp; PSU Debt Fund - Direct Growth;11.7065;17-Mar-2017")</f>
        <v>134363;INF903J017I5;-;Sundaram Banking &amp; PSU Debt Fund - Direct Growth;11.7065;17-Mar-2017</v>
      </c>
      <c r="B227" s="1"/>
    </row>
    <row r="228">
      <c r="A228" s="1" t="str">
        <f>IFERROR(__xludf.DUMMYFUNCTION("""COMPUTED_VALUE"""),"134370;INF903J012J4;INF903J013J2;Sundaram Banking &amp; PSU Debt Fund - Direct Monthly Dividend;11.4008;17-Mar-2017")</f>
        <v>134370;INF903J012J4;INF903J013J2;Sundaram Banking &amp; PSU Debt Fund - Direct Monthly Dividend;11.4008;17-Mar-2017</v>
      </c>
      <c r="B228" s="1"/>
    </row>
    <row r="229">
      <c r="A229" s="1" t="str">
        <f>IFERROR(__xludf.DUMMYFUNCTION("""COMPUTED_VALUE"""),"134369;INF903J019I1;INF903J014J0;Sundaram Banking &amp; PSU Debt Fund - Direct Quarterly Dividend;10.6356;31-Mar-2016")</f>
        <v>134369;INF903J019I1;INF903J014J0;Sundaram Banking &amp; PSU Debt Fund - Direct Quarterly Dividend;10.6356;31-Mar-2016</v>
      </c>
      <c r="B229" s="1"/>
    </row>
    <row r="230">
      <c r="A230" s="1" t="str">
        <f>IFERROR(__xludf.DUMMYFUNCTION("""COMPUTED_VALUE"""),"134355;INF903J016I7;-;Sundaram Banking &amp; PSU Debt Fund - Regular Annual Bonus;11.6319;17-Feb-2017")</f>
        <v>134355;INF903J016I7;-;Sundaram Banking &amp; PSU Debt Fund - Regular Annual Bonus;11.6319;17-Feb-2017</v>
      </c>
      <c r="B230" s="1"/>
    </row>
    <row r="231">
      <c r="A231" s="1" t="str">
        <f>IFERROR(__xludf.DUMMYFUNCTION("""COMPUTED_VALUE"""),"134356;INF903J016H9;-;Sundaram Banking &amp; PSU Debt Fund - Regular Growth;11.6493;17-Mar-2017")</f>
        <v>134356;INF903J016H9;-;Sundaram Banking &amp; PSU Debt Fund - Regular Growth;11.6493;17-Mar-2017</v>
      </c>
      <c r="B231" s="1"/>
    </row>
    <row r="232">
      <c r="A232" s="1" t="str">
        <f>IFERROR(__xludf.DUMMYFUNCTION("""COMPUTED_VALUE"""),"134359;INF903J018H5;INF903J012I6;Sundaram Banking &amp; PSU Debt Fund - Regular Monthly Dividend;11.1411;17-Mar-2017")</f>
        <v>134359;INF903J018H5;INF903J012I6;Sundaram Banking &amp; PSU Debt Fund - Regular Monthly Dividend;11.1411;17-Mar-2017</v>
      </c>
      <c r="B232" s="1"/>
    </row>
    <row r="233">
      <c r="A233" s="1" t="str">
        <f>IFERROR(__xludf.DUMMYFUNCTION("""COMPUTED_VALUE"""),"134361;INF903J014I2;-;Sundaram Banking &amp; PSU Debt Fund - Regular Quarterly Bonus;11.1681;16-Aug-2016")</f>
        <v>134361;INF903J014I2;-;Sundaram Banking &amp; PSU Debt Fund - Regular Quarterly Bonus;11.1681;16-Aug-2016</v>
      </c>
      <c r="B233" s="1"/>
    </row>
    <row r="234">
      <c r="A234" s="1" t="str">
        <f>IFERROR(__xludf.DUMMYFUNCTION("""COMPUTED_VALUE"""),"134360;INF903J017H7;INF903J011I8;Sundaram Banking &amp; PSU Debt Fund - Regular Weekly Dividend;10.1418;17-Mar-2017")</f>
        <v>134360;INF903J017H7;INF903J011I8;Sundaram Banking &amp; PSU Debt Fund - Regular Weekly Dividend;10.1418;17-Mar-2017</v>
      </c>
      <c r="B234" s="1"/>
    </row>
    <row r="235">
      <c r="A235" s="1" t="str">
        <f>IFERROR(__xludf.DUMMYFUNCTION("""COMPUTED_VALUE"""),"134362;INF903J019H3;INF903J013I4;Sundaram Banking &amp; PSU Debt Fund Regular Quarterly Dividend;11.0236;17-Mar-2017")</f>
        <v>134362;INF903J019H3;INF903J013I4;Sundaram Banking &amp; PSU Debt Fund Regular Quarterly Dividend;11.0236;17-Mar-2017</v>
      </c>
      <c r="B235" s="1"/>
    </row>
    <row r="236">
      <c r="A236" s="1" t="str">
        <f>IFERROR(__xludf.DUMMYFUNCTION("""COMPUTED_VALUE"""),"119629;INF903J01RI4;-;Sundaram Banking and PSU Debt Fund Direct Plan - Bonus;18.8680;25-Aug-2023")</f>
        <v>119629;INF903J01RI4;-;Sundaram Banking and PSU Debt Fund Direct Plan - Bonus;18.8680;25-Aug-2023</v>
      </c>
      <c r="B236" s="1"/>
    </row>
    <row r="237">
      <c r="A237" s="1" t="str">
        <f>IFERROR(__xludf.DUMMYFUNCTION("""COMPUTED_VALUE"""),"119627;-;INF903J01PC1;Sundaram Banking and PSU Debt Fund Direct Plan - Daily Reinvestment of Income Distribution cum Capital Withdrawal (IDCW);10.2300;25-Aug-2023")</f>
        <v>119627;-;INF903J01PC1;Sundaram Banking and PSU Debt Fund Direct Plan - Daily Reinvestment of Income Distribution cum Capital Withdrawal (IDCW);10.2300;25-Aug-2023</v>
      </c>
      <c r="B237" s="1"/>
    </row>
    <row r="238">
      <c r="A238" s="1" t="str">
        <f>IFERROR(__xludf.DUMMYFUNCTION("""COMPUTED_VALUE"""),"119625;INF903J01PA5;-;Sundaram Banking and PSU Debt Fund Direct Plan - Growth;37.7159;25-Aug-2023")</f>
        <v>119625;INF903J01PA5;-;Sundaram Banking and PSU Debt Fund Direct Plan - Growth;37.7159;25-Aug-2023</v>
      </c>
      <c r="B238" s="1"/>
    </row>
    <row r="239">
      <c r="A239" s="1" t="str">
        <f>IFERROR(__xludf.DUMMYFUNCTION("""COMPUTED_VALUE"""),"119626;INF903J01PB3;INF903J01PE7;Sundaram Banking and PSU Debt Fund Direct Plan - Monthly Income Distribution cum Capital Withdrawal (IDCW);11.5345;25-Aug-2023")</f>
        <v>119626;INF903J01PB3;INF903J01PE7;Sundaram Banking and PSU Debt Fund Direct Plan - Monthly Income Distribution cum Capital Withdrawal (IDCW);11.5345;25-Aug-2023</v>
      </c>
      <c r="B239" s="1"/>
    </row>
    <row r="240">
      <c r="A240" s="1" t="str">
        <f>IFERROR(__xludf.DUMMYFUNCTION("""COMPUTED_VALUE"""),"118326;INF903J01LY4;-;Sundaram Banking and PSU Debt Fund Regular Plan - Bonus;18.8013;25-Aug-2023")</f>
        <v>118326;INF903J01LY4;-;Sundaram Banking and PSU Debt Fund Regular Plan - Bonus;18.8013;25-Aug-2023</v>
      </c>
      <c r="B240" s="1"/>
    </row>
    <row r="241">
      <c r="A241" s="1" t="str">
        <f>IFERROR(__xludf.DUMMYFUNCTION("""COMPUTED_VALUE"""),"100782;-;INF903J01IP8;Sundaram Banking and PSU Debt Fund Regular Plan - Daily Reinvestment of Income Distribution cum Capital Withdrawal (IDCW);10.3550;25-Aug-2023")</f>
        <v>100782;-;INF903J01IP8;Sundaram Banking and PSU Debt Fund Regular Plan - Daily Reinvestment of Income Distribution cum Capital Withdrawal (IDCW);10.3550;25-Aug-2023</v>
      </c>
      <c r="B241" s="1"/>
    </row>
    <row r="242">
      <c r="A242" s="1" t="str">
        <f>IFERROR(__xludf.DUMMYFUNCTION("""COMPUTED_VALUE"""),"100784;INF903J01IN3;-;Sundaram Banking and PSU Debt Fund Regular Plan - Growth;37.2841;25-Aug-2023")</f>
        <v>100784;INF903J01IN3;-;Sundaram Banking and PSU Debt Fund Regular Plan - Growth;37.2841;25-Aug-2023</v>
      </c>
      <c r="B242" s="1"/>
    </row>
    <row r="243">
      <c r="A243" s="1" t="str">
        <f>IFERROR(__xludf.DUMMYFUNCTION("""COMPUTED_VALUE"""),"100793;INF903J01IO1;INF903J01IR4;Sundaram Banking and PSU Debt Fund Regular Plan - Monthly Income Distribution cum Capital Withdrawal (IDCW);11.5872;25-Aug-2023")</f>
        <v>100793;INF903J01IO1;INF903J01IR4;Sundaram Banking and PSU Debt Fund Regular Plan - Monthly Income Distribution cum Capital Withdrawal (IDCW);11.5872;25-Aug-2023</v>
      </c>
      <c r="B243" s="1"/>
    </row>
    <row r="244">
      <c r="A244" s="1" t="str">
        <f>IFERROR(__xludf.DUMMYFUNCTION("""COMPUTED_VALUE"""),"100783;-;INF903J01IQ6;Sundaram Banking and PSU Debt Fund Regular Plan - Weekly Reinvestment of Income Distribution cum Capital Withdrawal (IDCW);12.1184;25-Aug-2023")</f>
        <v>100783;-;INF903J01IQ6;Sundaram Banking and PSU Debt Fund Regular Plan - Weekly Reinvestment of Income Distribution cum Capital Withdrawal (IDCW);12.1184;25-Aug-2023</v>
      </c>
      <c r="B244" s="1"/>
    </row>
    <row r="245">
      <c r="A245" s="1" t="str">
        <f>IFERROR(__xludf.DUMMYFUNCTION("""COMPUTED_VALUE"""),"100781;INF903J01IK9;-;Sundaram Banking and PSU Debt Fund Retail Plan - Growth;33.6009;25-Aug-2023")</f>
        <v>100781;INF903J01IK9;-;Sundaram Banking and PSU Debt Fund Retail Plan - Growth;33.6009;25-Aug-2023</v>
      </c>
      <c r="B245" s="1"/>
    </row>
    <row r="246">
      <c r="A246" s="1" t="str">
        <f>IFERROR(__xludf.DUMMYFUNCTION("""COMPUTED_VALUE"""),"100780;INF903J01IL7;INF903J01IM5;Sundaram Banking and PSU Debt Fund Retail Plan - Monthly Income Distribution cum Capital Withdrawal (IDCW);11.4920;25-Aug-2023")</f>
        <v>100780;INF903J01IL7;INF903J01IM5;Sundaram Banking and PSU Debt Fund Retail Plan - Monthly Income Distribution cum Capital Withdrawal (IDCW);11.4920;25-Aug-2023</v>
      </c>
      <c r="B246" s="1"/>
    </row>
    <row r="247">
      <c r="A247" s="1" t="str">
        <f>IFERROR(__xludf.DUMMYFUNCTION("""COMPUTED_VALUE"""),"134358;-;INF903J010I0;SundaramBanking&amp;PSUDebtFund-RegularDailyDividendReinvestment;11.6582;17-Mar-2017")</f>
        <v>134358;-;INF903J010I0;SundaramBanking&amp;PSUDebtFund-RegularDailyDividendReinvestment;11.6582;17-Mar-2017</v>
      </c>
      <c r="B247" s="1"/>
    </row>
    <row r="248">
      <c r="A248" s="1"/>
      <c r="B248" s="1"/>
    </row>
    <row r="249">
      <c r="A249" s="1" t="str">
        <f>IFERROR(__xludf.DUMMYFUNCTION("""COMPUTED_VALUE"""),"Tata Mutual Fund")</f>
        <v>Tata Mutual Fund</v>
      </c>
      <c r="B249" s="1"/>
    </row>
    <row r="250">
      <c r="A250" s="1"/>
      <c r="B250" s="1"/>
    </row>
    <row r="251">
      <c r="A251" s="1" t="str">
        <f>IFERROR(__xludf.DUMMYFUNCTION("""COMPUTED_VALUE"""),"147637;INF277K016X1;-;Tata Banking &amp; PSU Debt Fund  Direct Plan - Payout of Income Distribution cum capital withdrawal option ;12.7353;25-Aug-2023")</f>
        <v>147637;INF277K016X1;-;Tata Banking &amp; PSU Debt Fund  Direct Plan - Payout of Income Distribution cum capital withdrawal option ;12.7353;25-Aug-2023</v>
      </c>
      <c r="B251" s="1"/>
    </row>
    <row r="252">
      <c r="A252" s="1" t="str">
        <f>IFERROR(__xludf.DUMMYFUNCTION("""COMPUTED_VALUE"""),"147638;-;INF277K014X6;Tata Banking &amp; PSU Debt Fund  Direct Plan - Reinvestment of Income Distribution cum capital withdrawal option ;12.7353;25-Aug-2023")</f>
        <v>147638;-;INF277K014X6;Tata Banking &amp; PSU Debt Fund  Direct Plan - Reinvestment of Income Distribution cum capital withdrawal option ;12.7353;25-Aug-2023</v>
      </c>
      <c r="B252" s="1"/>
    </row>
    <row r="253">
      <c r="A253" s="1" t="str">
        <f>IFERROR(__xludf.DUMMYFUNCTION("""COMPUTED_VALUE"""),"147634;INF277K013X8;-;Tata Banking &amp; PSU Debt Fund Regular Plan - Payout of Income Distribution cum capital withdrawal option ;12.4899;25-Aug-2023")</f>
        <v>147634;INF277K013X8;-;Tata Banking &amp; PSU Debt Fund Regular Plan - Payout of Income Distribution cum capital withdrawal option ;12.4899;25-Aug-2023</v>
      </c>
      <c r="B253" s="1"/>
    </row>
    <row r="254">
      <c r="A254" s="1" t="str">
        <f>IFERROR(__xludf.DUMMYFUNCTION("""COMPUTED_VALUE"""),"147633;-;INF277K012X0;Tata Banking &amp; PSU Debt Fund Regular Plan - Reinvestment of Income Distribution cum capital withdrawal option ;12.4899;25-Aug-2023")</f>
        <v>147633;-;INF277K012X0;Tata Banking &amp; PSU Debt Fund Regular Plan - Reinvestment of Income Distribution cum capital withdrawal option ;12.4899;25-Aug-2023</v>
      </c>
      <c r="B254" s="1"/>
    </row>
    <row r="255">
      <c r="A255" s="1" t="str">
        <f>IFERROR(__xludf.DUMMYFUNCTION("""COMPUTED_VALUE"""),"147636;INF277K015X3;-;Tata Banking &amp; PSU Debt Fund-Direct Plan-Growth;12.7353;25-Aug-2023")</f>
        <v>147636;INF277K015X3;-;Tata Banking &amp; PSU Debt Fund-Direct Plan-Growth;12.7353;25-Aug-2023</v>
      </c>
      <c r="B255" s="1"/>
    </row>
    <row r="256">
      <c r="A256" s="1" t="str">
        <f>IFERROR(__xludf.DUMMYFUNCTION("""COMPUTED_VALUE"""),"147635;INF277K011X2;-;Tata Banking &amp; PSU Debt Fund-Regular Plan-Growth;12.4899;25-Aug-2023")</f>
        <v>147635;INF277K011X2;-;Tata Banking &amp; PSU Debt Fund-Regular Plan-Growth;12.4899;25-Aug-2023</v>
      </c>
      <c r="B256" s="1"/>
    </row>
    <row r="257">
      <c r="A257" s="1"/>
      <c r="B257" s="1"/>
    </row>
    <row r="258">
      <c r="A258" s="1" t="str">
        <f>IFERROR(__xludf.DUMMYFUNCTION("""COMPUTED_VALUE"""),"Trust Mutual Fund")</f>
        <v>Trust Mutual Fund</v>
      </c>
      <c r="B258" s="1"/>
    </row>
    <row r="259">
      <c r="A259" s="1"/>
      <c r="B259" s="1"/>
    </row>
    <row r="260">
      <c r="A260" s="1" t="str">
        <f>IFERROR(__xludf.DUMMYFUNCTION("""COMPUTED_VALUE"""),"148656;INF0GCD01107;-;TRUSTMF BANKING &amp; PSU DEBT FUND - DIRECT GROWTH;1122.6278;25-Aug-2023")</f>
        <v>148656;INF0GCD01107;-;TRUSTMF BANKING &amp; PSU DEBT FUND - DIRECT GROWTH;1122.6278;25-Aug-2023</v>
      </c>
      <c r="B260" s="1"/>
    </row>
    <row r="261">
      <c r="A261" s="1" t="str">
        <f>IFERROR(__xludf.DUMMYFUNCTION("""COMPUTED_VALUE"""),"148655;INF0GCD01016;-;TRUSTMF BANKING &amp; PSU DEBT FUND - REGULAR GROWTH;1108.318;25-Aug-2023")</f>
        <v>148655;INF0GCD01016;-;TRUSTMF BANKING &amp; PSU DEBT FUND - REGULAR GROWTH;1108.318;25-Aug-2023</v>
      </c>
      <c r="B261" s="1"/>
    </row>
    <row r="262">
      <c r="A262" s="1" t="str">
        <f>IFERROR(__xludf.DUMMYFUNCTION("""COMPUTED_VALUE"""),"148672;INF0GCD01180;INF0GCD01172;TRUSTMF BANKING &amp; PSU DEBT FUND DIRECT PLAN ANNUAL INCOME DISTRIBUTION CUM CAPITAL WITHDRAWAL OPTION;1051.2407;25-Aug-2023")</f>
        <v>148672;INF0GCD01180;INF0GCD01172;TRUSTMF BANKING &amp; PSU DEBT FUND DIRECT PLAN ANNUAL INCOME DISTRIBUTION CUM CAPITAL WITHDRAWAL OPTION;1051.2407;25-Aug-2023</v>
      </c>
      <c r="B262" s="1"/>
    </row>
    <row r="263">
      <c r="A263" s="1" t="str">
        <f>IFERROR(__xludf.DUMMYFUNCTION("""COMPUTED_VALUE"""),"148678;-;INF0GCD01115;TRUSTMF BANKING &amp; PSU DEBT FUND DIRECT PLAN DAILY INCOME DISTRIBUTION CUM CAPITAL WITHDRAWAL;1125.9638;25-Aug-2023")</f>
        <v>148678;-;INF0GCD01115;TRUSTMF BANKING &amp; PSU DEBT FUND DIRECT PLAN DAILY INCOME DISTRIBUTION CUM CAPITAL WITHDRAWAL;1125.9638;25-Aug-2023</v>
      </c>
      <c r="B263" s="1"/>
    </row>
    <row r="264">
      <c r="A264" s="1" t="str">
        <f>IFERROR(__xludf.DUMMYFUNCTION("""COMPUTED_VALUE"""),"148681;INF0GCD01149;INF0GCD01131;TRUSTMF BANKING &amp; PSU DEBT FUND DIRECT PLAN MONTHLY INCOME DISTRIBUTION CUM CAPITAL WITHDRAWAL OPTION;1041.0848;25-Aug-2023")</f>
        <v>148681;INF0GCD01149;INF0GCD01131;TRUSTMF BANKING &amp; PSU DEBT FUND DIRECT PLAN MONTHLY INCOME DISTRIBUTION CUM CAPITAL WITHDRAWAL OPTION;1041.0848;25-Aug-2023</v>
      </c>
      <c r="B264" s="1"/>
    </row>
    <row r="265">
      <c r="A265" s="1" t="str">
        <f>IFERROR(__xludf.DUMMYFUNCTION("""COMPUTED_VALUE"""),"148670;INF0GCD01164;INF0GCD01156;TRUSTMF BANKING &amp; PSU DEBT FUND DIRECT PLAN QUARTERLY INCOME DISTRIBUTION CUM CAPITAL WITHDRAWAL;1056.2509;25-Aug-2023")</f>
        <v>148670;INF0GCD01164;INF0GCD01156;TRUSTMF BANKING &amp; PSU DEBT FUND DIRECT PLAN QUARTERLY INCOME DISTRIBUTION CUM CAPITAL WITHDRAWAL;1056.2509;25-Aug-2023</v>
      </c>
      <c r="B265" s="1"/>
    </row>
    <row r="266">
      <c r="A266" s="1" t="str">
        <f>IFERROR(__xludf.DUMMYFUNCTION("""COMPUTED_VALUE"""),"148675;-;INF0GCD01123;TRUSTMF BANKING &amp; PSU DEBT FUND DIRECT PLAN WEEKLY INCOME DISTRIBUTION CUM CAPITAL WITHDRAWAL;1033.7169;25-Aug-2023")</f>
        <v>148675;-;INF0GCD01123;TRUSTMF BANKING &amp; PSU DEBT FUND DIRECT PLAN WEEKLY INCOME DISTRIBUTION CUM CAPITAL WITHDRAWAL;1033.7169;25-Aug-2023</v>
      </c>
      <c r="B266" s="1"/>
    </row>
    <row r="267">
      <c r="A267" s="1" t="str">
        <f>IFERROR(__xludf.DUMMYFUNCTION("""COMPUTED_VALUE"""),"148669;INF0GCD01099;INF0GCD01081;TRUSTMF BANKING &amp; PSU DEBT FUND REGULAR PLAN ANNUAL INCOME DISTRIBUTION CUM CAPITAL WITHDRAWAL;1037.2732;25-Aug-2023")</f>
        <v>148669;INF0GCD01099;INF0GCD01081;TRUSTMF BANKING &amp; PSU DEBT FUND REGULAR PLAN ANNUAL INCOME DISTRIBUTION CUM CAPITAL WITHDRAWAL;1037.2732;25-Aug-2023</v>
      </c>
      <c r="B267" s="1"/>
    </row>
    <row r="268">
      <c r="A268" s="1" t="str">
        <f>IFERROR(__xludf.DUMMYFUNCTION("""COMPUTED_VALUE"""),"148667;-;INF0GCD01024;TRUSTMF BANKING &amp; PSU DEBT FUND REGULAR PLAN DAILY INCOME DISTRIBUTION CUM CAPITAL WITHDRAWAL;1110.8788;25-Aug-2023")</f>
        <v>148667;-;INF0GCD01024;TRUSTMF BANKING &amp; PSU DEBT FUND REGULAR PLAN DAILY INCOME DISTRIBUTION CUM CAPITAL WITHDRAWAL;1110.8788;25-Aug-2023</v>
      </c>
      <c r="B268" s="1"/>
    </row>
    <row r="269">
      <c r="A269" s="1" t="str">
        <f>IFERROR(__xludf.DUMMYFUNCTION("""COMPUTED_VALUE"""),"148674;INF0GCD01057;INF0GCD01040;TRUSTMF BANKING &amp; PSU DEBT FUND REGULAR PLAN MONTHLY INCOME DISTRIBUTION CUM CAPITAL WITHDRAWAL;1032.5669;25-Aug-2023")</f>
        <v>148674;INF0GCD01057;INF0GCD01040;TRUSTMF BANKING &amp; PSU DEBT FUND REGULAR PLAN MONTHLY INCOME DISTRIBUTION CUM CAPITAL WITHDRAWAL;1032.5669;25-Aug-2023</v>
      </c>
      <c r="B269" s="1"/>
    </row>
    <row r="270">
      <c r="A270" s="1" t="str">
        <f>IFERROR(__xludf.DUMMYFUNCTION("""COMPUTED_VALUE"""),"148668;INF0GCD01073;INF0GCD01065;TRUSTMF BANKING &amp; PSU DEBT FUND REGULAR PLAN QUARTERLY INCOME DISTRIBUTION CUM CAPITAL WITHDRAWAL;1043.3756;25-Aug-2023")</f>
        <v>148668;INF0GCD01073;INF0GCD01065;TRUSTMF BANKING &amp; PSU DEBT FUND REGULAR PLAN QUARTERLY INCOME DISTRIBUTION CUM CAPITAL WITHDRAWAL;1043.3756;25-Aug-2023</v>
      </c>
      <c r="B270" s="1"/>
    </row>
    <row r="271">
      <c r="A271" s="1" t="str">
        <f>IFERROR(__xludf.DUMMYFUNCTION("""COMPUTED_VALUE"""),"148679;-;INF0GCD01032;TRUSTMF BANKING &amp; PSU DEBT FUND REGULAR PLAN WEEKLY INCOME DISTRIBUTION CUM CAPITAL WITHDRAWAL;1027.8641;25-Aug-2023")</f>
        <v>148679;-;INF0GCD01032;TRUSTMF BANKING &amp; PSU DEBT FUND REGULAR PLAN WEEKLY INCOME DISTRIBUTION CUM CAPITAL WITHDRAWAL;1027.8641;25-Aug-2023</v>
      </c>
      <c r="B271" s="1"/>
    </row>
    <row r="272">
      <c r="A272" s="1"/>
      <c r="B272" s="1"/>
    </row>
    <row r="273">
      <c r="A273" s="1" t="str">
        <f>IFERROR(__xludf.DUMMYFUNCTION("""COMPUTED_VALUE"""),"UTI Mutual Fund")</f>
        <v>UTI Mutual Fund</v>
      </c>
      <c r="B273" s="1"/>
    </row>
    <row r="274">
      <c r="A274" s="1"/>
      <c r="B274" s="1"/>
    </row>
    <row r="275">
      <c r="A275" s="1" t="str">
        <f>IFERROR(__xludf.DUMMYFUNCTION("""COMPUTED_VALUE"""),"140135;INF789FA1V03;INF789FA1V11;UTI Banking &amp; PSU Debt Fund - Direct Plan - Annual IDCW;12.303;25-Aug-2023")</f>
        <v>140135;INF789FA1V03;INF789FA1V11;UTI Banking &amp; PSU Debt Fund - Direct Plan - Annual IDCW;12.303;25-Aug-2023</v>
      </c>
      <c r="B275" s="1"/>
    </row>
    <row r="276">
      <c r="A276" s="1" t="str">
        <f>IFERROR(__xludf.DUMMYFUNCTION("""COMPUTED_VALUE"""),"133972;INF789FA1V29;INF789FA1V37;UTI Banking &amp; PSU Debt Fund - Direct Plan - Flexi IDCW;16.6255;25-Aug-2023")</f>
        <v>133972;INF789FA1V29;INF789FA1V37;UTI Banking &amp; PSU Debt Fund - Direct Plan - Flexi IDCW;16.6255;25-Aug-2023</v>
      </c>
      <c r="B276" s="1"/>
    </row>
    <row r="277">
      <c r="A277" s="1" t="str">
        <f>IFERROR(__xludf.DUMMYFUNCTION("""COMPUTED_VALUE"""),"126940;INF789F015Z6;-;UTI Banking &amp; PSU Debt Fund - Direct Plan - Growth Option;19.2932;25-Aug-2023")</f>
        <v>126940;INF789F015Z6;-;UTI Banking &amp; PSU Debt Fund - Direct Plan - Growth Option;19.2932;25-Aug-2023</v>
      </c>
      <c r="B277" s="1"/>
    </row>
    <row r="278">
      <c r="A278" s="1" t="str">
        <f>IFERROR(__xludf.DUMMYFUNCTION("""COMPUTED_VALUE"""),"141375;INF789FA1U87;INF789FA1U95;UTI Banking &amp; PSU Debt Fund - Direct Plan - Half-Yearly IDCW;12.8025;25-Aug-2023")</f>
        <v>141375;INF789FA1U87;INF789FA1U95;UTI Banking &amp; PSU Debt Fund - Direct Plan - Half-Yearly IDCW;12.8025;25-Aug-2023</v>
      </c>
      <c r="B278" s="1"/>
    </row>
    <row r="279">
      <c r="A279" s="1" t="str">
        <f>IFERROR(__xludf.DUMMYFUNCTION("""COMPUTED_VALUE"""),"134026;INF789FC1HE1;INF789FC1HF8;UTI Banking &amp; PSU Debt Fund - Direct Plan - Monthly IDCW;12.6738;25-Aug-2023")</f>
        <v>134026;INF789FC1HE1;INF789FC1HF8;UTI Banking &amp; PSU Debt Fund - Direct Plan - Monthly IDCW;12.6738;25-Aug-2023</v>
      </c>
      <c r="B279" s="1"/>
    </row>
    <row r="280">
      <c r="A280" s="1" t="str">
        <f>IFERROR(__xludf.DUMMYFUNCTION("""COMPUTED_VALUE"""),"126942;INF789F016Z4;INF789F017Z2;UTI Banking &amp; PSU Debt Fund - Direct Plan - Quarterly IDCW;14.3596;25-Aug-2023")</f>
        <v>126942;INF789F016Z4;INF789F017Z2;UTI Banking &amp; PSU Debt Fund - Direct Plan - Quarterly IDCW;14.3596;25-Aug-2023</v>
      </c>
      <c r="B280" s="1"/>
    </row>
    <row r="281">
      <c r="A281" s="1" t="str">
        <f>IFERROR(__xludf.DUMMYFUNCTION("""COMPUTED_VALUE"""),"140116;INF789FA1U46;INF789FA1U53;UTI Banking &amp; PSU Debt Fund - Regular Plan - Annual IDCW;12.1497;25-Aug-2023")</f>
        <v>140116;INF789FA1U46;INF789FA1U53;UTI Banking &amp; PSU Debt Fund - Regular Plan - Annual IDCW;12.1497;25-Aug-2023</v>
      </c>
      <c r="B281" s="1"/>
    </row>
    <row r="282">
      <c r="A282" s="1" t="str">
        <f>IFERROR(__xludf.DUMMYFUNCTION("""COMPUTED_VALUE"""),"133971;INF789FA1U61;INF789FA1U79;UTI Banking &amp; PSU Debt Fund - Regular Plan - Flexi IDCW;12.7811;25-Aug-2023")</f>
        <v>133971;INF789FA1U61;INF789FA1U79;UTI Banking &amp; PSU Debt Fund - Regular Plan - Flexi IDCW;12.7811;25-Aug-2023</v>
      </c>
      <c r="B282" s="1"/>
    </row>
    <row r="283">
      <c r="A283" s="1" t="str">
        <f>IFERROR(__xludf.DUMMYFUNCTION("""COMPUTED_VALUE"""),"139407;INF789FA1U20;INF789FA1U38;UTI Banking &amp; PSU Debt Fund - Regular Plan - Half-Yearly IDCW;12.7278;25-Aug-2023")</f>
        <v>139407;INF789FA1U20;INF789FA1U38;UTI Banking &amp; PSU Debt Fund - Regular Plan - Half-Yearly IDCW;12.7278;25-Aug-2023</v>
      </c>
      <c r="B283" s="1"/>
    </row>
    <row r="284">
      <c r="A284" s="1" t="str">
        <f>IFERROR(__xludf.DUMMYFUNCTION("""COMPUTED_VALUE"""),"136110;INF789FC1HC5;INF789FC1HD3;UTI Banking &amp; PSU Debt Fund - Regular Plan - Monthly IDCW;12.5386;25-Aug-2023")</f>
        <v>136110;INF789FC1HC5;INF789FC1HD3;UTI Banking &amp; PSU Debt Fund - Regular Plan - Monthly IDCW;12.5386;25-Aug-2023</v>
      </c>
      <c r="B284" s="1"/>
    </row>
    <row r="285">
      <c r="A285" s="1" t="str">
        <f>IFERROR(__xludf.DUMMYFUNCTION("""COMPUTED_VALUE"""),"126941;INF789F012Z3;INF789F013Z1;UTI Banking &amp; PSU Debt Fund - Regular Plan - Quarterly IDCW;13.0794;25-Aug-2023")</f>
        <v>126941;INF789F012Z3;INF789F013Z1;UTI Banking &amp; PSU Debt Fund - Regular Plan - Quarterly IDCW;13.0794;25-Aug-2023</v>
      </c>
      <c r="B285" s="1"/>
    </row>
    <row r="286">
      <c r="A286" s="1" t="str">
        <f>IFERROR(__xludf.DUMMYFUNCTION("""COMPUTED_VALUE"""),"126939;INF789F014Z9;-;UTI Banking &amp; PSU Debt Fund- Regular Plan - Growth Option;19.0592;25-Aug-2023")</f>
        <v>126939;INF789F014Z9;-;UTI Banking &amp; PSU Debt Fund- Regular Plan - Growth Option;19.0592;25-Aug-2023</v>
      </c>
      <c r="B286" s="1"/>
    </row>
    <row r="287">
      <c r="A287" s="1"/>
      <c r="B287" s="1"/>
    </row>
    <row r="288">
      <c r="A288" s="1" t="str">
        <f>IFERROR(__xludf.DUMMYFUNCTION("""COMPUTED_VALUE"""),"Open Ended Schemes(Debt Scheme - Corporate Bond Fund)")</f>
        <v>Open Ended Schemes(Debt Scheme - Corporate Bond Fund)</v>
      </c>
      <c r="B288" s="1"/>
    </row>
    <row r="289">
      <c r="A289" s="1"/>
      <c r="B289" s="1"/>
    </row>
    <row r="290">
      <c r="A290" s="1" t="str">
        <f>IFERROR(__xludf.DUMMYFUNCTION("""COMPUTED_VALUE"""),"Aditya Birla Sun Life Mutual Fund")</f>
        <v>Aditya Birla Sun Life Mutual Fund</v>
      </c>
      <c r="B290" s="1"/>
    </row>
    <row r="291">
      <c r="A291" s="1"/>
      <c r="B291" s="1"/>
    </row>
    <row r="292">
      <c r="A292" s="1" t="str">
        <f>IFERROR(__xludf.DUMMYFUNCTION("""COMPUTED_VALUE"""),"119533;INF209K01S38;-;Aditya Birla Sun Life Corporate Bond Fund - Growth - Direct Plan;98.6243;25-Aug-2023")</f>
        <v>119533;INF209K01S38;-;Aditya Birla Sun Life Corporate Bond Fund - Growth - Direct Plan;98.6243;25-Aug-2023</v>
      </c>
      <c r="B292" s="1"/>
    </row>
    <row r="293">
      <c r="A293" s="1" t="str">
        <f>IFERROR(__xludf.DUMMYFUNCTION("""COMPUTED_VALUE"""),"103178;INF209K01785;-;Aditya Birla Sun Life Corporate Bond Fund - Growth - Regular Plan;97.3025;25-Aug-2023")</f>
        <v>103178;INF209K01785;-;Aditya Birla Sun Life Corporate Bond Fund - Growth - Regular Plan;97.3025;25-Aug-2023</v>
      </c>
      <c r="B293" s="1"/>
    </row>
    <row r="294">
      <c r="A294" s="1" t="str">
        <f>IFERROR(__xludf.DUMMYFUNCTION("""COMPUTED_VALUE"""),"124832;INF209KA1KT0;-;Aditya Birla Sun Life Corporate Bond Fund -DIRECT - IDCW;11.2335;25-Aug-2023")</f>
        <v>124832;INF209KA1KT0;-;Aditya Birla Sun Life Corporate Bond Fund -DIRECT - IDCW;11.2335;25-Aug-2023</v>
      </c>
      <c r="B294" s="1"/>
    </row>
    <row r="295">
      <c r="A295" s="1" t="str">
        <f>IFERROR(__xludf.DUMMYFUNCTION("""COMPUTED_VALUE"""),"119532;INF209K01N90;-;Aditya Birla Sun Life Corporate Bond Fund -DIRECT - MONTHLY IDCW;12.4589;25-Aug-2023")</f>
        <v>119532;INF209K01N90;-;Aditya Birla Sun Life Corporate Bond Fund -DIRECT - MONTHLY IDCW;12.4589;25-Aug-2023</v>
      </c>
      <c r="B295" s="1"/>
    </row>
    <row r="296">
      <c r="A296" s="1" t="str">
        <f>IFERROR(__xludf.DUMMYFUNCTION("""COMPUTED_VALUE"""),"124833;INF209KA1KS2;-;Aditya Birla Sun Life Corporate Bond Fund -REGULAR - IDCW;12.6595;25-Aug-2023")</f>
        <v>124833;INF209KA1KS2;-;Aditya Birla Sun Life Corporate Bond Fund -REGULAR - IDCW;12.6595;25-Aug-2023</v>
      </c>
      <c r="B296" s="1"/>
    </row>
    <row r="297">
      <c r="A297" s="1" t="str">
        <f>IFERROR(__xludf.DUMMYFUNCTION("""COMPUTED_VALUE"""),"103183;INF209K01983;INF209K01DL8;Aditya Birla Sun Life Corporate Bond Fund -REGULAR - MONTHLY IDCW;12.3126;25-Aug-2023")</f>
        <v>103183;INF209K01983;INF209K01DL8;Aditya Birla Sun Life Corporate Bond Fund -REGULAR - MONTHLY IDCW;12.3126;25-Aug-2023</v>
      </c>
      <c r="B297" s="1"/>
    </row>
    <row r="298">
      <c r="A298" s="1" t="str">
        <f>IFERROR(__xludf.DUMMYFUNCTION("""COMPUTED_VALUE"""),"103177;-;-;Aditya Birla Sun Life Income Fund-Plan A(Dividend);11.7535;11-Feb-2011")</f>
        <v>103177;-;-;Aditya Birla Sun Life Income Fund-Plan A(Dividend);11.7535;11-Feb-2011</v>
      </c>
      <c r="B298" s="1"/>
    </row>
    <row r="299">
      <c r="A299" s="1" t="str">
        <f>IFERROR(__xludf.DUMMYFUNCTION("""COMPUTED_VALUE"""),"103179;-;INF209K01DI4;Aditya Birla Sun Life Income Fund-Plan D(54EA Dividend);10.6457;11-Feb-2011")</f>
        <v>103179;-;INF209K01DI4;Aditya Birla Sun Life Income Fund-Plan D(54EA Dividend);10.6457;11-Feb-2011</v>
      </c>
      <c r="B299" s="1"/>
    </row>
    <row r="300">
      <c r="A300" s="1" t="str">
        <f>IFERROR(__xludf.DUMMYFUNCTION("""COMPUTED_VALUE"""),"103180;-;-;Aditya Birla Sun Life Income Fund-Plan E(54EA Growth);35.2986;11-Feb-2011")</f>
        <v>103180;-;-;Aditya Birla Sun Life Income Fund-Plan E(54EA Growth);35.2986;11-Feb-2011</v>
      </c>
      <c r="B300" s="1"/>
    </row>
    <row r="301">
      <c r="A301" s="1" t="str">
        <f>IFERROR(__xludf.DUMMYFUNCTION("""COMPUTED_VALUE"""),"103181;-;-;Aditya Birla Sun Life Income Fund-PLan F(54EB Dividend);15.5708;11-Feb-2011")</f>
        <v>103181;-;-;Aditya Birla Sun Life Income Fund-PLan F(54EB Dividend);15.5708;11-Feb-2011</v>
      </c>
      <c r="B301" s="1"/>
    </row>
    <row r="302">
      <c r="A302" s="1" t="str">
        <f>IFERROR(__xludf.DUMMYFUNCTION("""COMPUTED_VALUE"""),"103182;-;-;Aditya Birla Sun Life Income Fund-Plan G(54EB Growth);35.0763;11-Feb-2011")</f>
        <v>103182;-;-;Aditya Birla Sun Life Income Fund-Plan G(54EB Growth);35.0763;11-Feb-2011</v>
      </c>
      <c r="B302" s="1"/>
    </row>
    <row r="303">
      <c r="A303" s="1"/>
      <c r="B303" s="1"/>
    </row>
    <row r="304">
      <c r="A304" s="1" t="str">
        <f>IFERROR(__xludf.DUMMYFUNCTION("""COMPUTED_VALUE"""),"Axis Mutual Fund")</f>
        <v>Axis Mutual Fund</v>
      </c>
      <c r="B304" s="1"/>
    </row>
    <row r="305">
      <c r="A305" s="1"/>
      <c r="B305" s="1"/>
    </row>
    <row r="306">
      <c r="A306" s="1" t="str">
        <f>IFERROR(__xludf.DUMMYFUNCTION("""COMPUTED_VALUE"""),"141586;INF846K01ZN6;-;Axis Corporate Debt Fund - Direct Plan - Daily IDCW;10.2348;25-Aug-2023")</f>
        <v>141586;INF846K01ZN6;-;Axis Corporate Debt Fund - Direct Plan - Daily IDCW;10.2348;25-Aug-2023</v>
      </c>
      <c r="B306" s="1"/>
    </row>
    <row r="307">
      <c r="A307" s="1" t="str">
        <f>IFERROR(__xludf.DUMMYFUNCTION("""COMPUTED_VALUE"""),"141590;INF846K01ZQ9;INF846K01ZR7;Axis Corporate Debt Fund - Direct Plan - Monthly IDCW;10.1903;25-Aug-2023")</f>
        <v>141590;INF846K01ZQ9;INF846K01ZR7;Axis Corporate Debt Fund - Direct Plan - Monthly IDCW;10.1903;25-Aug-2023</v>
      </c>
      <c r="B307" s="1"/>
    </row>
    <row r="308">
      <c r="A308" s="1" t="str">
        <f>IFERROR(__xludf.DUMMYFUNCTION("""COMPUTED_VALUE"""),"141591;INF846K01ZS5;INF846K01ZT3;Axis Corporate Debt Fund - Direct Plan - Regular IDCW;13.1096;25-Aug-2023")</f>
        <v>141591;INF846K01ZS5;INF846K01ZT3;Axis Corporate Debt Fund - Direct Plan - Regular IDCW;13.1096;25-Aug-2023</v>
      </c>
      <c r="B308" s="1"/>
    </row>
    <row r="309">
      <c r="A309" s="1" t="str">
        <f>IFERROR(__xludf.DUMMYFUNCTION("""COMPUTED_VALUE"""),"141587;INF846K01ZO4;INF846K01ZP1;Axis Corporate Debt Fund - Direct Plan - Weekly IDCW;10.3777;25-Aug-2023")</f>
        <v>141587;INF846K01ZO4;INF846K01ZP1;Axis Corporate Debt Fund - Direct Plan - Weekly IDCW;10.3777;25-Aug-2023</v>
      </c>
      <c r="B309" s="1"/>
    </row>
    <row r="310">
      <c r="A310" s="1" t="str">
        <f>IFERROR(__xludf.DUMMYFUNCTION("""COMPUTED_VALUE"""),"141588;INF846K01ZM8;-;Axis Corporate Debt Fund - Direct Plan Growth;15.4487;25-Aug-2023")</f>
        <v>141588;INF846K01ZM8;-;Axis Corporate Debt Fund - Direct Plan Growth;15.4487;25-Aug-2023</v>
      </c>
      <c r="B310" s="1"/>
    </row>
    <row r="311">
      <c r="A311" s="1" t="str">
        <f>IFERROR(__xludf.DUMMYFUNCTION("""COMPUTED_VALUE"""),"141589;INF846K01ZV9;-;Axis Corporate Debt Fund - Regular Plan - Daily IDCW;10.2347;25-Aug-2023")</f>
        <v>141589;INF846K01ZV9;-;Axis Corporate Debt Fund - Regular Plan - Daily IDCW;10.2347;25-Aug-2023</v>
      </c>
      <c r="B311" s="1"/>
    </row>
    <row r="312">
      <c r="A312" s="1" t="str">
        <f>IFERROR(__xludf.DUMMYFUNCTION("""COMPUTED_VALUE"""),"141594;INF846K01ZY3;INF846K01ZZ0;Axis Corporate Debt Fund - Regular Plan - Monthly IDCW;10.1875;25-Aug-2023")</f>
        <v>141594;INF846K01ZY3;INF846K01ZZ0;Axis Corporate Debt Fund - Regular Plan - Monthly IDCW;10.1875;25-Aug-2023</v>
      </c>
      <c r="B312" s="1"/>
    </row>
    <row r="313">
      <c r="A313" s="1" t="str">
        <f>IFERROR(__xludf.DUMMYFUNCTION("""COMPUTED_VALUE"""),"141595;INF846K01A03;INF846K01A11;Axis Corporate Debt Fund - Regular Plan - Regular IDCW;12.4554;25-Aug-2023")</f>
        <v>141595;INF846K01A03;INF846K01A11;Axis Corporate Debt Fund - Regular Plan - Regular IDCW;12.4554;25-Aug-2023</v>
      </c>
      <c r="B313" s="1"/>
    </row>
    <row r="314">
      <c r="A314" s="1" t="str">
        <f>IFERROR(__xludf.DUMMYFUNCTION("""COMPUTED_VALUE"""),"141592;INF846K01ZW7;INF846K01ZX5;Axis Corporate Debt Fund - Regular Plan - Weekly IDCW;10.2588;25-Aug-2023")</f>
        <v>141592;INF846K01ZW7;INF846K01ZX5;Axis Corporate Debt Fund - Regular Plan - Weekly IDCW;10.2588;25-Aug-2023</v>
      </c>
      <c r="B314" s="1"/>
    </row>
    <row r="315">
      <c r="A315" s="1" t="str">
        <f>IFERROR(__xludf.DUMMYFUNCTION("""COMPUTED_VALUE"""),"141593;INF846K01ZU1;-;Axis Corporate Debt Fund - Regular Plan Growth;14.7584;25-Aug-2023")</f>
        <v>141593;INF846K01ZU1;-;Axis Corporate Debt Fund - Regular Plan Growth;14.7584;25-Aug-2023</v>
      </c>
      <c r="B315" s="1"/>
    </row>
    <row r="316">
      <c r="A316" s="1"/>
      <c r="B316" s="1"/>
    </row>
    <row r="317">
      <c r="A317" s="1" t="str">
        <f>IFERROR(__xludf.DUMMYFUNCTION("""COMPUTED_VALUE"""),"Bandhan Mutual Fund")</f>
        <v>Bandhan Mutual Fund</v>
      </c>
      <c r="B317" s="1"/>
    </row>
    <row r="318">
      <c r="A318" s="1"/>
      <c r="B318" s="1"/>
    </row>
    <row r="319">
      <c r="A319" s="1" t="str">
        <f>IFERROR(__xludf.DUMMYFUNCTION("""COMPUTED_VALUE"""),"139201;INF194KA1T34;INF194KA1T42;BANDHAN Corporate Bond Fund - Direct Annual IDCW;10.4596;25-Aug-2023")</f>
        <v>139201;INF194KA1T34;INF194KA1T42;BANDHAN Corporate Bond Fund - Direct Annual IDCW;10.4596;25-Aug-2023</v>
      </c>
      <c r="B319" s="1"/>
    </row>
    <row r="320">
      <c r="A320" s="1" t="str">
        <f>IFERROR(__xludf.DUMMYFUNCTION("""COMPUTED_VALUE"""),"135916;INF194KA1M23;-;BANDHAN Corporate Bond Fund - Direct Growth;17.1028;25-Aug-2023")</f>
        <v>135916;INF194KA1M23;-;BANDHAN Corporate Bond Fund - Direct Growth;17.1028;25-Aug-2023</v>
      </c>
      <c r="B320" s="1"/>
    </row>
    <row r="321">
      <c r="A321" s="1" t="str">
        <f>IFERROR(__xludf.DUMMYFUNCTION("""COMPUTED_VALUE"""),"139200;INF194KA1T00;INF194KA1T18;BANDHAN Corporate Bond Fund - Direct Half Yearly IDCW;11.6945;25-Aug-2023")</f>
        <v>139200;INF194KA1T00;INF194KA1T18;BANDHAN Corporate Bond Fund - Direct Half Yearly IDCW;11.6945;25-Aug-2023</v>
      </c>
      <c r="B321" s="1"/>
    </row>
    <row r="322">
      <c r="A322" s="1" t="str">
        <f>IFERROR(__xludf.DUMMYFUNCTION("""COMPUTED_VALUE"""),"139198;INF194KA1S43;INF194KA1S50;BANDHAN Corporate Bond Fund - Direct Monthly IDCW;10.3845;25-Aug-2023")</f>
        <v>139198;INF194KA1S43;INF194KA1S50;BANDHAN Corporate Bond Fund - Direct Monthly IDCW;10.3845;25-Aug-2023</v>
      </c>
      <c r="B322" s="1"/>
    </row>
    <row r="323">
      <c r="A323" s="1" t="str">
        <f>IFERROR(__xludf.DUMMYFUNCTION("""COMPUTED_VALUE"""),"135917;INF194KA1M31;INF194KA1M49;BANDHAN Corporate Bond Fund - Direct Periodic IDCW;11.3467;25-Aug-2023")</f>
        <v>135917;INF194KA1M31;INF194KA1M49;BANDHAN Corporate Bond Fund - Direct Periodic IDCW;11.3467;25-Aug-2023</v>
      </c>
      <c r="B323" s="1"/>
    </row>
    <row r="324">
      <c r="A324" s="1" t="str">
        <f>IFERROR(__xludf.DUMMYFUNCTION("""COMPUTED_VALUE"""),"139199;INF194KA1S76;INF194KA1S84;BANDHAN Corporate Bond Fund - Direct Quarterly IDCW;10.4759;25-Aug-2023")</f>
        <v>139199;INF194KA1S76;INF194KA1S84;BANDHAN Corporate Bond Fund - Direct Quarterly IDCW;10.4759;25-Aug-2023</v>
      </c>
      <c r="B324" s="1"/>
    </row>
    <row r="325">
      <c r="A325" s="1" t="str">
        <f>IFERROR(__xludf.DUMMYFUNCTION("""COMPUTED_VALUE"""),"139204;INF194KA1S19;INF194KA1S27;BANDHAN Corporate Bond Fund - Regular Annual IDCW;10.4433;25-Aug-2023")</f>
        <v>139204;INF194KA1S19;INF194KA1S27;BANDHAN Corporate Bond Fund - Regular Annual IDCW;10.4433;25-Aug-2023</v>
      </c>
      <c r="B325" s="1"/>
    </row>
    <row r="326">
      <c r="A326" s="1" t="str">
        <f>IFERROR(__xludf.DUMMYFUNCTION("""COMPUTED_VALUE"""),"135914;INF194KA1L81;-;BANDHAN Corporate Bond Fund - Regular Growth;16.7064;25-Aug-2023")</f>
        <v>135914;INF194KA1L81;-;BANDHAN Corporate Bond Fund - Regular Growth;16.7064;25-Aug-2023</v>
      </c>
      <c r="B326" s="1"/>
    </row>
    <row r="327">
      <c r="A327" s="1" t="str">
        <f>IFERROR(__xludf.DUMMYFUNCTION("""COMPUTED_VALUE"""),"139203;INF194KA1R85;INF194KA1R93;BANDHAN Corporate Bond Fund - Regular Half Yearly IDCW;11.0752;25-Aug-2023")</f>
        <v>139203;INF194KA1R85;INF194KA1R93;BANDHAN Corporate Bond Fund - Regular Half Yearly IDCW;11.0752;25-Aug-2023</v>
      </c>
      <c r="B327" s="1"/>
    </row>
    <row r="328">
      <c r="A328" s="1" t="str">
        <f>IFERROR(__xludf.DUMMYFUNCTION("""COMPUTED_VALUE"""),"139202;INF194KA1R28;INF194KA1R36;BANDHAN Corporate Bond Fund - Regular Monthly IDCW;10.6367;25-Aug-2023")</f>
        <v>139202;INF194KA1R28;INF194KA1R36;BANDHAN Corporate Bond Fund - Regular Monthly IDCW;10.6367;25-Aug-2023</v>
      </c>
      <c r="B328" s="1"/>
    </row>
    <row r="329">
      <c r="A329" s="1" t="str">
        <f>IFERROR(__xludf.DUMMYFUNCTION("""COMPUTED_VALUE"""),"135915;INF194KA1L99;INF194KA1M07;BANDHAN Corporate Bond Fund - Regular Periodic IDCW;11.2623;25-Aug-2023")</f>
        <v>135915;INF194KA1L99;INF194KA1M07;BANDHAN Corporate Bond Fund - Regular Periodic IDCW;11.2623;25-Aug-2023</v>
      </c>
      <c r="B329" s="1"/>
    </row>
    <row r="330">
      <c r="A330" s="1" t="str">
        <f>IFERROR(__xludf.DUMMYFUNCTION("""COMPUTED_VALUE"""),"139205;INF194KA1R51;INF194KA1R69;BANDHAN Corporate Bond Fund - Regular Quarterly IDCW;10.5170;25-Aug-2023")</f>
        <v>139205;INF194KA1R51;INF194KA1R69;BANDHAN Corporate Bond Fund - Regular Quarterly IDCW;10.5170;25-Aug-2023</v>
      </c>
      <c r="B330" s="1"/>
    </row>
    <row r="331">
      <c r="A331" s="1"/>
      <c r="B331" s="1"/>
    </row>
    <row r="332">
      <c r="A332" s="1" t="str">
        <f>IFERROR(__xludf.DUMMYFUNCTION("""COMPUTED_VALUE"""),"Baroda BNP Paribas Mutual Fund")</f>
        <v>Baroda BNP Paribas Mutual Fund</v>
      </c>
      <c r="B332" s="1"/>
    </row>
    <row r="333">
      <c r="A333" s="1"/>
      <c r="B333" s="1"/>
    </row>
    <row r="334">
      <c r="A334" s="1" t="str">
        <f>IFERROR(__xludf.DUMMYFUNCTION("""COMPUTED_VALUE"""),"150230;INF251K01EN4;INF251K01EO2;BARODA BNP PARIBAS Corporate Bond Fund - Defunct Plan - Annual-IDCW Option;10.5895;25-Aug-2023")</f>
        <v>150230;INF251K01EN4;INF251K01EO2;BARODA BNP PARIBAS Corporate Bond Fund - Defunct Plan - Annual-IDCW Option;10.5895;25-Aug-2023</v>
      </c>
      <c r="B334" s="1"/>
    </row>
    <row r="335">
      <c r="A335" s="1" t="str">
        <f>IFERROR(__xludf.DUMMYFUNCTION("""COMPUTED_VALUE"""),"150229;INF251K01EI4;-;BARODA BNP PARIBAS Corporate Bond Fund - Defunct Plan - Growth Option;27.3702;25-Aug-2023")</f>
        <v>150229;INF251K01EI4;-;BARODA BNP PARIBAS Corporate Bond Fund - Defunct Plan - Growth Option;27.3702;25-Aug-2023</v>
      </c>
      <c r="B335" s="1"/>
    </row>
    <row r="336">
      <c r="A336" s="1" t="str">
        <f>IFERROR(__xludf.DUMMYFUNCTION("""COMPUTED_VALUE"""),"150231;INF251K01EJ2;INF251K01EK0;BARODA BNP PARIBAS Corporate Bond Fund - Defunct Plan - Monthly-IDCW Option;10.1737;25-Aug-2023")</f>
        <v>150231;INF251K01EJ2;INF251K01EK0;BARODA BNP PARIBAS Corporate Bond Fund - Defunct Plan - Monthly-IDCW Option;10.1737;25-Aug-2023</v>
      </c>
      <c r="B336" s="1"/>
    </row>
    <row r="337">
      <c r="A337" s="1" t="str">
        <f>IFERROR(__xludf.DUMMYFUNCTION("""COMPUTED_VALUE"""),"150228;INF251K01EL8;INF251K01EM6;BARODA BNP PARIBAS Corporate Bond Fund - Defunct Plan - Quarterly-IDCW Option;10.2363;25-Aug-2023")</f>
        <v>150228;INF251K01EL8;INF251K01EM6;BARODA BNP PARIBAS Corporate Bond Fund - Defunct Plan - Quarterly-IDCW Option;10.2363;25-Aug-2023</v>
      </c>
      <c r="B337" s="1"/>
    </row>
    <row r="338">
      <c r="A338" s="1" t="str">
        <f>IFERROR(__xludf.DUMMYFUNCTION("""COMPUTED_VALUE"""),"150236;INF251K01GU4;INF251K01GV2;BARODA BNP PARIBAS Corporate Bond Fund - Direct Plan - Annual IDCW Option;10.7665;25-Aug-2023")</f>
        <v>150236;INF251K01GU4;INF251K01GV2;BARODA BNP PARIBAS Corporate Bond Fund - Direct Plan - Annual IDCW Option;10.7665;25-Aug-2023</v>
      </c>
      <c r="B338" s="1"/>
    </row>
    <row r="339">
      <c r="A339" s="1" t="str">
        <f>IFERROR(__xludf.DUMMYFUNCTION("""COMPUTED_VALUE"""),"150237;INF251K01GP4;-;BARODA BNP PARIBAS Corporate Bond Fund - Direct Plan - Growth Option;24.9772;25-Aug-2023")</f>
        <v>150237;INF251K01GP4;-;BARODA BNP PARIBAS Corporate Bond Fund - Direct Plan - Growth Option;24.9772;25-Aug-2023</v>
      </c>
      <c r="B339" s="1"/>
    </row>
    <row r="340">
      <c r="A340" s="1" t="str">
        <f>IFERROR(__xludf.DUMMYFUNCTION("""COMPUTED_VALUE"""),"150238;INF251K01GQ2;INF251K01GR0;BARODA BNP PARIBAS Corporate Bond Fund - Direct Plan - Monthly IDCW Option;10.2633;25-Aug-2023")</f>
        <v>150238;INF251K01GQ2;INF251K01GR0;BARODA BNP PARIBAS Corporate Bond Fund - Direct Plan - Monthly IDCW Option;10.2633;25-Aug-2023</v>
      </c>
      <c r="B340" s="1"/>
    </row>
    <row r="341">
      <c r="A341" s="1" t="str">
        <f>IFERROR(__xludf.DUMMYFUNCTION("""COMPUTED_VALUE"""),"150239;INF251K01GS8;INF251K01GT6;BARODA BNP PARIBAS Corporate Bond Fund - Direct Plan - Quarterly IDCW Option;10.4082;25-Aug-2023")</f>
        <v>150239;INF251K01GS8;INF251K01GT6;BARODA BNP PARIBAS Corporate Bond Fund - Direct Plan - Quarterly IDCW Option;10.4082;25-Aug-2023</v>
      </c>
      <c r="B341" s="1"/>
    </row>
    <row r="342">
      <c r="A342" s="1" t="str">
        <f>IFERROR(__xludf.DUMMYFUNCTION("""COMPUTED_VALUE"""),"150233;INF251K01EU9;INF251K01EV7;BARODA BNP PARIBAS CORPORATE BOND FUND - Regular Plan - ANNUAL IDCW OPTION;10.5257;25-Aug-2023")</f>
        <v>150233;INF251K01EU9;INF251K01EV7;BARODA BNP PARIBAS CORPORATE BOND FUND - Regular Plan - ANNUAL IDCW OPTION;10.5257;25-Aug-2023</v>
      </c>
      <c r="B342" s="1"/>
    </row>
    <row r="343">
      <c r="A343" s="1" t="str">
        <f>IFERROR(__xludf.DUMMYFUNCTION("""COMPUTED_VALUE"""),"150235;INF251K01EP9;-;BARODA BNP PARIBAS CORPORATE BOND FUND - Regular Plan - GROWTH OPTION;23.6493;25-Aug-2023")</f>
        <v>150235;INF251K01EP9;-;BARODA BNP PARIBAS CORPORATE BOND FUND - Regular Plan - GROWTH OPTION;23.6493;25-Aug-2023</v>
      </c>
      <c r="B343" s="1"/>
    </row>
    <row r="344">
      <c r="A344" s="1" t="str">
        <f>IFERROR(__xludf.DUMMYFUNCTION("""COMPUTED_VALUE"""),"150234;INF251K01EQ7;INF251K01ER5;BARODA BNP PARIBAS CORPORATE BOND FUND - Regular Plan - MONTHLY IDCW OPTION;10.2060;25-Aug-2023")</f>
        <v>150234;INF251K01EQ7;INF251K01ER5;BARODA BNP PARIBAS CORPORATE BOND FUND - Regular Plan - MONTHLY IDCW OPTION;10.2060;25-Aug-2023</v>
      </c>
      <c r="B344" s="1"/>
    </row>
    <row r="345">
      <c r="A345" s="1" t="str">
        <f>IFERROR(__xludf.DUMMYFUNCTION("""COMPUTED_VALUE"""),"150232;INF251K01ES3;INF251K01ET1;BARODA BNP PARIBAS CORPORATE BOND FUND - Regular Plan - QUARTERLY IDCW OPTION;10.2471;25-Aug-2023")</f>
        <v>150232;INF251K01ES3;INF251K01ET1;BARODA BNP PARIBAS CORPORATE BOND FUND - Regular Plan - QUARTERLY IDCW OPTION;10.2471;25-Aug-2023</v>
      </c>
      <c r="B345" s="1"/>
    </row>
    <row r="346">
      <c r="A346" s="1"/>
      <c r="B346" s="1"/>
    </row>
    <row r="347">
      <c r="A347" s="1" t="str">
        <f>IFERROR(__xludf.DUMMYFUNCTION("""COMPUTED_VALUE"""),"Canara Robeco Mutual Fund")</f>
        <v>Canara Robeco Mutual Fund</v>
      </c>
      <c r="B347" s="1"/>
    </row>
    <row r="348">
      <c r="A348" s="1"/>
      <c r="B348" s="1"/>
    </row>
    <row r="349">
      <c r="A349" s="1" t="str">
        <f>IFERROR(__xludf.DUMMYFUNCTION("""COMPUTED_VALUE"""),"126685;INF760K01HB2;-;CANARA ROBECO CORPORATE BOND FUND - DIRECT PLAN - GROWTH OPTION;20.2026;25-Aug-2023")</f>
        <v>126685;INF760K01HB2;-;CANARA ROBECO CORPORATE BOND FUND - DIRECT PLAN - GROWTH OPTION;20.2026;25-Aug-2023</v>
      </c>
      <c r="B349" s="1"/>
    </row>
    <row r="350">
      <c r="A350" s="1" t="str">
        <f>IFERROR(__xludf.DUMMYFUNCTION("""COMPUTED_VALUE"""),"126686;INF760K01HC0;INF760K01HD8;CANARA ROBECO CORPORATE BOND FUND - DIRECT PLAN - IDCW (Payout/Reinvestment);12.2291;25-Aug-2023")</f>
        <v>126686;INF760K01HC0;INF760K01HD8;CANARA ROBECO CORPORATE BOND FUND - DIRECT PLAN - IDCW (Payout/Reinvestment);12.2291;25-Aug-2023</v>
      </c>
      <c r="B350" s="1"/>
    </row>
    <row r="351">
      <c r="A351" s="1" t="str">
        <f>IFERROR(__xludf.DUMMYFUNCTION("""COMPUTED_VALUE"""),"126687;INF760K01GY6;-;CANARA ROBECO CORPORATE BOND FUND - REGULAR PLAN - GROWTH OPTION;19.0820;25-Aug-2023")</f>
        <v>126687;INF760K01GY6;-;CANARA ROBECO CORPORATE BOND FUND - REGULAR PLAN - GROWTH OPTION;19.0820;25-Aug-2023</v>
      </c>
      <c r="B351" s="1"/>
    </row>
    <row r="352">
      <c r="A352" s="1" t="str">
        <f>IFERROR(__xludf.DUMMYFUNCTION("""COMPUTED_VALUE"""),"126688;INF760K01GZ3;INF760K01HA4;CANARA ROBECO CORPORATE BOND FUND - REGULAR PLAN - IDCW (Payout/Reinvestment);11.5534;25-Aug-2023")</f>
        <v>126688;INF760K01GZ3;INF760K01HA4;CANARA ROBECO CORPORATE BOND FUND - REGULAR PLAN - IDCW (Payout/Reinvestment);11.5534;25-Aug-2023</v>
      </c>
      <c r="B352" s="1"/>
    </row>
    <row r="353">
      <c r="A353" s="1"/>
      <c r="B353" s="1"/>
    </row>
    <row r="354">
      <c r="A354" s="1" t="str">
        <f>IFERROR(__xludf.DUMMYFUNCTION("""COMPUTED_VALUE"""),"DSP Mutual Fund")</f>
        <v>DSP Mutual Fund</v>
      </c>
      <c r="B354" s="1"/>
    </row>
    <row r="355">
      <c r="A355" s="1"/>
      <c r="B355" s="1"/>
    </row>
    <row r="356">
      <c r="A356" s="1" t="str">
        <f>IFERROR(__xludf.DUMMYFUNCTION("""COMPUTED_VALUE"""),"144646;INF740KA1KE8;-;DSP Corporate Bond Fund - Direct - Growth;14.0684;25-Aug-2023")</f>
        <v>144646;INF740KA1KE8;-;DSP Corporate Bond Fund - Direct - Growth;14.0684;25-Aug-2023</v>
      </c>
      <c r="B356" s="1"/>
    </row>
    <row r="357">
      <c r="A357" s="1" t="str">
        <f>IFERROR(__xludf.DUMMYFUNCTION("""COMPUTED_VALUE"""),"144647;INF740KA1KF5;INF740KA1KG3;DSP Corporate Bond Fund - Direct - IDCW;11.4871;25-Aug-2023")</f>
        <v>144647;INF740KA1KF5;INF740KA1KG3;DSP Corporate Bond Fund - Direct - IDCW;11.4871;25-Aug-2023</v>
      </c>
      <c r="B357" s="1"/>
    </row>
    <row r="358">
      <c r="A358" s="1" t="str">
        <f>IFERROR(__xludf.DUMMYFUNCTION("""COMPUTED_VALUE"""),"144651;INF740KA1KH1;INF740KA1KI9;DSP Corporate Bond Fund - Direct - IDCW - Monthly;10.4606;25-Aug-2023")</f>
        <v>144651;INF740KA1KH1;INF740KA1KI9;DSP Corporate Bond Fund - Direct - IDCW - Monthly;10.4606;25-Aug-2023</v>
      </c>
      <c r="B358" s="1"/>
    </row>
    <row r="359">
      <c r="A359" s="1" t="str">
        <f>IFERROR(__xludf.DUMMYFUNCTION("""COMPUTED_VALUE"""),"144648;INF740KA1KJ7;INF740KA1KK5;DSP Corporate Bond Fund - Direct - IDCW - Quarterly ;11.2215;25-Aug-2023")</f>
        <v>144648;INF740KA1KJ7;INF740KA1KK5;DSP Corporate Bond Fund - Direct - IDCW - Quarterly ;11.2215;25-Aug-2023</v>
      </c>
      <c r="B359" s="1"/>
    </row>
    <row r="360">
      <c r="A360" s="1" t="str">
        <f>IFERROR(__xludf.DUMMYFUNCTION("""COMPUTED_VALUE"""),"144644;INF740KA1JX0;-;DSP Corporate Bond Fund - Regular - Growth;13.8935;25-Aug-2023")</f>
        <v>144644;INF740KA1JX0;-;DSP Corporate Bond Fund - Regular - Growth;13.8935;25-Aug-2023</v>
      </c>
      <c r="B360" s="1"/>
    </row>
    <row r="361">
      <c r="A361" s="1" t="str">
        <f>IFERROR(__xludf.DUMMYFUNCTION("""COMPUTED_VALUE"""),"144650;INF740KA1JY8;INF740KA1JZ5;DSP Corporate Bond Fund - Regular - IDCW;11.4555;25-Aug-2023")</f>
        <v>144650;INF740KA1JY8;INF740KA1JZ5;DSP Corporate Bond Fund - Regular - IDCW;11.4555;25-Aug-2023</v>
      </c>
      <c r="B361" s="1"/>
    </row>
    <row r="362">
      <c r="A362" s="1" t="str">
        <f>IFERROR(__xludf.DUMMYFUNCTION("""COMPUTED_VALUE"""),"144645;INF740KA1KA6;INF740KA1KB4;DSP Corporate Bond Fund - Regular - IDCW - Monthly;10.4400;25-Aug-2023")</f>
        <v>144645;INF740KA1KA6;INF740KA1KB4;DSP Corporate Bond Fund - Regular - IDCW - Monthly;10.4400;25-Aug-2023</v>
      </c>
      <c r="B362" s="1"/>
    </row>
    <row r="363">
      <c r="A363" s="1" t="str">
        <f>IFERROR(__xludf.DUMMYFUNCTION("""COMPUTED_VALUE"""),"144649;INF740KA1KC2;INF740KA1KD0;DSP Corporate Bond Fund - Regular - IDCW - Quarterly ;10.5838;25-Aug-2023")</f>
        <v>144649;INF740KA1KC2;INF740KA1KD0;DSP Corporate Bond Fund - Regular - IDCW - Quarterly ;10.5838;25-Aug-2023</v>
      </c>
      <c r="B363" s="1"/>
    </row>
    <row r="364">
      <c r="A364" s="1"/>
      <c r="B364" s="1"/>
    </row>
    <row r="365">
      <c r="A365" s="1" t="str">
        <f>IFERROR(__xludf.DUMMYFUNCTION("""COMPUTED_VALUE"""),"Franklin Templeton Mutual Fund")</f>
        <v>Franklin Templeton Mutual Fund</v>
      </c>
      <c r="B365" s="1"/>
    </row>
    <row r="366">
      <c r="A366" s="1"/>
      <c r="B366" s="1"/>
    </row>
    <row r="367">
      <c r="A367" s="1" t="str">
        <f>IFERROR(__xludf.DUMMYFUNCTION("""COMPUTED_VALUE"""),"119289;INF090I01KC0;-;Franklin India Corporate Debt Fund - Direct - Bonus;0.0000;08-May-2015")</f>
        <v>119289;INF090I01KC0;-;Franklin India Corporate Debt Fund - Direct - Bonus;0.0000;08-May-2015</v>
      </c>
      <c r="B367" s="1"/>
    </row>
    <row r="368">
      <c r="A368" s="1" t="str">
        <f>IFERROR(__xludf.DUMMYFUNCTION("""COMPUTED_VALUE"""),"118569;INF090I01FW8;-;Franklin India Corporate Debt Fund - Direct - GROWTH;91.9142;25-Aug-2023")</f>
        <v>118569;INF090I01FW8;-;Franklin India Corporate Debt Fund - Direct - GROWTH;91.9142;25-Aug-2023</v>
      </c>
      <c r="B368" s="1"/>
    </row>
    <row r="369">
      <c r="A369" s="1" t="str">
        <f>IFERROR(__xludf.DUMMYFUNCTION("""COMPUTED_VALUE"""),"100528;INF090I01DG6;-;Franklin India Corporate Debt Fund - Growth;85.7436;25-Aug-2023")</f>
        <v>100528;INF090I01DG6;-;Franklin India Corporate Debt Fund - Growth;85.7436;25-Aug-2023</v>
      </c>
      <c r="B369" s="1"/>
    </row>
    <row r="370">
      <c r="A370" s="1" t="str">
        <f>IFERROR(__xludf.DUMMYFUNCTION("""COMPUTED_VALUE"""),"100532;INF090I01DC5;-;Franklin India Corporate Debt Fund - Monthly Bonus;0.0000;08-Jun-2015")</f>
        <v>100532;INF090I01DC5;-;Franklin India Corporate Debt Fund - Monthly Bonus;0.0000;08-Jun-2015</v>
      </c>
      <c r="B370" s="1"/>
    </row>
    <row r="371">
      <c r="A371" s="1" t="str">
        <f>IFERROR(__xludf.DUMMYFUNCTION("""COMPUTED_VALUE"""),"100527;INF090I01DH4;INF090I01DI2;Franklin India Corporate Debt Fund - Plan A - Annual - IDCW;16.5882;25-Aug-2023")</f>
        <v>100527;INF090I01DH4;INF090I01DI2;Franklin India Corporate Debt Fund - Plan A - Annual - IDCW;16.5882;25-Aug-2023</v>
      </c>
      <c r="B371" s="1"/>
    </row>
    <row r="372">
      <c r="A372" s="1" t="str">
        <f>IFERROR(__xludf.DUMMYFUNCTION("""COMPUTED_VALUE"""),"118570;INF090I01FX6;INF090I01FY4;Franklin India Corporate Debt Fund - Plan A - Direct - Annual - IDCW;18.5759;25-Aug-2023")</f>
        <v>118570;INF090I01FX6;INF090I01FY4;Franklin India Corporate Debt Fund - Plan A - Direct - Annual - IDCW;18.5759;25-Aug-2023</v>
      </c>
      <c r="B372" s="1"/>
    </row>
    <row r="373">
      <c r="A373" s="1" t="str">
        <f>IFERROR(__xludf.DUMMYFUNCTION("""COMPUTED_VALUE"""),"118573;INF090I01FU2;INF090I01FV0;Franklin India Corporate Debt Fund - Plan A - Direct - Half yearly - IDCW;14.8930;25-Aug-2023")</f>
        <v>118573;INF090I01FU2;INF090I01FV0;Franklin India Corporate Debt Fund - Plan A - Direct - Half yearly - IDCW;14.8930;25-Aug-2023</v>
      </c>
      <c r="B373" s="1"/>
    </row>
    <row r="374">
      <c r="A374" s="1" t="str">
        <f>IFERROR(__xludf.DUMMYFUNCTION("""COMPUTED_VALUE"""),"118571;INF090I01FQ0;INF090I01FR8;Franklin India Corporate Debt Fund - Plan A - Direct - Monthly - IDCW;16.5211;25-Aug-2023")</f>
        <v>118571;INF090I01FQ0;INF090I01FR8;Franklin India Corporate Debt Fund - Plan A - Direct - Monthly - IDCW;16.5211;25-Aug-2023</v>
      </c>
      <c r="B374" s="1"/>
    </row>
    <row r="375">
      <c r="A375" s="1" t="str">
        <f>IFERROR(__xludf.DUMMYFUNCTION("""COMPUTED_VALUE"""),"118572;INF090I01FS6;INF090I01FT4;Franklin India Corporate Debt Fund - Plan A - Direct - Quarterly - IDCW;13.6123;25-Aug-2023")</f>
        <v>118572;INF090I01FS6;INF090I01FT4;Franklin India Corporate Debt Fund - Plan A - Direct - Quarterly - IDCW;13.6123;25-Aug-2023</v>
      </c>
      <c r="B375" s="1"/>
    </row>
    <row r="376">
      <c r="A376" s="1" t="str">
        <f>IFERROR(__xludf.DUMMYFUNCTION("""COMPUTED_VALUE"""),"100531;INF090I01DN2;INF090I01DO0;Franklin India Corporate Debt Fund - Plan B - Half yearly - IDCW;12.9840;25-Aug-2023")</f>
        <v>100531;INF090I01DN2;INF090I01DO0;Franklin India Corporate Debt Fund - Plan B - Half yearly - IDCW;12.9840;25-Aug-2023</v>
      </c>
      <c r="B376" s="1"/>
    </row>
    <row r="377">
      <c r="A377" s="1" t="str">
        <f>IFERROR(__xludf.DUMMYFUNCTION("""COMPUTED_VALUE"""),"100529;INF090I01DJ0;INF090I01DK8;Franklin India Corporate Debt Fund - Plan B - Monthly - IDCW;14.8083;25-Aug-2023")</f>
        <v>100529;INF090I01DJ0;INF090I01DK8;Franklin India Corporate Debt Fund - Plan B - Monthly - IDCW;14.8083;25-Aug-2023</v>
      </c>
      <c r="B377" s="1"/>
    </row>
    <row r="378">
      <c r="A378" s="1" t="str">
        <f>IFERROR(__xludf.DUMMYFUNCTION("""COMPUTED_VALUE"""),"100530;INF090I01DL6;INF090I01DM4;Franklin India Corporate Debt Fund - Plan B - Quarterly - IDCW;12.1178;25-Aug-2023")</f>
        <v>100530;INF090I01DL6;INF090I01DM4;Franklin India Corporate Debt Fund - Plan B - Quarterly - IDCW;12.1178;25-Aug-2023</v>
      </c>
      <c r="B378" s="1"/>
    </row>
    <row r="379">
      <c r="A379" s="1"/>
      <c r="B379" s="1"/>
    </row>
    <row r="380">
      <c r="A380" s="1" t="str">
        <f>IFERROR(__xludf.DUMMYFUNCTION("""COMPUTED_VALUE"""),"HDFC Mutual Fund")</f>
        <v>HDFC Mutual Fund</v>
      </c>
      <c r="B380" s="1"/>
    </row>
    <row r="381">
      <c r="A381" s="1"/>
      <c r="B381" s="1"/>
    </row>
    <row r="382">
      <c r="A382" s="1" t="str">
        <f>IFERROR(__xludf.DUMMYFUNCTION("""COMPUTED_VALUE"""),"113070;INF179K01DC2;-;HDFC Corporate Bond Fund - Growth Option;28.0806;25-Aug-2023")</f>
        <v>113070;INF179K01DC2;-;HDFC Corporate Bond Fund - Growth Option;28.0806;25-Aug-2023</v>
      </c>
      <c r="B382" s="1"/>
    </row>
    <row r="383">
      <c r="A383" s="1" t="str">
        <f>IFERROR(__xludf.DUMMYFUNCTION("""COMPUTED_VALUE"""),"118987;INF179K01XD8;-;HDFC Corporate Bond Fund - Growth Option - Direct Plan;28.5651;25-Aug-2023")</f>
        <v>118987;INF179K01XD8;-;HDFC Corporate Bond Fund - Growth Option - Direct Plan;28.5651;25-Aug-2023</v>
      </c>
      <c r="B383" s="1"/>
    </row>
    <row r="384">
      <c r="A384" s="1" t="str">
        <f>IFERROR(__xludf.DUMMYFUNCTION("""COMPUTED_VALUE"""),"132848;INF179KA1D33;INF179KA1D25;HDFC Corporate Bond Fund - IDCW Option;18.1913;25-Aug-2023")</f>
        <v>132848;INF179KA1D33;INF179KA1D25;HDFC Corporate Bond Fund - IDCW Option;18.1913;25-Aug-2023</v>
      </c>
      <c r="B384" s="1"/>
    </row>
    <row r="385">
      <c r="A385" s="1" t="str">
        <f>IFERROR(__xludf.DUMMYFUNCTION("""COMPUTED_VALUE"""),"132849;INF179KA1D17;-;HDFC Corporate Bond Fund - IDCW Option - Direct Plan;18.6946;25-Aug-2023")</f>
        <v>132849;INF179KA1D17;-;HDFC Corporate Bond Fund - IDCW Option - Direct Plan;18.6946;25-Aug-2023</v>
      </c>
      <c r="B385" s="1"/>
    </row>
    <row r="386">
      <c r="A386" s="1" t="str">
        <f>IFERROR(__xludf.DUMMYFUNCTION("""COMPUTED_VALUE"""),"113071;INF179K01DD0;INF179K01DE8;HDFC Corporate Bond Fund - Quarterly IDCW Option;10.3929;25-Aug-2023")</f>
        <v>113071;INF179K01DD0;INF179K01DE8;HDFC Corporate Bond Fund - Quarterly IDCW Option;10.3929;25-Aug-2023</v>
      </c>
      <c r="B386" s="1"/>
    </row>
    <row r="387">
      <c r="A387" s="1" t="str">
        <f>IFERROR(__xludf.DUMMYFUNCTION("""COMPUTED_VALUE"""),"118986;INF179K01XB2;INF179K01XC0;HDFC Corporate Bond Fund - Quarterly IDCW Option - Direct Plan;10.2318;25-Aug-2023")</f>
        <v>118986;INF179K01XB2;INF179K01XC0;HDFC Corporate Bond Fund - Quarterly IDCW Option - Direct Plan;10.2318;25-Aug-2023</v>
      </c>
      <c r="B387" s="1"/>
    </row>
    <row r="388">
      <c r="A388" s="1"/>
      <c r="B388" s="1"/>
    </row>
    <row r="389">
      <c r="A389" s="1" t="str">
        <f>IFERROR(__xludf.DUMMYFUNCTION("""COMPUTED_VALUE"""),"HSBC Mutual Fund")</f>
        <v>HSBC Mutual Fund</v>
      </c>
      <c r="B389" s="1"/>
    </row>
    <row r="390">
      <c r="A390" s="1"/>
      <c r="B390" s="1"/>
    </row>
    <row r="391">
      <c r="A391" s="1" t="str">
        <f>IFERROR(__xludf.DUMMYFUNCTION("""COMPUTED_VALUE"""),"151000;INF917K01VZ8;INF917K01VY1;HSBC Corporate Bond Fund - Direct Annual IDCW;12.0448;25-Aug-2023")</f>
        <v>151000;INF917K01VZ8;INF917K01VY1;HSBC Corporate Bond Fund - Direct Annual IDCW;12.0448;25-Aug-2023</v>
      </c>
      <c r="B391" s="1"/>
    </row>
    <row r="392">
      <c r="A392" s="1" t="str">
        <f>IFERROR(__xludf.DUMMYFUNCTION("""COMPUTED_VALUE"""),"150996;INF917K01HN3;-;HSBC Corporate Bond Fund - Direct Growth;66.9265;25-Aug-2023")</f>
        <v>150996;INF917K01HN3;-;HSBC Corporate Bond Fund - Direct Growth;66.9265;25-Aug-2023</v>
      </c>
      <c r="B392" s="1"/>
    </row>
    <row r="393">
      <c r="A393" s="1" t="str">
        <f>IFERROR(__xludf.DUMMYFUNCTION("""COMPUTED_VALUE"""),"150998;INF917K01HP8;INF917K01HO1;HSBC Corporate Bond Fund - Direct Quarterly IDCW;11.4264;25-Aug-2023")</f>
        <v>150998;INF917K01HP8;INF917K01HO1;HSBC Corporate Bond Fund - Direct Quarterly IDCW;11.4264;25-Aug-2023</v>
      </c>
      <c r="B393" s="1"/>
    </row>
    <row r="394">
      <c r="A394" s="1" t="str">
        <f>IFERROR(__xludf.DUMMYFUNCTION("""COMPUTED_VALUE"""),"150997;INF917K01HR4;INF917K01HQ6;HSBC Corporate Bond Fund - Direct Semi Annual IDCW;20.2796;25-Aug-2023")</f>
        <v>150997;INF917K01HR4;INF917K01HQ6;HSBC Corporate Bond Fund - Direct Semi Annual IDCW;20.2796;25-Aug-2023</v>
      </c>
      <c r="B394" s="1"/>
    </row>
    <row r="395">
      <c r="A395" s="1" t="str">
        <f>IFERROR(__xludf.DUMMYFUNCTION("""COMPUTED_VALUE"""),"151001;INF917K01WB7;INF917K01WA9;HSBC Corporate Bond Fund - Regular Annual IDCW;11.8564;25-Aug-2023")</f>
        <v>151001;INF917K01WB7;INF917K01WA9;HSBC Corporate Bond Fund - Regular Annual IDCW;11.8564;25-Aug-2023</v>
      </c>
      <c r="B395" s="1"/>
    </row>
    <row r="396">
      <c r="A396" s="1" t="str">
        <f>IFERROR(__xludf.DUMMYFUNCTION("""COMPUTED_VALUE"""),"150992;INF917K01AH0;-;HSBC Corporate Bond Fund - Regular Growth;63.2244;25-Aug-2023")</f>
        <v>150992;INF917K01AH0;-;HSBC Corporate Bond Fund - Regular Growth;63.2244;25-Aug-2023</v>
      </c>
      <c r="B396" s="1"/>
    </row>
    <row r="397">
      <c r="A397" s="1" t="str">
        <f>IFERROR(__xludf.DUMMYFUNCTION("""COMPUTED_VALUE"""),"150993;INF917K01AF4;INF917K01AG2;HSBC Corporate Bond Fund - Regular Quarterly IDCW;11.0715;25-Aug-2023")</f>
        <v>150993;INF917K01AF4;INF917K01AG2;HSBC Corporate Bond Fund - Regular Quarterly IDCW;11.0715;25-Aug-2023</v>
      </c>
      <c r="B397" s="1"/>
    </row>
    <row r="398">
      <c r="A398" s="1" t="str">
        <f>IFERROR(__xludf.DUMMYFUNCTION("""COMPUTED_VALUE"""),"150994;INF917K01AI8;INF917K01AJ6;HSBC Corporate Bond Fund - Regular Semi Annual IDCW;17.1037;25-Aug-2023")</f>
        <v>150994;INF917K01AI8;INF917K01AJ6;HSBC Corporate Bond Fund - Regular Semi Annual IDCW;17.1037;25-Aug-2023</v>
      </c>
      <c r="B398" s="1"/>
    </row>
    <row r="399">
      <c r="A399" s="1" t="str">
        <f>IFERROR(__xludf.DUMMYFUNCTION("""COMPUTED_VALUE"""),"150995;INF917K01AK4;-;HSBC Corporate Bond Fund -Regular Plan - Bonus;24.0161;25-Aug-2023")</f>
        <v>150995;INF917K01AK4;-;HSBC Corporate Bond Fund -Regular Plan - Bonus;24.0161;25-Aug-2023</v>
      </c>
      <c r="B399" s="1"/>
    </row>
    <row r="400">
      <c r="A400" s="1"/>
      <c r="B400" s="1"/>
    </row>
    <row r="401">
      <c r="A401" s="1" t="str">
        <f>IFERROR(__xludf.DUMMYFUNCTION("""COMPUTED_VALUE"""),"ICICI Prudential Mutual Fund")</f>
        <v>ICICI Prudential Mutual Fund</v>
      </c>
      <c r="B401" s="1"/>
    </row>
    <row r="402">
      <c r="A402" s="1"/>
      <c r="B402" s="1"/>
    </row>
    <row r="403">
      <c r="A403" s="1" t="str">
        <f>IFERROR(__xludf.DUMMYFUNCTION("""COMPUTED_VALUE"""),"130947;INF109KA1I84;-;ICICI Prudential Corporate Bond Fund - Bonus;14.9782;24-Apr-2020")</f>
        <v>130947;INF109KA1I84;-;ICICI Prudential Corporate Bond Fund - Bonus;14.9782;24-Apr-2020</v>
      </c>
      <c r="B403" s="1"/>
    </row>
    <row r="404">
      <c r="A404" s="1" t="str">
        <f>IFERROR(__xludf.DUMMYFUNCTION("""COMPUTED_VALUE"""),"111988;INF109K01CR9;-;ICICI Prudential Corporate Bond Fund - Daily IDCW;10.1065;16-Sep-2022")</f>
        <v>111988;INF109K01CR9;-;ICICI Prudential Corporate Bond Fund - Daily IDCW;10.1065;16-Sep-2022</v>
      </c>
      <c r="B404" s="1"/>
    </row>
    <row r="405">
      <c r="A405" s="1" t="str">
        <f>IFERROR(__xludf.DUMMYFUNCTION("""COMPUTED_VALUE"""),"120695;INF109K013B8;-;ICICI Prudential Corporate Bond Fund - Direct Plan - Daily IDCW;10.1008;16-Sep-2022")</f>
        <v>120695;INF109K013B8;-;ICICI Prudential Corporate Bond Fund - Direct Plan - Daily IDCW;10.1008;16-Sep-2022</v>
      </c>
      <c r="B405" s="1"/>
    </row>
    <row r="406">
      <c r="A406" s="1" t="str">
        <f>IFERROR(__xludf.DUMMYFUNCTION("""COMPUTED_VALUE"""),"120696;INF109K014B6;INF109K015B3;ICICI Prudential Corporate Bond Fund - Direct Plan - Fortnightly IDCW;12.1669;16-Sep-2022")</f>
        <v>120696;INF109K014B6;INF109K015B3;ICICI Prudential Corporate Bond Fund - Direct Plan - Fortnightly IDCW;12.1669;16-Sep-2022</v>
      </c>
      <c r="B406" s="1"/>
    </row>
    <row r="407">
      <c r="A407" s="1" t="str">
        <f>IFERROR(__xludf.DUMMYFUNCTION("""COMPUTED_VALUE"""),"120692;INF109K016B1;-;ICICI Prudential Corporate Bond Fund - Direct Plan - Growth;26.9292;25-Aug-2023")</f>
        <v>120692;INF109K016B1;-;ICICI Prudential Corporate Bond Fund - Direct Plan - Growth;26.9292;25-Aug-2023</v>
      </c>
      <c r="B407" s="1"/>
    </row>
    <row r="408">
      <c r="A408" s="1" t="str">
        <f>IFERROR(__xludf.DUMMYFUNCTION("""COMPUTED_VALUE"""),"131152;INF109KA1N38;INF109KA1N20;ICICI Prudential Corporate Bond Fund - Direct Plan - Half Yearly IDCW Option;12.8827;16-Sep-2022")</f>
        <v>131152;INF109KA1N38;INF109KA1N20;ICICI Prudential Corporate Bond Fund - Direct Plan - Half Yearly IDCW Option;12.8827;16-Sep-2022</v>
      </c>
      <c r="B408" s="1"/>
    </row>
    <row r="409">
      <c r="A409" s="1" t="str">
        <f>IFERROR(__xludf.DUMMYFUNCTION("""COMPUTED_VALUE"""),"120697;INF109K017B9;INF109K018B7;ICICI Prudential Corporate Bond Fund - Direct Plan - Monthly IDCW;10.2729;25-Aug-2023")</f>
        <v>120697;INF109K017B9;INF109K018B7;ICICI Prudential Corporate Bond Fund - Direct Plan - Monthly IDCW;10.2729;25-Aug-2023</v>
      </c>
      <c r="B409" s="1"/>
    </row>
    <row r="410">
      <c r="A410" s="1" t="str">
        <f>IFERROR(__xludf.DUMMYFUNCTION("""COMPUTED_VALUE"""),"120694;INF109K019B5;INF109K012C8;ICICI Prudential Corporate Bond Fund - Direct Plan - Quarterly IDCW;15.1567;25-Aug-2023")</f>
        <v>120694;INF109K019B5;INF109K012C8;ICICI Prudential Corporate Bond Fund - Direct Plan - Quarterly IDCW;15.1567;25-Aug-2023</v>
      </c>
      <c r="B410" s="1"/>
    </row>
    <row r="411">
      <c r="A411" s="1" t="str">
        <f>IFERROR(__xludf.DUMMYFUNCTION("""COMPUTED_VALUE"""),"120693;INF109K010C2;INF109K011C0;ICICI Prudential Corporate Bond Fund - Direct Plan - Weekly IDCW;10.2332;16-Sep-2022")</f>
        <v>120693;INF109K010C2;INF109K011C0;ICICI Prudential Corporate Bond Fund - Direct Plan - Weekly IDCW;10.2332;16-Sep-2022</v>
      </c>
      <c r="B411" s="1"/>
    </row>
    <row r="412">
      <c r="A412" s="1" t="str">
        <f>IFERROR(__xludf.DUMMYFUNCTION("""COMPUTED_VALUE"""),"111990;INF109K01SJ2;INF109K01CS7;ICICI Prudential Corporate Bond Fund - Fortnightly IDCW;10.2243;16-Sep-2022")</f>
        <v>111990;INF109K01SJ2;INF109K01CS7;ICICI Prudential Corporate Bond Fund - Fortnightly IDCW;10.2243;16-Sep-2022</v>
      </c>
      <c r="B412" s="1"/>
    </row>
    <row r="413">
      <c r="A413" s="1" t="str">
        <f>IFERROR(__xludf.DUMMYFUNCTION("""COMPUTED_VALUE"""),"111987;INF109K01CQ1;-;ICICI Prudential Corporate Bond Fund - Growth;25.8152;25-Aug-2023")</f>
        <v>111987;INF109K01CQ1;-;ICICI Prudential Corporate Bond Fund - Growth;25.8152;25-Aug-2023</v>
      </c>
      <c r="B413" s="1"/>
    </row>
    <row r="414">
      <c r="A414" s="1" t="str">
        <f>IFERROR(__xludf.DUMMYFUNCTION("""COMPUTED_VALUE"""),"131151;INF109KA1N12;INF109KA1N04;ICICI Prudential Corporate Bond Fund - Half Yearly IDCW Option;12.6555;16-Sep-2022")</f>
        <v>131151;INF109KA1N12;INF109KA1N04;ICICI Prudential Corporate Bond Fund - Half Yearly IDCW Option;12.6555;16-Sep-2022</v>
      </c>
      <c r="B414" s="1"/>
    </row>
    <row r="415">
      <c r="A415" s="1" t="str">
        <f>IFERROR(__xludf.DUMMYFUNCTION("""COMPUTED_VALUE"""),"111991;INF109K01SK0;INF109K01CT5;ICICI Prudential Corporate Bond Fund - Monthly IDCW;10.4269;25-Aug-2023")</f>
        <v>111991;INF109K01SK0;INF109K01CT5;ICICI Prudential Corporate Bond Fund - Monthly IDCW;10.4269;25-Aug-2023</v>
      </c>
      <c r="B415" s="1"/>
    </row>
    <row r="416">
      <c r="A416" s="1" t="str">
        <f>IFERROR(__xludf.DUMMYFUNCTION("""COMPUTED_VALUE"""),"111982;INF109K01CL2;-;ICICI Prudential Corporate Bond Fund - Premium Daily Dividend;10.0277;24-Apr-2020")</f>
        <v>111982;INF109K01CL2;-;ICICI Prudential Corporate Bond Fund - Premium Daily Dividend;10.0277;24-Apr-2020</v>
      </c>
      <c r="B416" s="1"/>
    </row>
    <row r="417">
      <c r="A417" s="1" t="str">
        <f>IFERROR(__xludf.DUMMYFUNCTION("""COMPUTED_VALUE"""),"111985;INF109K01CO6;-;ICICI Prudential Corporate Bond Fund - Premium Monthly Dividend;10.0770;04-Aug-2015")</f>
        <v>111985;INF109K01CO6;-;ICICI Prudential Corporate Bond Fund - Premium Monthly Dividend;10.0770;04-Aug-2015</v>
      </c>
      <c r="B417" s="1"/>
    </row>
    <row r="418">
      <c r="A418" s="1" t="str">
        <f>IFERROR(__xludf.DUMMYFUNCTION("""COMPUTED_VALUE"""),"111989;INF109K01SL8;INF109K01SM6;ICICI Prudential Corporate Bond Fund - Weekly IDCW;10.3040;16-Sep-2022")</f>
        <v>111989;INF109K01SL8;INF109K01SM6;ICICI Prudential Corporate Bond Fund - Weekly IDCW;10.3040;16-Sep-2022</v>
      </c>
      <c r="B418" s="1"/>
    </row>
    <row r="419">
      <c r="A419" s="1" t="str">
        <f>IFERROR(__xludf.DUMMYFUNCTION("""COMPUTED_VALUE"""),"111992;INF109K01SN4;INF109K01SO2;ICICI Prudential Corporate Bond Fund -Quarterly IDCW;10.9637;25-Aug-2023")</f>
        <v>111992;INF109K01SN4;INF109K01SO2;ICICI Prudential Corporate Bond Fund -Quarterly IDCW;10.9637;25-Aug-2023</v>
      </c>
      <c r="B419" s="1"/>
    </row>
    <row r="420">
      <c r="A420" s="1" t="str">
        <f>IFERROR(__xludf.DUMMYFUNCTION("""COMPUTED_VALUE"""),"111976;INF109K01CF4;-;ICICI Prudential Corporate Bond Fund Retail Daily Dividend;10.0275;24-Apr-2020")</f>
        <v>111976;INF109K01CF4;-;ICICI Prudential Corporate Bond Fund Retail Daily Dividend;10.0275;24-Apr-2020</v>
      </c>
      <c r="B420" s="1"/>
    </row>
    <row r="421">
      <c r="A421" s="1" t="str">
        <f>IFERROR(__xludf.DUMMYFUNCTION("""COMPUTED_VALUE"""),"111978;INF109K01SF0;INF109K01CH0;ICICI Prudential Corporate Bond Fund Retail Fort Nightly Dividend;10.3041;24-Apr-2020")</f>
        <v>111978;INF109K01SF0;INF109K01CH0;ICICI Prudential Corporate Bond Fund Retail Fort Nightly Dividend;10.3041;24-Apr-2020</v>
      </c>
      <c r="B421" s="1"/>
    </row>
    <row r="422">
      <c r="A422" s="1" t="str">
        <f>IFERROR(__xludf.DUMMYFUNCTION("""COMPUTED_VALUE"""),"111972;INF109K01CE7;-;ICICI Prudential Corporate Bond Fund Retail Growth;22.7853;24-Apr-2020")</f>
        <v>111972;INF109K01CE7;-;ICICI Prudential Corporate Bond Fund Retail Growth;22.7853;24-Apr-2020</v>
      </c>
      <c r="B422" s="1"/>
    </row>
    <row r="423">
      <c r="A423" s="1" t="str">
        <f>IFERROR(__xludf.DUMMYFUNCTION("""COMPUTED_VALUE"""),"111979;INF109K01QM0;INF109K01CI8;ICICI Prudential Corporate Bond Fund Retail Monthly Dividend;10.3008;24-Apr-2020")</f>
        <v>111979;INF109K01QM0;INF109K01CI8;ICICI Prudential Corporate Bond Fund Retail Monthly Dividend;10.3008;24-Apr-2020</v>
      </c>
      <c r="B423" s="1"/>
    </row>
    <row r="424">
      <c r="A424" s="1" t="str">
        <f>IFERROR(__xludf.DUMMYFUNCTION("""COMPUTED_VALUE"""),"111980;INF109K01FQ4;INF109K01CJ6;ICICI Prudential Corporate Bond Fund Retail Quarterly Dividend;10.9335;24-Apr-2020")</f>
        <v>111980;INF109K01FQ4;INF109K01CJ6;ICICI Prudential Corporate Bond Fund Retail Quarterly Dividend;10.9335;24-Apr-2020</v>
      </c>
      <c r="B424" s="1"/>
    </row>
    <row r="425">
      <c r="A425" s="1" t="str">
        <f>IFERROR(__xludf.DUMMYFUNCTION("""COMPUTED_VALUE"""),"111977;INF109K01SE3;INF109K01CG2;ICICI Prudential Corporate Bond Fund Retail Weekly Dividend;10.2202;24-Apr-2020")</f>
        <v>111977;INF109K01SE3;INF109K01CG2;ICICI Prudential Corporate Bond Fund Retail Weekly Dividend;10.2202;24-Apr-2020</v>
      </c>
      <c r="B425" s="1"/>
    </row>
    <row r="426">
      <c r="A426" s="1"/>
      <c r="B426" s="1"/>
    </row>
    <row r="427">
      <c r="A427" s="1" t="str">
        <f>IFERROR(__xludf.DUMMYFUNCTION("""COMPUTED_VALUE"""),"Invesco Mutual Fund")</f>
        <v>Invesco Mutual Fund</v>
      </c>
      <c r="B427" s="1"/>
    </row>
    <row r="428">
      <c r="A428" s="1"/>
      <c r="B428" s="1"/>
    </row>
    <row r="429">
      <c r="A429" s="1" t="str">
        <f>IFERROR(__xludf.DUMMYFUNCTION("""COMPUTED_VALUE"""),"106179;INF205K01QX3;INF205K01QY1;Invesco India Corporate Bond Fund - Annual IDCW (Payout / Reinvestment);1698.1557;25-Aug-2023")</f>
        <v>106179;INF205K01QX3;INF205K01QY1;Invesco India Corporate Bond Fund - Annual IDCW (Payout / Reinvestment);1698.1557;25-Aug-2023</v>
      </c>
      <c r="B429" s="1"/>
    </row>
    <row r="430">
      <c r="A430" s="1" t="str">
        <f>IFERROR(__xludf.DUMMYFUNCTION("""COMPUTED_VALUE"""),"120500;INF205K01RA9;INF205K01RB7;Invesco India Corporate Bond Fund - Direct Plan - Annual IDCW (Payout / Reinvestment);1257.517;25-Aug-2023")</f>
        <v>120500;INF205K01RA9;INF205K01RB7;Invesco India Corporate Bond Fund - Direct Plan - Annual IDCW (Payout / Reinvestment);1257.517;25-Aug-2023</v>
      </c>
      <c r="B430" s="1"/>
    </row>
    <row r="431">
      <c r="A431" s="1" t="str">
        <f>IFERROR(__xludf.DUMMYFUNCTION("""COMPUTED_VALUE"""),"120499;INF205K01RD3;INF205K01RE1;Invesco India Corporate Bond Fund - Direct Plan - Discretionary IDCW (Payout / Reinvestment);2926.9335;25-Aug-2023")</f>
        <v>120499;INF205K01RD3;INF205K01RE1;Invesco India Corporate Bond Fund - Direct Plan - Discretionary IDCW (Payout / Reinvestment);2926.9335;25-Aug-2023</v>
      </c>
      <c r="B431" s="1"/>
    </row>
    <row r="432">
      <c r="A432" s="1" t="str">
        <f>IFERROR(__xludf.DUMMYFUNCTION("""COMPUTED_VALUE"""),"120497;INF205K01RF8;-;Invesco India Corporate Bond Fund - Direct Plan - Growth;2926.0072;25-Aug-2023")</f>
        <v>120497;INF205K01RF8;-;Invesco India Corporate Bond Fund - Direct Plan - Growth;2926.0072;25-Aug-2023</v>
      </c>
      <c r="B432" s="1"/>
    </row>
    <row r="433">
      <c r="A433" s="1" t="str">
        <f>IFERROR(__xludf.DUMMYFUNCTION("""COMPUTED_VALUE"""),"120496;INF205K01RG6;INF205K01RH4;Invesco India Corporate Bond Fund - Direct Plan - Monthly IDCW (Payout / Reinvestment);1260.4981;25-Aug-2023")</f>
        <v>120496;INF205K01RG6;INF205K01RH4;Invesco India Corporate Bond Fund - Direct Plan - Monthly IDCW (Payout / Reinvestment);1260.4981;25-Aug-2023</v>
      </c>
      <c r="B433" s="1"/>
    </row>
    <row r="434">
      <c r="A434" s="1" t="str">
        <f>IFERROR(__xludf.DUMMYFUNCTION("""COMPUTED_VALUE"""),"120501;INF205K01RI2;INF205K01RJ0;Invesco India Corporate Bond Fund - Direct Plan - Quarterly IDCW (Payout / Reinvestment);1186.0252;25-Aug-2023")</f>
        <v>120501;INF205K01RI2;INF205K01RJ0;Invesco India Corporate Bond Fund - Direct Plan - Quarterly IDCW (Payout / Reinvestment);1186.0252;25-Aug-2023</v>
      </c>
      <c r="B434" s="1"/>
    </row>
    <row r="435">
      <c r="A435" s="1" t="str">
        <f>IFERROR(__xludf.DUMMYFUNCTION("""COMPUTED_VALUE"""),"116109;INF205K01RK8;INF205K01RL6;Invesco India Corporate Bond Fund - Discretionary IDCW (Payout / Reinvestment);2886.5362;25-Aug-2023")</f>
        <v>116109;INF205K01RK8;INF205K01RL6;Invesco India Corporate Bond Fund - Discretionary IDCW (Payout / Reinvestment);2886.5362;25-Aug-2023</v>
      </c>
      <c r="B435" s="1"/>
    </row>
    <row r="436">
      <c r="A436" s="1" t="str">
        <f>IFERROR(__xludf.DUMMYFUNCTION("""COMPUTED_VALUE"""),"106177;INF205K01RM4;-;Invesco India Corporate Bond Fund - Growth;2749.6233;25-Aug-2023")</f>
        <v>106177;INF205K01RM4;-;Invesco India Corporate Bond Fund - Growth;2749.6233;25-Aug-2023</v>
      </c>
      <c r="B436" s="1"/>
    </row>
    <row r="437">
      <c r="A437" s="1" t="str">
        <f>IFERROR(__xludf.DUMMYFUNCTION("""COMPUTED_VALUE"""),"106171;INF205K01RN2;INF205K01RO0;Invesco India Corporate Bond Fund - Monthly IDCW (Payout / Reinvestment);1575.9929;25-Aug-2023")</f>
        <v>106171;INF205K01RN2;INF205K01RO0;Invesco India Corporate Bond Fund - Monthly IDCW (Payout / Reinvestment);1575.9929;25-Aug-2023</v>
      </c>
      <c r="B437" s="1"/>
    </row>
    <row r="438">
      <c r="A438" s="1" t="str">
        <f>IFERROR(__xludf.DUMMYFUNCTION("""COMPUTED_VALUE"""),"106172;INF205K01RP7;INF205K01RQ5;Invesco India Corporate Bond Fund - Quarterly IDCW (Payout / Reinvestment);1152.2303;25-Aug-2023")</f>
        <v>106172;INF205K01RP7;INF205K01RQ5;Invesco India Corporate Bond Fund - Quarterly IDCW (Payout / Reinvestment);1152.2303;25-Aug-2023</v>
      </c>
      <c r="B438" s="1"/>
    </row>
    <row r="439">
      <c r="A439" s="1"/>
      <c r="B439" s="1"/>
    </row>
    <row r="440">
      <c r="A440" s="1" t="str">
        <f>IFERROR(__xludf.DUMMYFUNCTION("""COMPUTED_VALUE"""),"Kotak Mahindra Mutual Fund")</f>
        <v>Kotak Mahindra Mutual Fund</v>
      </c>
      <c r="B440" s="1"/>
    </row>
    <row r="441">
      <c r="A441" s="1"/>
      <c r="B441" s="1"/>
    </row>
    <row r="442">
      <c r="A442" s="1" t="str">
        <f>IFERROR(__xludf.DUMMYFUNCTION("""COMPUTED_VALUE"""),"133770;-;-;Kotak Coporate Bond Fund- Retail Plan-Growth Option;2034.9063;21-Oct-2016")</f>
        <v>133770;-;-;Kotak Coporate Bond Fund- Retail Plan-Growth Option;2034.9063;21-Oct-2016</v>
      </c>
      <c r="B442" s="1"/>
    </row>
    <row r="443">
      <c r="A443" s="1" t="str">
        <f>IFERROR(__xludf.DUMMYFUNCTION("""COMPUTED_VALUE"""),"133791;INF178L01BY0;-;Kotak Corporate Bond Fund- Direct Plan- Growth Option;3379.7917;25-Aug-2023")</f>
        <v>133791;INF178L01BY0;-;Kotak Corporate Bond Fund- Direct Plan- Growth Option;3379.7917;25-Aug-2023</v>
      </c>
      <c r="B443" s="1"/>
    </row>
    <row r="444">
      <c r="A444" s="1" t="str">
        <f>IFERROR(__xludf.DUMMYFUNCTION("""COMPUTED_VALUE"""),"133792;INF178L01BZ7;-;Kotak Corporate Bond Fund- Direct Plan- Monthly Payout of Income Distribution cum capital withdrawal option;1074.0269;25-Aug-2023")</f>
        <v>133792;INF178L01BZ7;-;Kotak Corporate Bond Fund- Direct Plan- Monthly Payout of Income Distribution cum capital withdrawal option;1074.0269;25-Aug-2023</v>
      </c>
      <c r="B444" s="1"/>
    </row>
    <row r="445">
      <c r="A445" s="1" t="str">
        <f>IFERROR(__xludf.DUMMYFUNCTION("""COMPUTED_VALUE"""),"133772;INF178L01921;-;Kotak Corporate Bond Fund- Institutional Plan-Growth Option;2090.4924;21-Oct-2016")</f>
        <v>133772;INF178L01921;-;Kotak Corporate Bond Fund- Institutional Plan-Growth Option;2090.4924;21-Oct-2016</v>
      </c>
      <c r="B445" s="1"/>
    </row>
    <row r="446">
      <c r="A446" s="1" t="str">
        <f>IFERROR(__xludf.DUMMYFUNCTION("""COMPUTED_VALUE"""),"133782;INF178L01BO1;-;Kotak Corporate Bond Fund- Regular Plan-Growth Option;3256.8754;25-Aug-2023")</f>
        <v>133782;INF178L01BO1;-;Kotak Corporate Bond Fund- Regular Plan-Growth Option;3256.8754;25-Aug-2023</v>
      </c>
      <c r="B446" s="1"/>
    </row>
    <row r="447">
      <c r="A447" s="1" t="str">
        <f>IFERROR(__xludf.DUMMYFUNCTION("""COMPUTED_VALUE"""),"133787;INF178L01BQ6;INF178L01BP8;Kotak Corporate Bond Fund- Regular Plan-Monthly Dividend Option;1060.9644;25-Aug-2023")</f>
        <v>133787;INF178L01BQ6;INF178L01BP8;Kotak Corporate Bond Fund- Regular Plan-Monthly Dividend Option;1060.9644;25-Aug-2023</v>
      </c>
      <c r="B447" s="1"/>
    </row>
    <row r="448">
      <c r="A448" s="1" t="str">
        <f>IFERROR(__xludf.DUMMYFUNCTION("""COMPUTED_VALUE"""),"133777;INF178L01BR4;-;Kotak Corporate Bond Fund- Regular Plan-Quarterly Dividend Option;1066.6837;15-Sep-2017")</f>
        <v>133777;INF178L01BR4;-;Kotak Corporate Bond Fund- Regular Plan-Quarterly Dividend Option;1066.6837;15-Sep-2017</v>
      </c>
      <c r="B448" s="1"/>
    </row>
    <row r="449">
      <c r="A449" s="1" t="str">
        <f>IFERROR(__xludf.DUMMYFUNCTION("""COMPUTED_VALUE"""),"133779;INF178L01855;-;Kotak Corporate Bond Fund- Retail Plan- Monthly Dividend Option;1040.0538;21-Oct-2016")</f>
        <v>133779;INF178L01855;-;Kotak Corporate Bond Fund- Retail Plan- Monthly Dividend Option;1040.0538;21-Oct-2016</v>
      </c>
      <c r="B449" s="1"/>
    </row>
    <row r="450">
      <c r="A450" s="1" t="str">
        <f>IFERROR(__xludf.DUMMYFUNCTION("""COMPUTED_VALUE"""),"133771;INF178L01897;-;Kotak Corporate Bond Fund- Retail Plan- Weekly Dividend Option;1052.3061;21-Oct-2016")</f>
        <v>133771;INF178L01897;-;Kotak Corporate Bond Fund- Retail Plan- Weekly Dividend Option;1052.3061;21-Oct-2016</v>
      </c>
      <c r="B450" s="1"/>
    </row>
    <row r="451">
      <c r="A451" s="1" t="str">
        <f>IFERROR(__xludf.DUMMYFUNCTION("""COMPUTED_VALUE"""),"133783;-;-;Kotak Corporate Bond Fund- Retail Plan-Daily Dividend Option;1052.6393;21-Oct-2016")</f>
        <v>133783;-;-;Kotak Corporate Bond Fund- Retail Plan-Daily Dividend Option;1052.6393;21-Oct-2016</v>
      </c>
      <c r="B451" s="1"/>
    </row>
    <row r="452">
      <c r="A452" s="1" t="str">
        <f>IFERROR(__xludf.DUMMYFUNCTION("""COMPUTED_VALUE"""),"133776;INF178L01BU8;-;Kotak Corporate Bond Fund- Standard Plan-Daily Dividend Option;1052.7994;21-Oct-2016")</f>
        <v>133776;INF178L01BU8;-;Kotak Corporate Bond Fund- Standard Plan-Daily Dividend Option;1052.7994;21-Oct-2016</v>
      </c>
      <c r="B452" s="1"/>
    </row>
    <row r="453">
      <c r="A453" s="1" t="str">
        <f>IFERROR(__xludf.DUMMYFUNCTION("""COMPUTED_VALUE"""),"133786;-;INF178L01BT0 ;Kotak Corporate Bond Fund- Standard Plan-Weekly Dividend Option;1202.9939;21-Oct-2016")</f>
        <v>133786;-;INF178L01BT0 ;Kotak Corporate Bond Fund- Standard Plan-Weekly Dividend Option;1202.9939;21-Oct-2016</v>
      </c>
      <c r="B453" s="1"/>
    </row>
    <row r="454">
      <c r="A454" s="1"/>
      <c r="B454" s="1"/>
    </row>
    <row r="455">
      <c r="A455" s="1" t="str">
        <f>IFERROR(__xludf.DUMMYFUNCTION("""COMPUTED_VALUE"""),"Mirae Asset Mutual Fund")</f>
        <v>Mirae Asset Mutual Fund</v>
      </c>
      <c r="B455" s="1"/>
    </row>
    <row r="456">
      <c r="A456" s="1"/>
      <c r="B456" s="1"/>
    </row>
    <row r="457">
      <c r="A457" s="1" t="str">
        <f>IFERROR(__xludf.DUMMYFUNCTION("""COMPUTED_VALUE"""),"148755;INF769K01HD9;-;Mirae Asset Corporate Bond Fund Direct Growth Plan;11.2261;25-Aug-2023")</f>
        <v>148755;INF769K01HD9;-;Mirae Asset Corporate Bond Fund Direct Growth Plan;11.2261;25-Aug-2023</v>
      </c>
      <c r="B457" s="1"/>
    </row>
    <row r="458">
      <c r="A458" s="1" t="str">
        <f>IFERROR(__xludf.DUMMYFUNCTION("""COMPUTED_VALUE"""),"148756;INF769K01HC1;INF769K01HE7;Mirae Asset Corporate Bond Fund Direct IDCW;11.2245;25-Aug-2023")</f>
        <v>148756;INF769K01HC1;INF769K01HE7;Mirae Asset Corporate Bond Fund Direct IDCW;11.2245;25-Aug-2023</v>
      </c>
      <c r="B458" s="1"/>
    </row>
    <row r="459">
      <c r="A459" s="1" t="str">
        <f>IFERROR(__xludf.DUMMYFUNCTION("""COMPUTED_VALUE"""),"148757;INF769K01HA5;-;Mirae Asset Corporate Bond Fund Regular Growth;11.1051;25-Aug-2023")</f>
        <v>148757;INF769K01HA5;-;Mirae Asset Corporate Bond Fund Regular Growth;11.1051;25-Aug-2023</v>
      </c>
      <c r="B459" s="1"/>
    </row>
    <row r="460">
      <c r="A460" s="1" t="str">
        <f>IFERROR(__xludf.DUMMYFUNCTION("""COMPUTED_VALUE"""),"148758;INF769K01GZ4;INF769K01HB3;Mirae Asset Corporate Bond Fund Regular IDCW;11.1049;25-Aug-2023")</f>
        <v>148758;INF769K01GZ4;INF769K01HB3;Mirae Asset Corporate Bond Fund Regular IDCW;11.1049;25-Aug-2023</v>
      </c>
      <c r="B460" s="1"/>
    </row>
    <row r="461">
      <c r="A461" s="1"/>
      <c r="B461" s="1"/>
    </row>
    <row r="462">
      <c r="A462" s="1" t="str">
        <f>IFERROR(__xludf.DUMMYFUNCTION("""COMPUTED_VALUE"""),"Nippon India Mutual Fund")</f>
        <v>Nippon India Mutual Fund</v>
      </c>
      <c r="B462" s="1"/>
    </row>
    <row r="463">
      <c r="A463" s="1"/>
      <c r="B463" s="1"/>
    </row>
    <row r="464">
      <c r="A464" s="1" t="str">
        <f>IFERROR(__xludf.DUMMYFUNCTION("""COMPUTED_VALUE"""),"109472;-;INF204K01EG7;NIPPON INDIA CORPORATE BOND FUND - DAILY IDCW Option;17.0959;25-Aug-2023")</f>
        <v>109472;-;INF204K01EG7;NIPPON INDIA CORPORATE BOND FUND - DAILY IDCW Option;17.0959;25-Aug-2023</v>
      </c>
      <c r="B464" s="1"/>
    </row>
    <row r="465">
      <c r="A465" s="1" t="str">
        <f>IFERROR(__xludf.DUMMYFUNCTION("""COMPUTED_VALUE"""),"118808;-;INF204K01C23;NIPPON INDIA CORPORATE BOND FUND - DIRECT Plan - DAILY IDCW Option;17.0959;25-Aug-2023")</f>
        <v>118808;-;INF204K01C23;NIPPON INDIA CORPORATE BOND FUND - DIRECT Plan - DAILY IDCW Option;17.0959;25-Aug-2023</v>
      </c>
      <c r="B465" s="1"/>
    </row>
    <row r="466">
      <c r="A466" s="1" t="str">
        <f>IFERROR(__xludf.DUMMYFUNCTION("""COMPUTED_VALUE"""),"125266;INF204KA1EO9;INF204KA1EP6;NIPPON INDIA CORPORATE BOND FUND - DIRECT Plan - IDCW Option;17.0604;25-Aug-2023")</f>
        <v>125266;INF204KA1EO9;INF204KA1EP6;NIPPON INDIA CORPORATE BOND FUND - DIRECT Plan - IDCW Option;17.0604;25-Aug-2023</v>
      </c>
      <c r="B466" s="1"/>
    </row>
    <row r="467">
      <c r="A467" s="1" t="str">
        <f>IFERROR(__xludf.DUMMYFUNCTION("""COMPUTED_VALUE"""),"118809;INF204K01C56;INF204K01C64;NIPPON INDIA CORPORATE BOND FUND - DIRECT Plan - MONTHLY IDCW Option;11.6612;25-Aug-2023")</f>
        <v>118809;INF204K01C56;INF204K01C64;NIPPON INDIA CORPORATE BOND FUND - DIRECT Plan - MONTHLY IDCW Option;11.6612;25-Aug-2023</v>
      </c>
      <c r="B467" s="1"/>
    </row>
    <row r="468">
      <c r="A468" s="1" t="str">
        <f>IFERROR(__xludf.DUMMYFUNCTION("""COMPUTED_VALUE"""),"118811;INF204K01C72;INF204K01C80;NIPPON INDIA CORPORATE BOND FUND - DIRECT Plan - QUARTERLY IDCW Option;11.9842;25-Aug-2023")</f>
        <v>118811;INF204K01C72;INF204K01C80;NIPPON INDIA CORPORATE BOND FUND - DIRECT Plan - QUARTERLY IDCW Option;11.9842;25-Aug-2023</v>
      </c>
      <c r="B468" s="1"/>
    </row>
    <row r="469">
      <c r="A469" s="1" t="str">
        <f>IFERROR(__xludf.DUMMYFUNCTION("""COMPUTED_VALUE"""),"118812;INF204K01C31;INF204K01C49;NIPPON INDIA CORPORATE BOND FUND - DIRECT Plan - WEEKLY IDCW Option;17.1180;25-Aug-2023")</f>
        <v>118812;INF204K01C31;INF204K01C49;NIPPON INDIA CORPORATE BOND FUND - DIRECT Plan - WEEKLY IDCW Option;17.1180;25-Aug-2023</v>
      </c>
      <c r="B469" s="1"/>
    </row>
    <row r="470">
      <c r="A470" s="1" t="str">
        <f>IFERROR(__xludf.DUMMYFUNCTION("""COMPUTED_VALUE"""),"118807;INF204K01D63;-;Nippon India Corporate Bond Fund - Direct Plan Growth Plan - Bonus;38.4393;25-Aug-2023")</f>
        <v>118807;INF204K01D63;-;Nippon India Corporate Bond Fund - Direct Plan Growth Plan - Bonus;38.4393;25-Aug-2023</v>
      </c>
      <c r="B470" s="1"/>
    </row>
    <row r="471">
      <c r="A471" s="1" t="str">
        <f>IFERROR(__xludf.DUMMYFUNCTION("""COMPUTED_VALUE"""),"118814;INF204K01C15;-;Nippon India Corporate Bond Fund - Direct Plan Growth Plan - Growth Option;53.8398;25-Aug-2023")</f>
        <v>118814;INF204K01C15;-;Nippon India Corporate Bond Fund - Direct Plan Growth Plan - Growth Option;53.8398;25-Aug-2023</v>
      </c>
      <c r="B471" s="1"/>
    </row>
    <row r="472">
      <c r="A472" s="1" t="str">
        <f>IFERROR(__xludf.DUMMYFUNCTION("""COMPUTED_VALUE"""),"100859;INF204KA12N8;-;Nippon India Corporate Bond Fund - Growth Plan - Bonus Option;36.8881;25-Aug-2023")</f>
        <v>100859;INF204KA12N8;-;Nippon India Corporate Bond Fund - Growth Plan - Bonus Option;36.8881;25-Aug-2023</v>
      </c>
      <c r="B472" s="1"/>
    </row>
    <row r="473">
      <c r="A473" s="1" t="str">
        <f>IFERROR(__xludf.DUMMYFUNCTION("""COMPUTED_VALUE"""),"100856;INF204K01EF9;-;Nippon India Corporate Bond Fund - Growth Plan - Growth Option;51.6501;25-Aug-2023")</f>
        <v>100856;INF204K01EF9;-;Nippon India Corporate Bond Fund - Growth Plan - Growth Option;51.6501;25-Aug-2023</v>
      </c>
      <c r="B473" s="1"/>
    </row>
    <row r="474">
      <c r="A474" s="1" t="str">
        <f>IFERROR(__xludf.DUMMYFUNCTION("""COMPUTED_VALUE"""),"125267;INF204KA1EM3;INF204KA1EN1;NIPPON INDIA CORPORATE BOND FUND - IDCW Option;16.5473;25-Aug-2023")</f>
        <v>125267;INF204KA1EM3;INF204KA1EN1;NIPPON INDIA CORPORATE BOND FUND - IDCW Option;16.5473;25-Aug-2023</v>
      </c>
      <c r="B474" s="1"/>
    </row>
    <row r="475">
      <c r="A475" s="1" t="str">
        <f>IFERROR(__xludf.DUMMYFUNCTION("""COMPUTED_VALUE"""),"100857;INF204K01EJ1;INF204K01EK9;NIPPON INDIA CORPORATE BOND FUND - MONTHLY IDCW Option;11.5380;25-Aug-2023")</f>
        <v>100857;INF204K01EJ1;INF204K01EK9;NIPPON INDIA CORPORATE BOND FUND - MONTHLY IDCW Option;11.5380;25-Aug-2023</v>
      </c>
      <c r="B475" s="1"/>
    </row>
    <row r="476">
      <c r="A476" s="1" t="str">
        <f>IFERROR(__xludf.DUMMYFUNCTION("""COMPUTED_VALUE"""),"100858;INF204K01EL7;INF204K01EM5;NIPPON INDIA CORPORATE BOND FUND - QUARTERLY IDCW Option;11.8363;25-Aug-2023")</f>
        <v>100858;INF204K01EL7;INF204K01EM5;NIPPON INDIA CORPORATE BOND FUND - QUARTERLY IDCW Option;11.8363;25-Aug-2023</v>
      </c>
      <c r="B476" s="1"/>
    </row>
    <row r="477">
      <c r="A477" s="1" t="str">
        <f>IFERROR(__xludf.DUMMYFUNCTION("""COMPUTED_VALUE"""),"109473;INF204K01EH5;INF204K01EI3;NIPPON INDIA CORPORATE BOND FUND - WEEKLY IDCW Option;17.1175;25-Aug-2023")</f>
        <v>109473;INF204K01EH5;INF204K01EI3;NIPPON INDIA CORPORATE BOND FUND - WEEKLY IDCW Option;17.1175;25-Aug-2023</v>
      </c>
      <c r="B477" s="1"/>
    </row>
    <row r="478">
      <c r="A478" s="1"/>
      <c r="B478" s="1"/>
    </row>
    <row r="479">
      <c r="A479" s="1" t="str">
        <f>IFERROR(__xludf.DUMMYFUNCTION("""COMPUTED_VALUE"""),"PGIM India Mutual Fund")</f>
        <v>PGIM India Mutual Fund</v>
      </c>
      <c r="B479" s="1"/>
    </row>
    <row r="480">
      <c r="A480" s="1"/>
      <c r="B480" s="1"/>
    </row>
    <row r="481">
      <c r="A481" s="1" t="str">
        <f>IFERROR(__xludf.DUMMYFUNCTION("""COMPUTED_VALUE"""),"138317;INF223J01CY6;INF223J01CZ3;PGIM India Corporate Bond Fund - Annual Dividend;10.5225;25-Aug-2023")</f>
        <v>138317;INF223J01CY6;INF223J01CZ3;PGIM India Corporate Bond Fund - Annual Dividend;10.5225;25-Aug-2023</v>
      </c>
      <c r="B481" s="1"/>
    </row>
    <row r="482">
      <c r="A482" s="1" t="str">
        <f>IFERROR(__xludf.DUMMYFUNCTION("""COMPUTED_VALUE"""),"138329;INF223J01OM6;-;PGIM India Corporate Bond Fund - Direct Plan - Annual Dividend;15.9859;25-Aug-2023")</f>
        <v>138329;INF223J01OM6;-;PGIM India Corporate Bond Fund - Direct Plan - Annual Dividend;15.9859;25-Aug-2023</v>
      </c>
      <c r="B482" s="1"/>
    </row>
    <row r="483">
      <c r="A483" s="1" t="str">
        <f>IFERROR(__xludf.DUMMYFUNCTION("""COMPUTED_VALUE"""),"138330;INF223J01OO2;-;PGIM India Corporate Bond Fund - Direct Plan - Growth;41.3568;25-Aug-2023")</f>
        <v>138330;INF223J01OO2;-;PGIM India Corporate Bond Fund - Direct Plan - Growth;41.3568;25-Aug-2023</v>
      </c>
      <c r="B483" s="1"/>
    </row>
    <row r="484">
      <c r="A484" s="1" t="str">
        <f>IFERROR(__xludf.DUMMYFUNCTION("""COMPUTED_VALUE"""),"138331;INF223J01OP9;-;PGIM India Corporate Bond Fund - Direct Plan - Monthly Dividend;15.0562;25-Aug-2023")</f>
        <v>138331;INF223J01OP9;-;PGIM India Corporate Bond Fund - Direct Plan - Monthly Dividend;15.0562;25-Aug-2023</v>
      </c>
      <c r="B484" s="1"/>
    </row>
    <row r="485">
      <c r="A485" s="1" t="str">
        <f>IFERROR(__xludf.DUMMYFUNCTION("""COMPUTED_VALUE"""),"138332;INF223J01OR5;INF223J01OS3;PGIM India Corporate Bond Fund - Direct Plan - Quarterly Dividend;13.0785;25-Aug-2023")</f>
        <v>138332;INF223J01OR5;INF223J01OS3;PGIM India Corporate Bond Fund - Direct Plan - Quarterly Dividend;13.0785;25-Aug-2023</v>
      </c>
      <c r="B485" s="1"/>
    </row>
    <row r="486">
      <c r="A486" s="1" t="str">
        <f>IFERROR(__xludf.DUMMYFUNCTION("""COMPUTED_VALUE"""),"138318;INF223J01DB2;-;PGIM India Corporate Bond Fund - Growth;37.6195;25-Aug-2023")</f>
        <v>138318;INF223J01DB2;-;PGIM India Corporate Bond Fund - Growth;37.6195;25-Aug-2023</v>
      </c>
      <c r="B486" s="1"/>
    </row>
    <row r="487">
      <c r="A487" s="1" t="str">
        <f>IFERROR(__xludf.DUMMYFUNCTION("""COMPUTED_VALUE"""),"138316;INF223J01DC0;INF223J01DD8;PGIM India Corporate Bond Fund - Monthly Dividend;13.0297;25-Aug-2023")</f>
        <v>138316;INF223J01DC0;INF223J01DD8;PGIM India Corporate Bond Fund - Monthly Dividend;13.0297;25-Aug-2023</v>
      </c>
      <c r="B487" s="1"/>
    </row>
    <row r="488">
      <c r="A488" s="1" t="str">
        <f>IFERROR(__xludf.DUMMYFUNCTION("""COMPUTED_VALUE"""),"138323;INF223J01CQ2;-;PGIM India Corporate Bond Fund - Premium Plus Plan - Growth;21.588;21-Jan-2022")</f>
        <v>138323;INF223J01CQ2;-;PGIM India Corporate Bond Fund - Premium Plus Plan - Growth;21.588;21-Jan-2022</v>
      </c>
      <c r="B488" s="1"/>
    </row>
    <row r="489">
      <c r="A489" s="1" t="str">
        <f>IFERROR(__xludf.DUMMYFUNCTION("""COMPUTED_VALUE"""),"138315;INF223J01DE6;INF223J01DF3;PGIM India Corporate Bond Fund - Quarterly Dividend;11.5664;25-Aug-2023")</f>
        <v>138315;INF223J01DE6;INF223J01DF3;PGIM India Corporate Bond Fund - Quarterly Dividend;11.5664;25-Aug-2023</v>
      </c>
      <c r="B489" s="1"/>
    </row>
    <row r="490">
      <c r="A490" s="1" t="str">
        <f>IFERROR(__xludf.DUMMYFUNCTION("""COMPUTED_VALUE"""),"138336;INF223J01WZ1;-;PGIM India Premier Bond Fund - Annual Bonus;24.9334;01-Aug-2016")</f>
        <v>138336;INF223J01WZ1;-;PGIM India Premier Bond Fund - Annual Bonus;24.9334;01-Aug-2016</v>
      </c>
      <c r="B490" s="1"/>
    </row>
    <row r="491">
      <c r="A491" s="1" t="str">
        <f>IFERROR(__xludf.DUMMYFUNCTION("""COMPUTED_VALUE"""),"138324;INF223J01DA4;-;PGIM India Premier Bond Fund - Bonus;15.2260;01-Aug-2016")</f>
        <v>138324;INF223J01DA4;-;PGIM India Premier Bond Fund - Bonus;15.2260;01-Aug-2016</v>
      </c>
      <c r="B491" s="1"/>
    </row>
    <row r="492">
      <c r="A492" s="1" t="str">
        <f>IFERROR(__xludf.DUMMYFUNCTION("""COMPUTED_VALUE"""),"138333;INF223J01WG1;-;PGIM India Premier Bond Fund - Direct Plan - Half-Yearly Bonus;13.2164;01-Aug-2016")</f>
        <v>138333;INF223J01WG1;-;PGIM India Premier Bond Fund - Direct Plan - Half-Yearly Bonus;13.2164;01-Aug-2016</v>
      </c>
      <c r="B492" s="1"/>
    </row>
    <row r="493">
      <c r="A493" s="1" t="str">
        <f>IFERROR(__xludf.DUMMYFUNCTION("""COMPUTED_VALUE"""),"138334;INF223J01WF3;-;PGIM India Premier Bond Fund - Half-Yearly Bonus;13.5688;24-May-2019")</f>
        <v>138334;INF223J01WF3;-;PGIM India Premier Bond Fund - Half-Yearly Bonus;13.5688;24-May-2019</v>
      </c>
      <c r="B493" s="1"/>
    </row>
    <row r="494">
      <c r="A494" s="1"/>
      <c r="B494" s="1"/>
    </row>
    <row r="495">
      <c r="A495" s="1" t="str">
        <f>IFERROR(__xludf.DUMMYFUNCTION("""COMPUTED_VALUE"""),"SBI Mutual Fund")</f>
        <v>SBI Mutual Fund</v>
      </c>
      <c r="B495" s="1"/>
    </row>
    <row r="496">
      <c r="A496" s="1"/>
      <c r="B496" s="1"/>
    </row>
    <row r="497">
      <c r="A497" s="1" t="str">
        <f>IFERROR(__xludf.DUMMYFUNCTION("""COMPUTED_VALUE"""),"146215;INF200KA1YR4;-;SBI Corporate Bond Fund - Direct Plan - Growth;13.7367;25-Aug-2023")</f>
        <v>146215;INF200KA1YR4;-;SBI Corporate Bond Fund - Direct Plan - Growth;13.7367;25-Aug-2023</v>
      </c>
      <c r="B497" s="1"/>
    </row>
    <row r="498">
      <c r="A498" s="1" t="str">
        <f>IFERROR(__xludf.DUMMYFUNCTION("""COMPUTED_VALUE"""),"146212;INF200KA1YS2;INF200KA1YT0;SBI Corporate Bond Fund - Direct Plan - Monthly Income Distribution cum Capital Withdrawal Option (IDCW);12.9660;25-Aug-2023")</f>
        <v>146212;INF200KA1YS2;INF200KA1YT0;SBI Corporate Bond Fund - Direct Plan - Monthly Income Distribution cum Capital Withdrawal Option (IDCW);12.9660;25-Aug-2023</v>
      </c>
      <c r="B498" s="1"/>
    </row>
    <row r="499">
      <c r="A499" s="1" t="str">
        <f>IFERROR(__xludf.DUMMYFUNCTION("""COMPUTED_VALUE"""),"146216;INF200KA1YU8;INF200KA1YV6;SBI Corporate Bond Fund - Direct Plan - Quarterly Income Distribution cum Capital Withdrawal Option (IDCW);13.3539;25-Aug-2023")</f>
        <v>146216;INF200KA1YU8;INF200KA1YV6;SBI Corporate Bond Fund - Direct Plan - Quarterly Income Distribution cum Capital Withdrawal Option (IDCW);13.3539;25-Aug-2023</v>
      </c>
      <c r="B499" s="1"/>
    </row>
    <row r="500">
      <c r="A500" s="1" t="str">
        <f>IFERROR(__xludf.DUMMYFUNCTION("""COMPUTED_VALUE"""),"146207;INF200KA1YM5;-;SBI Corporate Bond Fund - Regular Plan - Growth;13.4421;25-Aug-2023")</f>
        <v>146207;INF200KA1YM5;-;SBI Corporate Bond Fund - Regular Plan - Growth;13.4421;25-Aug-2023</v>
      </c>
      <c r="B500" s="1"/>
    </row>
    <row r="501">
      <c r="A501" s="1" t="str">
        <f>IFERROR(__xludf.DUMMYFUNCTION("""COMPUTED_VALUE"""),"146208;INF200KA1YN3;INF200KA1YO1;SBI Corporate Bond Fund - Regular Plan - Monthly Income Distribution cum Capital Withdrawal Option (IDCW);12.6868;25-Aug-2023")</f>
        <v>146208;INF200KA1YN3;INF200KA1YO1;SBI Corporate Bond Fund - Regular Plan - Monthly Income Distribution cum Capital Withdrawal Option (IDCW);12.6868;25-Aug-2023</v>
      </c>
      <c r="B501" s="1"/>
    </row>
    <row r="502">
      <c r="A502" s="1" t="str">
        <f>IFERROR(__xludf.DUMMYFUNCTION("""COMPUTED_VALUE"""),"146210;INF200KA1YP8;INF200KA1YQ6;SBI Corporate Bond Fund - Regular Plan - Quarterly Income Distribution cum Capital Withdrawal Option (IDCW);13.0605;25-Aug-2023")</f>
        <v>146210;INF200KA1YP8;INF200KA1YQ6;SBI Corporate Bond Fund - Regular Plan - Quarterly Income Distribution cum Capital Withdrawal Option (IDCW);13.0605;25-Aug-2023</v>
      </c>
      <c r="B502" s="1"/>
    </row>
    <row r="503">
      <c r="A503" s="1"/>
      <c r="B503" s="1"/>
    </row>
    <row r="504">
      <c r="A504" s="1" t="str">
        <f>IFERROR(__xludf.DUMMYFUNCTION("""COMPUTED_VALUE"""),"Sundaram Mutual Fund")</f>
        <v>Sundaram Mutual Fund</v>
      </c>
      <c r="B504" s="1"/>
    </row>
    <row r="505">
      <c r="A505" s="1"/>
      <c r="B505" s="1"/>
    </row>
    <row r="506">
      <c r="A506" s="1" t="str">
        <f>IFERROR(__xludf.DUMMYFUNCTION("""COMPUTED_VALUE"""),"119628;-;INF903J01PD9;Sundaram Banking and PSU Debt Fund Direct Plan - Weekly Reinvestment of Income Distribution cum Capital Withdrawal (IDCW);12.2530;25-Aug-2023")</f>
        <v>119628;-;INF903J01PD9;Sundaram Banking and PSU Debt Fund Direct Plan - Weekly Reinvestment of Income Distribution cum Capital Withdrawal (IDCW);12.2530;25-Aug-2023</v>
      </c>
      <c r="B506" s="1"/>
    </row>
    <row r="507">
      <c r="A507" s="1" t="str">
        <f>IFERROR(__xludf.DUMMYFUNCTION("""COMPUTED_VALUE"""),"119631;INF903J01OX0;INF903J01OZ5;Sundaram Corporate Bond Fund Direct Plan - Annual Income Distribution cum Capital Withdrawal (IDCW);16.2113;25-Aug-2023")</f>
        <v>119631;INF903J01OX0;INF903J01OZ5;Sundaram Corporate Bond Fund Direct Plan - Annual Income Distribution cum Capital Withdrawal (IDCW);16.2113;25-Aug-2023</v>
      </c>
      <c r="B507" s="1"/>
    </row>
    <row r="508">
      <c r="A508" s="1" t="str">
        <f>IFERROR(__xludf.DUMMYFUNCTION("""COMPUTED_VALUE"""),"119621;INF903J01NR4;-;Sundaram Corporate Bond Fund Direct Plan - Growth;35.8188;25-Aug-2023")</f>
        <v>119621;INF903J01NR4;-;Sundaram Corporate Bond Fund Direct Plan - Growth;35.8188;25-Aug-2023</v>
      </c>
      <c r="B508" s="1"/>
    </row>
    <row r="509">
      <c r="A509" s="1" t="str">
        <f>IFERROR(__xludf.DUMMYFUNCTION("""COMPUTED_VALUE"""),"119624;INF903J01OW2;INF903J01OY8;Sundaram Corporate Bond Fund Direct Plan - Half yearly Income Distribution cum Capital Withdrawal (IDCW);16.2673;25-Aug-2023")</f>
        <v>119624;INF903J01OW2;INF903J01OY8;Sundaram Corporate Bond Fund Direct Plan - Half yearly Income Distribution cum Capital Withdrawal (IDCW);16.2673;25-Aug-2023</v>
      </c>
      <c r="B509" s="1"/>
    </row>
    <row r="510">
      <c r="A510" s="1" t="str">
        <f>IFERROR(__xludf.DUMMYFUNCTION("""COMPUTED_VALUE"""),"119622;INF903J01NS2;INF903J01NT0;Sundaram Corporate Bond Fund Direct Plan - Monthly Income Distribution cum Capital Withdrawal (IDCW);16.1523;25-Aug-2023")</f>
        <v>119622;INF903J01NS2;INF903J01NT0;Sundaram Corporate Bond Fund Direct Plan - Monthly Income Distribution cum Capital Withdrawal (IDCW);16.1523;25-Aug-2023</v>
      </c>
      <c r="B510" s="1"/>
    </row>
    <row r="511">
      <c r="A511" s="1" t="str">
        <f>IFERROR(__xludf.DUMMYFUNCTION("""COMPUTED_VALUE"""),"119630;INF903J01NU8;INF903J01NV6;Sundaram Corporate Bond Fund Direct Plan - Quarterly Income Distribution cum Capital Withdrawal (IDCW);17.9416;25-Aug-2023")</f>
        <v>119630;INF903J01NU8;INF903J01NV6;Sundaram Corporate Bond Fund Direct Plan - Quarterly Income Distribution cum Capital Withdrawal (IDCW);17.9416;25-Aug-2023</v>
      </c>
      <c r="B511" s="1"/>
    </row>
    <row r="512">
      <c r="A512" s="1" t="str">
        <f>IFERROR(__xludf.DUMMYFUNCTION("""COMPUTED_VALUE"""),"100788;INF903J01IA0;INF903J01IE2;Sundaram Corporate Bond Fund Regular Plan - Annual Income Distribution cum Capital Withdrawal (IDCW);15.7838;25-Aug-2023")</f>
        <v>100788;INF903J01IA0;INF903J01IE2;Sundaram Corporate Bond Fund Regular Plan - Annual Income Distribution cum Capital Withdrawal (IDCW);15.7838;25-Aug-2023</v>
      </c>
      <c r="B512" s="1"/>
    </row>
    <row r="513">
      <c r="A513" s="1" t="str">
        <f>IFERROR(__xludf.DUMMYFUNCTION("""COMPUTED_VALUE"""),"100787;INF903J01HZ9;INF903J01ID4;Sundaram Corporate Bond Fund Regular Plan - Half yearly Income Distribution cum Capital Withdrawal (IDCW);16.2062;25-Aug-2023")</f>
        <v>100787;INF903J01HZ9;INF903J01ID4;Sundaram Corporate Bond Fund Regular Plan - Half yearly Income Distribution cum Capital Withdrawal (IDCW);16.2062;25-Aug-2023</v>
      </c>
      <c r="B513" s="1"/>
    </row>
    <row r="514">
      <c r="A514" s="1" t="str">
        <f>IFERROR(__xludf.DUMMYFUNCTION("""COMPUTED_VALUE"""),"100785;INF903J01HX4;INF903J01IB8;Sundaram Corporate Bond Fund Regular Plan - Monthly Income Distribution cum Capital Withdrawal (IDCW);15.3245;25-Aug-2023")</f>
        <v>100785;INF903J01HX4;INF903J01IB8;Sundaram Corporate Bond Fund Regular Plan - Monthly Income Distribution cum Capital Withdrawal (IDCW);15.3245;25-Aug-2023</v>
      </c>
      <c r="B514" s="1"/>
    </row>
    <row r="515">
      <c r="A515" s="1" t="str">
        <f>IFERROR(__xludf.DUMMYFUNCTION("""COMPUTED_VALUE"""),"100786;INF903J01HY2;INF903J01IC6;Sundaram Corporate Bond Fund Regular Plan - Quarterly Income Distribution cum Capital Withdrawal (IDCW);17.4702;25-Aug-2023")</f>
        <v>100786;INF903J01HY2;INF903J01IC6;Sundaram Corporate Bond Fund Regular Plan - Quarterly Income Distribution cum Capital Withdrawal (IDCW);17.4702;25-Aug-2023</v>
      </c>
      <c r="B515" s="1"/>
    </row>
    <row r="516">
      <c r="A516" s="1" t="str">
        <f>IFERROR(__xludf.DUMMYFUNCTION("""COMPUTED_VALUE"""),"100789;INF903J01HW6;-;Sundaram Corporate Bond Fund Regular Plan- Growth;34.7845;25-Aug-2023")</f>
        <v>100789;INF903J01HW6;-;Sundaram Corporate Bond Fund Regular Plan- Growth;34.7845;25-Aug-2023</v>
      </c>
      <c r="B516" s="1"/>
    </row>
    <row r="517">
      <c r="A517" s="1"/>
      <c r="B517" s="1"/>
    </row>
    <row r="518">
      <c r="A518" s="1" t="str">
        <f>IFERROR(__xludf.DUMMYFUNCTION("""COMPUTED_VALUE"""),"Tata Mutual Fund")</f>
        <v>Tata Mutual Fund</v>
      </c>
      <c r="B518" s="1"/>
    </row>
    <row r="519">
      <c r="A519" s="1"/>
      <c r="B519" s="1"/>
    </row>
    <row r="520">
      <c r="A520" s="1" t="str">
        <f>IFERROR(__xludf.DUMMYFUNCTION("""COMPUTED_VALUE"""),"149361;INF277KA1224;-;Tata Corporate Bond Fund-Direct Plan-Growth;10.8340;25-Aug-2023")</f>
        <v>149361;INF277KA1224;-;Tata Corporate Bond Fund-Direct Plan-Growth;10.8340;25-Aug-2023</v>
      </c>
      <c r="B520" s="1"/>
    </row>
    <row r="521">
      <c r="A521" s="1" t="str">
        <f>IFERROR(__xludf.DUMMYFUNCTION("""COMPUTED_VALUE"""),"149364;INF277KA1240;-;Tata Corporate Bond Fund-Direct Plan-IDCW Monthly Payout;10.8340;25-Aug-2023")</f>
        <v>149364;INF277KA1240;-;Tata Corporate Bond Fund-Direct Plan-IDCW Monthly Payout;10.8340;25-Aug-2023</v>
      </c>
      <c r="B521" s="1"/>
    </row>
    <row r="522">
      <c r="A522" s="1" t="str">
        <f>IFERROR(__xludf.DUMMYFUNCTION("""COMPUTED_VALUE"""),"149357;-;INF277KA1273;Tata Corporate Bond Fund-Direct Plan-IDCW Monthly Reinvestment;10.8340;25-Aug-2023")</f>
        <v>149357;-;INF277KA1273;Tata Corporate Bond Fund-Direct Plan-IDCW Monthly Reinvestment;10.8340;25-Aug-2023</v>
      </c>
      <c r="B522" s="1"/>
    </row>
    <row r="523">
      <c r="A523" s="1" t="str">
        <f>IFERROR(__xludf.DUMMYFUNCTION("""COMPUTED_VALUE"""),"149355;INF277KA1232;-;Tata Corporate Bond Fund-Direct Plan-IDCW Periodic Payout;10.8340;25-Aug-2023")</f>
        <v>149355;INF277KA1232;-;Tata Corporate Bond Fund-Direct Plan-IDCW Periodic Payout;10.8340;25-Aug-2023</v>
      </c>
      <c r="B523" s="1"/>
    </row>
    <row r="524">
      <c r="A524" s="1" t="str">
        <f>IFERROR(__xludf.DUMMYFUNCTION("""COMPUTED_VALUE"""),"149356;-;INF277KA1265;Tata Corporate Bond Fund-Direct Plan-IDCW Periodic Reinvestment;10.8340;25-Aug-2023")</f>
        <v>149356;-;INF277KA1265;Tata Corporate Bond Fund-Direct Plan-IDCW Periodic Reinvestment;10.8340;25-Aug-2023</v>
      </c>
      <c r="B524" s="1"/>
    </row>
    <row r="525">
      <c r="A525" s="1" t="str">
        <f>IFERROR(__xludf.DUMMYFUNCTION("""COMPUTED_VALUE"""),"149362;INF277KA1257;-;Tata Corporate Bond Fund-Direct Plan-IDCW Quarterly Payout;10.8340;25-Aug-2023")</f>
        <v>149362;INF277KA1257;-;Tata Corporate Bond Fund-Direct Plan-IDCW Quarterly Payout;10.8340;25-Aug-2023</v>
      </c>
      <c r="B525" s="1"/>
    </row>
    <row r="526">
      <c r="A526" s="1" t="str">
        <f>IFERROR(__xludf.DUMMYFUNCTION("""COMPUTED_VALUE"""),"149358;-;INF277KA1281;Tata Corporate Bond Fund-Direct Plan-IDCW Quarterly Reinvestment;10.8340;25-Aug-2023")</f>
        <v>149358;-;INF277KA1281;Tata Corporate Bond Fund-Direct Plan-IDCW Quarterly Reinvestment;10.8340;25-Aug-2023</v>
      </c>
      <c r="B526" s="1"/>
    </row>
    <row r="527">
      <c r="A527" s="1" t="str">
        <f>IFERROR(__xludf.DUMMYFUNCTION("""COMPUTED_VALUE"""),"149351;INF277KA1299;-;Tata Corporate Bond Fund-Regular Plan-Growth;10.7180;25-Aug-2023")</f>
        <v>149351;INF277KA1299;-;Tata Corporate Bond Fund-Regular Plan-Growth;10.7180;25-Aug-2023</v>
      </c>
      <c r="B527" s="1"/>
    </row>
    <row r="528">
      <c r="A528" s="1" t="str">
        <f>IFERROR(__xludf.DUMMYFUNCTION("""COMPUTED_VALUE"""),"149353;INF277KA1315;-;Tata Corporate Bond Fund-Regular Plan-IDCW Monthly Payout;10.7180;25-Aug-2023")</f>
        <v>149353;INF277KA1315;-;Tata Corporate Bond Fund-Regular Plan-IDCW Monthly Payout;10.7180;25-Aug-2023</v>
      </c>
      <c r="B528" s="1"/>
    </row>
    <row r="529">
      <c r="A529" s="1" t="str">
        <f>IFERROR(__xludf.DUMMYFUNCTION("""COMPUTED_VALUE"""),"149363;-;INF277KA1349;Tata Corporate Bond Fund-Regular Plan-IDCW Monthly Reinvestment;10.7180;25-Aug-2023")</f>
        <v>149363;-;INF277KA1349;Tata Corporate Bond Fund-Regular Plan-IDCW Monthly Reinvestment;10.7180;25-Aug-2023</v>
      </c>
      <c r="B529" s="1"/>
    </row>
    <row r="530">
      <c r="A530" s="1" t="str">
        <f>IFERROR(__xludf.DUMMYFUNCTION("""COMPUTED_VALUE"""),"149360;INF277KA1307;-;Tata Corporate Bond Fund-Regular Plan-IDCW Periodic Payout;10.7180;25-Aug-2023")</f>
        <v>149360;INF277KA1307;-;Tata Corporate Bond Fund-Regular Plan-IDCW Periodic Payout;10.7180;25-Aug-2023</v>
      </c>
      <c r="B530" s="1"/>
    </row>
    <row r="531">
      <c r="A531" s="1" t="str">
        <f>IFERROR(__xludf.DUMMYFUNCTION("""COMPUTED_VALUE"""),"149352;-;INF277KA1331;Tata Corporate Bond Fund-Regular Plan-IDCW Periodic Reinvestment;10.7180;25-Aug-2023")</f>
        <v>149352;-;INF277KA1331;Tata Corporate Bond Fund-Regular Plan-IDCW Periodic Reinvestment;10.7180;25-Aug-2023</v>
      </c>
      <c r="B531" s="1"/>
    </row>
    <row r="532">
      <c r="A532" s="1" t="str">
        <f>IFERROR(__xludf.DUMMYFUNCTION("""COMPUTED_VALUE"""),"149354;INF277KA1323;-;Tata Corporate Bond Fund-Regular Plan-IDCW Quarterly Payout;10.7180;25-Aug-2023")</f>
        <v>149354;INF277KA1323;-;Tata Corporate Bond Fund-Regular Plan-IDCW Quarterly Payout;10.7180;25-Aug-2023</v>
      </c>
      <c r="B532" s="1"/>
    </row>
    <row r="533">
      <c r="A533" s="1" t="str">
        <f>IFERROR(__xludf.DUMMYFUNCTION("""COMPUTED_VALUE"""),"149359;-;INF277KA1356;Tata Corporate Bond Fund-Regular Plan-IDCW Quarterly Reinvestment;10.7180;25-Aug-2023")</f>
        <v>149359;-;INF277KA1356;Tata Corporate Bond Fund-Regular Plan-IDCW Quarterly Reinvestment;10.7180;25-Aug-2023</v>
      </c>
      <c r="B533" s="1"/>
    </row>
    <row r="534">
      <c r="A534" s="1"/>
      <c r="B534" s="1"/>
    </row>
    <row r="535">
      <c r="A535" s="1" t="str">
        <f>IFERROR(__xludf.DUMMYFUNCTION("""COMPUTED_VALUE"""),"Trust Mutual Fund")</f>
        <v>Trust Mutual Fund</v>
      </c>
      <c r="B535" s="1"/>
    </row>
    <row r="536">
      <c r="A536" s="1"/>
      <c r="B536" s="1"/>
    </row>
    <row r="537">
      <c r="A537" s="1" t="str">
        <f>IFERROR(__xludf.DUMMYFUNCTION("""COMPUTED_VALUE"""),"151320;INF0GCD01560;-;TRUSTMF CORPORATE BOND FUND-DIRECT PLAN-GROWTH;1043.2223;25-Aug-2023")</f>
        <v>151320;INF0GCD01560;-;TRUSTMF CORPORATE BOND FUND-DIRECT PLAN-GROWTH;1043.2223;25-Aug-2023</v>
      </c>
      <c r="B537" s="1"/>
    </row>
    <row r="538">
      <c r="A538" s="1" t="str">
        <f>IFERROR(__xludf.DUMMYFUNCTION("""COMPUTED_VALUE"""),"151321;INF0GCD01586;INF0GCD01578;TRUSTMF CORPORATE BOND FUND-DIRECT PLAN-MONTHLY IDCW;1043.5632;25-Aug-2023")</f>
        <v>151321;INF0GCD01586;INF0GCD01578;TRUSTMF CORPORATE BOND FUND-DIRECT PLAN-MONTHLY IDCW;1043.5632;25-Aug-2023</v>
      </c>
      <c r="B538" s="1"/>
    </row>
    <row r="539">
      <c r="A539" s="1" t="str">
        <f>IFERROR(__xludf.DUMMYFUNCTION("""COMPUTED_VALUE"""),"151322;INF0GCD01537;-;TRUSTMF CORPORATE BOND FUND-REGULAR PLAN-GROWTH;1040.7357;25-Aug-2023")</f>
        <v>151322;INF0GCD01537;-;TRUSTMF CORPORATE BOND FUND-REGULAR PLAN-GROWTH;1040.7357;25-Aug-2023</v>
      </c>
      <c r="B539" s="1"/>
    </row>
    <row r="540">
      <c r="A540" s="1" t="str">
        <f>IFERROR(__xludf.DUMMYFUNCTION("""COMPUTED_VALUE"""),"151319;INF0GCD01552;INF0GCD01545;TRUSTMF CORPORATE BOND FUND-REGULAR PLAN-MONTHLY IDCW;1040.7223;25-Aug-2023")</f>
        <v>151319;INF0GCD01552;INF0GCD01545;TRUSTMF CORPORATE BOND FUND-REGULAR PLAN-MONTHLY IDCW;1040.7223;25-Aug-2023</v>
      </c>
      <c r="B540" s="1"/>
    </row>
    <row r="541">
      <c r="A541" s="1"/>
      <c r="B541" s="1"/>
    </row>
    <row r="542">
      <c r="A542" s="1" t="str">
        <f>IFERROR(__xludf.DUMMYFUNCTION("""COMPUTED_VALUE"""),"Union Mutual Fund")</f>
        <v>Union Mutual Fund</v>
      </c>
      <c r="B542" s="1"/>
    </row>
    <row r="543">
      <c r="A543" s="1"/>
      <c r="B543" s="1"/>
    </row>
    <row r="544">
      <c r="A544" s="1" t="str">
        <f>IFERROR(__xludf.DUMMYFUNCTION("""COMPUTED_VALUE"""),"143241;INF582M01DU5;-;Union Corporate Bond Fund - Direct Plan - Growth Option;13.4523;25-Aug-2023")</f>
        <v>143241;INF582M01DU5;-;Union Corporate Bond Fund - Direct Plan - Growth Option;13.4523;25-Aug-2023</v>
      </c>
      <c r="B544" s="1"/>
    </row>
    <row r="545">
      <c r="A545" s="1" t="str">
        <f>IFERROR(__xludf.DUMMYFUNCTION("""COMPUTED_VALUE"""),"143242;INF582M01DW1;INF582M01DV3;Union Corporate Bond Fund - Direct Plan - IDCW Option;13.4523;25-Aug-2023")</f>
        <v>143242;INF582M01DW1;INF582M01DV3;Union Corporate Bond Fund - Direct Plan - IDCW Option;13.4523;25-Aug-2023</v>
      </c>
      <c r="B545" s="1"/>
    </row>
    <row r="546">
      <c r="A546" s="1" t="str">
        <f>IFERROR(__xludf.DUMMYFUNCTION("""COMPUTED_VALUE"""),"143239;INF582M01DY7;-;Union Corporate Bond Fund - Regular Plan - Growth Option;13.2274;25-Aug-2023")</f>
        <v>143239;INF582M01DY7;-;Union Corporate Bond Fund - Regular Plan - Growth Option;13.2274;25-Aug-2023</v>
      </c>
      <c r="B546" s="1"/>
    </row>
    <row r="547">
      <c r="A547" s="1" t="str">
        <f>IFERROR(__xludf.DUMMYFUNCTION("""COMPUTED_VALUE"""),"143240;INF582M01EA5;INF582M01DZ4;Union Corporate Bond Fund - Regular Plan - IDCW Option;13.2274;25-Aug-2023")</f>
        <v>143240;INF582M01EA5;INF582M01DZ4;Union Corporate Bond Fund - Regular Plan - IDCW Option;13.2274;25-Aug-2023</v>
      </c>
      <c r="B547" s="1"/>
    </row>
    <row r="548">
      <c r="A548" s="1"/>
      <c r="B548" s="1"/>
    </row>
    <row r="549">
      <c r="A549" s="1" t="str">
        <f>IFERROR(__xludf.DUMMYFUNCTION("""COMPUTED_VALUE"""),"UTI Mutual Fund")</f>
        <v>UTI Mutual Fund</v>
      </c>
      <c r="B549" s="1"/>
    </row>
    <row r="550">
      <c r="A550" s="1"/>
      <c r="B550" s="1"/>
    </row>
    <row r="551">
      <c r="A551" s="1" t="str">
        <f>IFERROR(__xludf.DUMMYFUNCTION("""COMPUTED_VALUE"""),"148085;INF789F1AOW2;-;UTI - Bond Fund ( Segregated - 17022020) - Regular Plan - Growth Option;6.8146;27-Jan-2022")</f>
        <v>148085;INF789F1AOW2;-;UTI - Bond Fund ( Segregated - 17022020) - Regular Plan - Growth Option;6.8146;27-Jan-2022</v>
      </c>
      <c r="B551" s="1"/>
    </row>
    <row r="552">
      <c r="A552" s="1" t="str">
        <f>IFERROR(__xludf.DUMMYFUNCTION("""COMPUTED_VALUE"""),"148086;INF789F1APF4;-;UTI - Bond Fund (Segregated - 17022020) - Direct Plan - Growth Option;7.3484;27-Jan-2022")</f>
        <v>148086;INF789F1APF4;-;UTI - Bond Fund (Segregated - 17022020) - Direct Plan - Growth Option;7.3484;27-Jan-2022</v>
      </c>
      <c r="B552" s="1"/>
    </row>
    <row r="553">
      <c r="A553" s="1" t="str">
        <f>IFERROR(__xludf.DUMMYFUNCTION("""COMPUTED_VALUE"""),"148076;INF789F1APK4;INF789F1APL2;UTI Bond Fund ( Segregated - 17022020) - Direct Plan - Annual IDCW;1.504;27-Jan-2022")</f>
        <v>148076;INF789F1APK4;INF789F1APL2;UTI Bond Fund ( Segregated - 17022020) - Direct Plan - Annual IDCW;1.504;27-Jan-2022</v>
      </c>
      <c r="B553" s="1"/>
    </row>
    <row r="554">
      <c r="A554" s="1" t="str">
        <f>IFERROR(__xludf.DUMMYFUNCTION("""COMPUTED_VALUE"""),"148090;INF789F1APM0;INF789F1APN8;UTI Bond Fund ( Segregated - 17022020) - Direct Plan - Flexi IDCW;1.4941;27-Jan-2022")</f>
        <v>148090;INF789F1APM0;INF789F1APN8;UTI Bond Fund ( Segregated - 17022020) - Direct Plan - Flexi IDCW;1.4941;27-Jan-2022</v>
      </c>
      <c r="B554" s="1"/>
    </row>
    <row r="555">
      <c r="A555" s="1" t="str">
        <f>IFERROR(__xludf.DUMMYFUNCTION("""COMPUTED_VALUE"""),"148091;INF789F1API8;INF789F1APJ6;UTI Bond Fund ( Segregated - 17022020) - Direct Plan - Half-Yearly IDCW;1.4429;27-Jan-2022")</f>
        <v>148091;INF789F1API8;INF789F1APJ6;UTI Bond Fund ( Segregated - 17022020) - Direct Plan - Half-Yearly IDCW;1.4429;27-Jan-2022</v>
      </c>
      <c r="B555" s="1"/>
    </row>
    <row r="556">
      <c r="A556" s="1" t="str">
        <f>IFERROR(__xludf.DUMMYFUNCTION("""COMPUTED_VALUE"""),"148092;INF789F1APG2;INF789F1APH0;UTI Bond Fund ( Segregated - 17022020) - Direct Plan - Quarterly IDCW;2.3467;27-Jan-2022")</f>
        <v>148092;INF789F1APG2;INF789F1APH0;UTI Bond Fund ( Segregated - 17022020) - Direct Plan - Quarterly IDCW;2.3467;27-Jan-2022</v>
      </c>
      <c r="B556" s="1"/>
    </row>
    <row r="557">
      <c r="A557" s="1" t="str">
        <f>IFERROR(__xludf.DUMMYFUNCTION("""COMPUTED_VALUE"""),"148075;INF789F1APB3;INF789F1APC1;UTI Bond Fund ( Segregated - 17022020) - Regular Plan - Annual IDCW;1.4416;27-Jan-2022")</f>
        <v>148075;INF789F1APB3;INF789F1APC1;UTI Bond Fund ( Segregated - 17022020) - Regular Plan - Annual IDCW;1.4416;27-Jan-2022</v>
      </c>
      <c r="B557" s="1"/>
    </row>
    <row r="558">
      <c r="A558" s="1" t="str">
        <f>IFERROR(__xludf.DUMMYFUNCTION("""COMPUTED_VALUE"""),"148088;INF789F1APD9;INF789F1APE7;UTI Bond Fund ( Segregated - 17022020) - Regular Plan - Flexi IDCW;1.4408;27-Jan-2022")</f>
        <v>148088;INF789F1APD9;INF789F1APE7;UTI Bond Fund ( Segregated - 17022020) - Regular Plan - Flexi IDCW;1.4408;27-Jan-2022</v>
      </c>
      <c r="B558" s="1"/>
    </row>
    <row r="559">
      <c r="A559" s="1" t="str">
        <f>IFERROR(__xludf.DUMMYFUNCTION("""COMPUTED_VALUE"""),"148087;INF789F1AOZ5;INF789F1APA5;UTI Bond Fund ( Segregated - 17022020) - Regular Plan - Half-Yearly IDCW;1.4131;27-Jan-2022")</f>
        <v>148087;INF789F1AOZ5;INF789F1APA5;UTI Bond Fund ( Segregated - 17022020) - Regular Plan - Half-Yearly IDCW;1.4131;27-Jan-2022</v>
      </c>
      <c r="B559" s="1"/>
    </row>
    <row r="560">
      <c r="A560" s="1" t="str">
        <f>IFERROR(__xludf.DUMMYFUNCTION("""COMPUTED_VALUE"""),"148089;INF789F1AOX0;INF789F1AOY8;UTI Bond Fund ( Segregated - 17022020) - Regular Plan - Quarterly IDCW;1.8744;27-Jan-2022")</f>
        <v>148089;INF789F1AOX0;INF789F1AOY8;UTI Bond Fund ( Segregated - 17022020) - Regular Plan - Quarterly IDCW;1.8744;27-Jan-2022</v>
      </c>
      <c r="B560" s="1"/>
    </row>
    <row r="561">
      <c r="A561" s="1" t="str">
        <f>IFERROR(__xludf.DUMMYFUNCTION("""COMPUTED_VALUE"""),"144344;INF789F1A587;INF789F1A595;UTI Corporate Bond Fund - Direct Plan - Annual IDCW;12.4747;25-Aug-2023")</f>
        <v>144344;INF789F1A587;INF789F1A595;UTI Corporate Bond Fund - Direct Plan - Annual IDCW;12.4747;25-Aug-2023</v>
      </c>
      <c r="B561" s="1"/>
    </row>
    <row r="562">
      <c r="A562" s="1" t="str">
        <f>IFERROR(__xludf.DUMMYFUNCTION("""COMPUTED_VALUE"""),"144341;INF789F1A603;INF789F1A611;UTI Corporate Bond Fund - Direct Plan - Flexi IDCW;12.7072;25-Aug-2023")</f>
        <v>144341;INF789F1A603;INF789F1A611;UTI Corporate Bond Fund - Direct Plan - Flexi IDCW;12.7072;25-Aug-2023</v>
      </c>
      <c r="B562" s="1"/>
    </row>
    <row r="563">
      <c r="A563" s="1" t="str">
        <f>IFERROR(__xludf.DUMMYFUNCTION("""COMPUTED_VALUE"""),"144339;INF789F1A538;-;UTI Corporate Bond Fund - Direct Plan - Growth Option;14.4174;25-Aug-2023")</f>
        <v>144339;INF789F1A538;-;UTI Corporate Bond Fund - Direct Plan - Growth Option;14.4174;25-Aug-2023</v>
      </c>
      <c r="B563" s="1"/>
    </row>
    <row r="564">
      <c r="A564" s="1" t="str">
        <f>IFERROR(__xludf.DUMMYFUNCTION("""COMPUTED_VALUE"""),"144340;INF789F1A561;INF789F1A579;UTI Corporate Bond Fund - Direct Plan - Half-Yearly IDCW;12.3193;25-Aug-2023")</f>
        <v>144340;INF789F1A561;INF789F1A579;UTI Corporate Bond Fund - Direct Plan - Half-Yearly IDCW;12.3193;25-Aug-2023</v>
      </c>
      <c r="B564" s="1"/>
    </row>
    <row r="565">
      <c r="A565" s="1" t="str">
        <f>IFERROR(__xludf.DUMMYFUNCTION("""COMPUTED_VALUE"""),"144346;INF789F1A546;INF789F1A553;UTI Corporate Bond Fund - Direct Plan - Quarterly IDCW;12.6094;25-Aug-2023")</f>
        <v>144346;INF789F1A546;INF789F1A553;UTI Corporate Bond Fund - Direct Plan - Quarterly IDCW;12.6094;25-Aug-2023</v>
      </c>
      <c r="B565" s="1"/>
    </row>
    <row r="566">
      <c r="A566" s="1" t="str">
        <f>IFERROR(__xludf.DUMMYFUNCTION("""COMPUTED_VALUE"""),"144337;INF789F1A496;INF789F1A504;UTI Corporate Bond Fund - Regular Plan - Annual IDCW;12.2608;25-Aug-2023")</f>
        <v>144337;INF789F1A496;INF789F1A504;UTI Corporate Bond Fund - Regular Plan - Annual IDCW;12.2608;25-Aug-2023</v>
      </c>
      <c r="B566" s="1"/>
    </row>
    <row r="567">
      <c r="A567" s="1" t="str">
        <f>IFERROR(__xludf.DUMMYFUNCTION("""COMPUTED_VALUE"""),"144338;INF789F1A512;INF789F1A520;UTI Corporate Bond Fund - Regular Plan - Flexi IDCW;12.493;25-Aug-2023")</f>
        <v>144338;INF789F1A512;INF789F1A520;UTI Corporate Bond Fund - Regular Plan - Flexi IDCW;12.493;25-Aug-2023</v>
      </c>
      <c r="B567" s="1"/>
    </row>
    <row r="568">
      <c r="A568" s="1" t="str">
        <f>IFERROR(__xludf.DUMMYFUNCTION("""COMPUTED_VALUE"""),"144345;INF789F1A447;-;UTI Corporate Bond Fund - Regular Plan - Growth Option;14.1877;25-Aug-2023")</f>
        <v>144345;INF789F1A447;-;UTI Corporate Bond Fund - Regular Plan - Growth Option;14.1877;25-Aug-2023</v>
      </c>
      <c r="B568" s="1"/>
    </row>
    <row r="569">
      <c r="A569" s="1" t="str">
        <f>IFERROR(__xludf.DUMMYFUNCTION("""COMPUTED_VALUE"""),"144343;INF789F1A470;INF789F1A488;UTI Corporate Bond Fund - Regular Plan - Half-Yearly IDCW;11.9875;25-Aug-2023")</f>
        <v>144343;INF789F1A470;INF789F1A488;UTI Corporate Bond Fund - Regular Plan - Half-Yearly IDCW;11.9875;25-Aug-2023</v>
      </c>
      <c r="B569" s="1"/>
    </row>
    <row r="570">
      <c r="A570" s="1" t="str">
        <f>IFERROR(__xludf.DUMMYFUNCTION("""COMPUTED_VALUE"""),"144342;INF789F1A454;INF789F1A462;UTI Corporate Bond Fund - Regular Plan - Quarterly IDCW;12.337;25-Aug-2023")</f>
        <v>144342;INF789F1A454;INF789F1A462;UTI Corporate Bond Fund - Regular Plan - Quarterly IDCW;12.337;25-Aug-2023</v>
      </c>
      <c r="B570" s="1"/>
    </row>
    <row r="571">
      <c r="A571" s="1"/>
      <c r="B571" s="1"/>
    </row>
    <row r="572">
      <c r="A572" s="1" t="str">
        <f>IFERROR(__xludf.DUMMYFUNCTION("""COMPUTED_VALUE"""),"Open Ended Schemes(Debt Scheme - Credit Risk Fund)")</f>
        <v>Open Ended Schemes(Debt Scheme - Credit Risk Fund)</v>
      </c>
      <c r="B572" s="1"/>
    </row>
    <row r="573">
      <c r="A573" s="1"/>
      <c r="B573" s="1"/>
    </row>
    <row r="574">
      <c r="A574" s="1" t="str">
        <f>IFERROR(__xludf.DUMMYFUNCTION("""COMPUTED_VALUE"""),"Aditya Birla Sun Life Mutual Fund")</f>
        <v>Aditya Birla Sun Life Mutual Fund</v>
      </c>
      <c r="B574" s="1"/>
    </row>
    <row r="575">
      <c r="A575" s="1"/>
      <c r="B575" s="1"/>
    </row>
    <row r="576">
      <c r="A576" s="1" t="str">
        <f>IFERROR(__xludf.DUMMYFUNCTION("""COMPUTED_VALUE"""),"134385;INF209KA1K96;INF209KA1L04;Aditya Birla Sun Life Credit Risk Fund - Direct - IDCW;12.1513;25-Aug-2023")</f>
        <v>134385;INF209KA1K96;INF209KA1L04;Aditya Birla Sun Life Credit Risk Fund - Direct - IDCW;12.1513;25-Aug-2023</v>
      </c>
      <c r="B576" s="1"/>
    </row>
    <row r="577">
      <c r="A577" s="1" t="str">
        <f>IFERROR(__xludf.DUMMYFUNCTION("""COMPUTED_VALUE"""),"134388;INF209KA1L12;-;Aditya Birla Sun Life Credit Risk Fund - Direct Plan - Bonus;19.3525;25-Aug-2023")</f>
        <v>134388;INF209KA1L12;-;Aditya Birla Sun Life Credit Risk Fund - Direct Plan - Bonus;19.3525;25-Aug-2023</v>
      </c>
      <c r="B577" s="1"/>
    </row>
    <row r="578">
      <c r="A578" s="1" t="str">
        <f>IFERROR(__xludf.DUMMYFUNCTION("""COMPUTED_VALUE"""),"134387;INF209KA1K88;-;Aditya Birla Sun Life Credit Risk Fund - Direct Plan - Growth;19.3533;25-Aug-2023")</f>
        <v>134387;INF209KA1K88;-;Aditya Birla Sun Life Credit Risk Fund - Direct Plan - Growth;19.3533;25-Aug-2023</v>
      </c>
      <c r="B578" s="1"/>
    </row>
    <row r="579">
      <c r="A579" s="1" t="str">
        <f>IFERROR(__xludf.DUMMYFUNCTION("""COMPUTED_VALUE"""),"134386;INF209KA1K54;INF209KA1K62;Aditya Birla Sun Life Credit Risk Fund - Regular - IDCW;11.259;25-Aug-2023")</f>
        <v>134386;INF209KA1K54;INF209KA1K62;Aditya Birla Sun Life Credit Risk Fund - Regular - IDCW;11.259;25-Aug-2023</v>
      </c>
      <c r="B579" s="1"/>
    </row>
    <row r="580">
      <c r="A580" s="1" t="str">
        <f>IFERROR(__xludf.DUMMYFUNCTION("""COMPUTED_VALUE"""),"134384;INF209KA1K70;-;Aditya Birla Sun Life Credit Risk Fund - Regular Plan - Bonus;17.7004;23-May-2023")</f>
        <v>134384;INF209KA1K70;-;Aditya Birla Sun Life Credit Risk Fund - Regular Plan - Bonus;17.7004;23-May-2023</v>
      </c>
      <c r="B580" s="1"/>
    </row>
    <row r="581">
      <c r="A581" s="1" t="str">
        <f>IFERROR(__xludf.DUMMYFUNCTION("""COMPUTED_VALUE"""),"134383;INF209KA1K47;-;Aditya Birla Sun Life Credit Risk Fund - Regular Plan - Growth;17.9513;25-Aug-2023")</f>
        <v>134383;INF209KA1K47;-;Aditya Birla Sun Life Credit Risk Fund - Regular Plan - Growth;17.9513;25-Aug-2023</v>
      </c>
      <c r="B581" s="1"/>
    </row>
    <row r="582">
      <c r="A582" s="1"/>
      <c r="B582" s="1"/>
    </row>
    <row r="583">
      <c r="A583" s="1" t="str">
        <f>IFERROR(__xludf.DUMMYFUNCTION("""COMPUTED_VALUE"""),"Axis Mutual Fund")</f>
        <v>Axis Mutual Fund</v>
      </c>
      <c r="B583" s="1"/>
    </row>
    <row r="584">
      <c r="A584" s="1"/>
      <c r="B584" s="1"/>
    </row>
    <row r="585">
      <c r="A585" s="1" t="str">
        <f>IFERROR(__xludf.DUMMYFUNCTION("""COMPUTED_VALUE"""),"130314;INF846K01PJ5;-;Axis Credit Risk Fund - Direct Plan - Growth;20.4354;25-Aug-2023")</f>
        <v>130314;INF846K01PJ5;-;Axis Credit Risk Fund - Direct Plan - Growth;20.4354;25-Aug-2023</v>
      </c>
      <c r="B585" s="1"/>
    </row>
    <row r="586">
      <c r="A586" s="1" t="str">
        <f>IFERROR(__xludf.DUMMYFUNCTION("""COMPUTED_VALUE"""),"130312;INF846K01PM9;INF846K01PN7;Axis Credit Risk Fund - Direct Plan - Monthly IDCW;10.0701;25-Aug-2023")</f>
        <v>130312;INF846K01PM9;INF846K01PN7;Axis Credit Risk Fund - Direct Plan - Monthly IDCW;10.0701;25-Aug-2023</v>
      </c>
      <c r="B586" s="1"/>
    </row>
    <row r="587">
      <c r="A587" s="1" t="str">
        <f>IFERROR(__xludf.DUMMYFUNCTION("""COMPUTED_VALUE"""),"130311;INF846K01PK3;INF846K01PL1;Axis Credit Risk Fund - Direct Plan - Weekly IDCW;10.3063;25-Aug-2023")</f>
        <v>130311;INF846K01PK3;INF846K01PL1;Axis Credit Risk Fund - Direct Plan - Weekly IDCW;10.3063;25-Aug-2023</v>
      </c>
      <c r="B587" s="1"/>
    </row>
    <row r="588">
      <c r="A588" s="1" t="str">
        <f>IFERROR(__xludf.DUMMYFUNCTION("""COMPUTED_VALUE"""),"130309;INF846K01PO5;-;Axis Credit Risk Fund - Regular Plan - Growth;18.5271;25-Aug-2023")</f>
        <v>130309;INF846K01PO5;-;Axis Credit Risk Fund - Regular Plan - Growth;18.5271;25-Aug-2023</v>
      </c>
      <c r="B588" s="1"/>
    </row>
    <row r="589">
      <c r="A589" s="1" t="str">
        <f>IFERROR(__xludf.DUMMYFUNCTION("""COMPUTED_VALUE"""),"130313;INF846K01PR8;INF846K01PS6;Axis Credit Risk Fund - Regular Plan - Monthly IDCW;10.0592;25-Aug-2023")</f>
        <v>130313;INF846K01PR8;INF846K01PS6;Axis Credit Risk Fund - Regular Plan - Monthly IDCW;10.0592;25-Aug-2023</v>
      </c>
      <c r="B589" s="1"/>
    </row>
    <row r="590">
      <c r="A590" s="1" t="str">
        <f>IFERROR(__xludf.DUMMYFUNCTION("""COMPUTED_VALUE"""),"130310;INF846K01PP2;INF846K01PQ0;Axis Credit Risk Fund - Regular Plan - Weekly IDCW;10.1789;25-Aug-2023")</f>
        <v>130310;INF846K01PP2;INF846K01PQ0;Axis Credit Risk Fund - Regular Plan - Weekly IDCW;10.1789;25-Aug-2023</v>
      </c>
      <c r="B590" s="1"/>
    </row>
    <row r="591">
      <c r="A591" s="1"/>
      <c r="B591" s="1"/>
    </row>
    <row r="592">
      <c r="A592" s="1" t="str">
        <f>IFERROR(__xludf.DUMMYFUNCTION("""COMPUTED_VALUE"""),"Bandhan Mutual Fund")</f>
        <v>Bandhan Mutual Fund</v>
      </c>
      <c r="B592" s="1"/>
    </row>
    <row r="593">
      <c r="A593" s="1"/>
      <c r="B593" s="1"/>
    </row>
    <row r="594">
      <c r="A594" s="1" t="str">
        <f>IFERROR(__xludf.DUMMYFUNCTION("""COMPUTED_VALUE"""),"140605;INF194KA1X04;INF194KA1X12;BANDHAN CREDIT RISK FUND - DIRECT PLAN HALF YEARLY IDCW;10.4517;25-Aug-2020")</f>
        <v>140605;INF194KA1X04;INF194KA1X12;BANDHAN CREDIT RISK FUND - DIRECT PLAN HALF YEARLY IDCW;10.4517;25-Aug-2020</v>
      </c>
      <c r="B594" s="1"/>
    </row>
    <row r="595">
      <c r="A595" s="1" t="str">
        <f>IFERROR(__xludf.DUMMYFUNCTION("""COMPUTED_VALUE"""),"140608;INF194KA1W05;INF194KA1W13;BANDHAN Credit Risk Fund - Regular Plan Annual IDCW;10.3718;25-Aug-2023")</f>
        <v>140608;INF194KA1W05;INF194KA1W13;BANDHAN Credit Risk Fund - Regular Plan Annual IDCW;10.3718;25-Aug-2023</v>
      </c>
      <c r="B595" s="1"/>
    </row>
    <row r="596">
      <c r="A596" s="1" t="str">
        <f>IFERROR(__xludf.DUMMYFUNCTION("""COMPUTED_VALUE"""),"140609;INF194KA1W39;-;BANDHAN Credit Risk Fund - Regular Plan Growth;14.4494;25-Aug-2023")</f>
        <v>140609;INF194KA1W39;-;BANDHAN Credit Risk Fund - Regular Plan Growth;14.4494;25-Aug-2023</v>
      </c>
      <c r="B596" s="1"/>
    </row>
    <row r="597">
      <c r="A597" s="1" t="str">
        <f>IFERROR(__xludf.DUMMYFUNCTION("""COMPUTED_VALUE"""),"140611;INF194KA1V71;INF194KA1V89;BANDHAN Credit Risk Fund - Regular Plan Half Yearly IDCW;10.1183;25-Aug-2023")</f>
        <v>140611;INF194KA1V71;INF194KA1V89;BANDHAN Credit Risk Fund - Regular Plan Half Yearly IDCW;10.1183;25-Aug-2023</v>
      </c>
      <c r="B597" s="1"/>
    </row>
    <row r="598">
      <c r="A598" s="1" t="str">
        <f>IFERROR(__xludf.DUMMYFUNCTION("""COMPUTED_VALUE"""),"140612;INF194KA1V14;INF194KA1V22;BANDHAN Credit Risk Fund - Regular Plan Periodic IDCW;11.2205;25-Aug-2023")</f>
        <v>140612;INF194KA1V14;INF194KA1V22;BANDHAN Credit Risk Fund - Regular Plan Periodic IDCW;11.2205;25-Aug-2023</v>
      </c>
      <c r="B598" s="1"/>
    </row>
    <row r="599">
      <c r="A599" s="1" t="str">
        <f>IFERROR(__xludf.DUMMYFUNCTION("""COMPUTED_VALUE"""),"140607;INF194KA1V48;INF194KA1V55;BANDHAN Credit Risk Fund - Regular Plan Quarterly IDCW;10.3983;25-Aug-2023")</f>
        <v>140607;INF194KA1V48;INF194KA1V55;BANDHAN Credit Risk Fund - Regular Plan Quarterly IDCW;10.3983;25-Aug-2023</v>
      </c>
      <c r="B599" s="1"/>
    </row>
    <row r="600">
      <c r="A600" s="1" t="str">
        <f>IFERROR(__xludf.DUMMYFUNCTION("""COMPUTED_VALUE"""),"140610;INF194KA1X38;INF194KA1X46;BANDHAN Credit Risk Fund-Direct Plan-Annual IDCW;10.4668;25-Aug-2023")</f>
        <v>140610;INF194KA1X38;INF194KA1X46;BANDHAN Credit Risk Fund-Direct Plan-Annual IDCW;10.4668;25-Aug-2023</v>
      </c>
      <c r="B600" s="1"/>
    </row>
    <row r="601">
      <c r="A601" s="1" t="str">
        <f>IFERROR(__xludf.DUMMYFUNCTION("""COMPUTED_VALUE"""),"140603;INF194KA1X61;-;BANDHAN Credit Risk Fund-Direct Plan-Growth;15.3983;25-Aug-2023")</f>
        <v>140603;INF194KA1X61;-;BANDHAN Credit Risk Fund-Direct Plan-Growth;15.3983;25-Aug-2023</v>
      </c>
      <c r="B601" s="1"/>
    </row>
    <row r="602">
      <c r="A602" s="1" t="str">
        <f>IFERROR(__xludf.DUMMYFUNCTION("""COMPUTED_VALUE"""),"140606;INF194KA1W47;INF194KA1W54;BANDHAN Credit Risk Fund-Direct Plan-Periodic IDCW;11.2692;25-Aug-2023")</f>
        <v>140606;INF194KA1W47;INF194KA1W54;BANDHAN Credit Risk Fund-Direct Plan-Periodic IDCW;11.2692;25-Aug-2023</v>
      </c>
      <c r="B602" s="1"/>
    </row>
    <row r="603">
      <c r="A603" s="1" t="str">
        <f>IFERROR(__xludf.DUMMYFUNCTION("""COMPUTED_VALUE"""),"140604;INF194KA1W70;INF194KA1W88;BANDHAN Credit Risk Fund-Direct Plan-Quarterly IDCW;10.5663;25-Aug-2023")</f>
        <v>140604;INF194KA1W70;INF194KA1W88;BANDHAN Credit Risk Fund-Direct Plan-Quarterly IDCW;10.5663;25-Aug-2023</v>
      </c>
      <c r="B603" s="1"/>
    </row>
    <row r="604">
      <c r="A604" s="1"/>
      <c r="B604" s="1"/>
    </row>
    <row r="605">
      <c r="A605" s="1" t="str">
        <f>IFERROR(__xludf.DUMMYFUNCTION("""COMPUTED_VALUE"""),"Bank of India Mutual Fund")</f>
        <v>Bank of India Mutual Fund</v>
      </c>
      <c r="B605" s="1"/>
    </row>
    <row r="606">
      <c r="A606" s="1"/>
      <c r="B606" s="1"/>
    </row>
    <row r="607">
      <c r="A607" s="1" t="str">
        <f>IFERROR(__xludf.DUMMYFUNCTION("""COMPUTED_VALUE"""),"133868;INF761K01DG8;-;BANK OF INDIA Credit Risk  Fund - Direct Plan;11.1207;25-Aug-2023")</f>
        <v>133868;INF761K01DG8;-;BANK OF INDIA Credit Risk  Fund - Direct Plan;11.1207;25-Aug-2023</v>
      </c>
      <c r="B607" s="1"/>
    </row>
    <row r="608">
      <c r="A608" s="1" t="str">
        <f>IFERROR(__xludf.DUMMYFUNCTION("""COMPUTED_VALUE"""),"133867;INF761K01DH6;-;BANK OF INDIA Credit Risk Fund - Regular Plan;10.9241;25-Aug-2023")</f>
        <v>133867;INF761K01DH6;-;BANK OF INDIA Credit Risk Fund - Regular Plan;10.9241;25-Aug-2023</v>
      </c>
      <c r="B608" s="1"/>
    </row>
    <row r="609">
      <c r="A609" s="1"/>
      <c r="B609" s="1"/>
    </row>
    <row r="610">
      <c r="A610" s="1" t="str">
        <f>IFERROR(__xludf.DUMMYFUNCTION("""COMPUTED_VALUE"""),"Baroda BNP Paribas Mutual Fund")</f>
        <v>Baroda BNP Paribas Mutual Fund</v>
      </c>
      <c r="B610" s="1"/>
    </row>
    <row r="611">
      <c r="A611" s="1"/>
      <c r="B611" s="1"/>
    </row>
    <row r="612">
      <c r="A612" s="1" t="str">
        <f>IFERROR(__xludf.DUMMYFUNCTION("""COMPUTED_VALUE"""),"133520;INF955L01FZ9;-;Baroda BNP Paribas Credit Risk Fund -Direct- Monthly IDCW;14.0514;25-Aug-2023")</f>
        <v>133520;INF955L01FZ9;-;Baroda BNP Paribas Credit Risk Fund -Direct- Monthly IDCW;14.0514;25-Aug-2023</v>
      </c>
      <c r="B612" s="1"/>
    </row>
    <row r="613">
      <c r="A613" s="1" t="str">
        <f>IFERROR(__xludf.DUMMYFUNCTION("""COMPUTED_VALUE"""),"133524;INF955L01GA0;-;Baroda BNP Paribas Credit Risk Fund -Direct- Quarterly IDCW;12.6557;25-Aug-2023")</f>
        <v>133524;INF955L01GA0;-;Baroda BNP Paribas Credit Risk Fund -Direct- Quarterly IDCW;12.6557;25-Aug-2023</v>
      </c>
      <c r="B613" s="1"/>
    </row>
    <row r="614">
      <c r="A614" s="1" t="str">
        <f>IFERROR(__xludf.DUMMYFUNCTION("""COMPUTED_VALUE"""),"133488;INF955L01FR6;-;Baroda BNP Paribas Credit Risk Fund -Direct-Growth Option;20.7936;25-Aug-2023")</f>
        <v>133488;INF955L01FR6;-;Baroda BNP Paribas Credit Risk Fund -Direct-Growth Option;20.7936;25-Aug-2023</v>
      </c>
      <c r="B614" s="1"/>
    </row>
    <row r="615">
      <c r="A615" s="1" t="str">
        <f>IFERROR(__xludf.DUMMYFUNCTION("""COMPUTED_VALUE"""),"133486;INF955L01FP0;-;Baroda BNP Paribas Credit Risk Fund -Regular-Growth Option;19.1713;25-Aug-2023")</f>
        <v>133486;INF955L01FP0;-;Baroda BNP Paribas Credit Risk Fund -Regular-Growth Option;19.1713;25-Aug-2023</v>
      </c>
      <c r="B615" s="1"/>
    </row>
    <row r="616">
      <c r="A616" s="1" t="str">
        <f>IFERROR(__xludf.DUMMYFUNCTION("""COMPUTED_VALUE"""),"133517;INF955L01FU0;-;Baroda BNP Paribas Credit Risk Fund -Regular-Monthly IDCW;11.3558;25-Aug-2023")</f>
        <v>133517;INF955L01FU0;-;Baroda BNP Paribas Credit Risk Fund -Regular-Monthly IDCW;11.3558;25-Aug-2023</v>
      </c>
      <c r="B616" s="1"/>
    </row>
    <row r="617">
      <c r="A617" s="1" t="str">
        <f>IFERROR(__xludf.DUMMYFUNCTION("""COMPUTED_VALUE"""),"133518;INF955L01FV8;-;Baroda BNP Paribas Credit Risk Fund -Regular-Quarterly IDCW;11.8454;25-Aug-2023")</f>
        <v>133518;INF955L01FV8;-;Baroda BNP Paribas Credit Risk Fund -Regular-Quarterly IDCW;11.8454;25-Aug-2023</v>
      </c>
      <c r="B617" s="1"/>
    </row>
    <row r="618">
      <c r="A618" s="1" t="str">
        <f>IFERROR(__xludf.DUMMYFUNCTION("""COMPUTED_VALUE"""),"148350;-;-;Baroda BNP Paribas Credit Risk Fund- Direct - Bonus Option- Segregated Portfolio- 1;0;14-Mar-2022")</f>
        <v>148350;-;-;Baroda BNP Paribas Credit Risk Fund- Direct - Bonus Option- Segregated Portfolio- 1;0;14-Mar-2022</v>
      </c>
      <c r="B618" s="1"/>
    </row>
    <row r="619">
      <c r="A619" s="1" t="str">
        <f>IFERROR(__xludf.DUMMYFUNCTION("""COMPUTED_VALUE"""),"148333;INF955L01IT6;-;Baroda BNP Paribas Credit Risk Fund- Direct- Growth Option- Segregated Portfolio- 1;0;25-Aug-2023")</f>
        <v>148333;INF955L01IT6;-;Baroda BNP Paribas Credit Risk Fund- Direct- Growth Option- Segregated Portfolio- 1;0;25-Aug-2023</v>
      </c>
      <c r="B619" s="1"/>
    </row>
    <row r="620">
      <c r="A620" s="1" t="str">
        <f>IFERROR(__xludf.DUMMYFUNCTION("""COMPUTED_VALUE"""),"148334;INF955L01IW0;INF955L01IX8;Baroda BNP Paribas Credit Risk Fund- Direct- Monthly IDCW Option- Segregated Portfolio- 1;0;25-Aug-2023")</f>
        <v>148334;INF955L01IW0;INF955L01IX8;Baroda BNP Paribas Credit Risk Fund- Direct- Monthly IDCW Option- Segregated Portfolio- 1;0;25-Aug-2023</v>
      </c>
      <c r="B620" s="1"/>
    </row>
    <row r="621">
      <c r="A621" s="1" t="str">
        <f>IFERROR(__xludf.DUMMYFUNCTION("""COMPUTED_VALUE"""),"148349;-;-;Baroda BNP Paribas Credit Risk Fund- Regular- Bonus Option- Segregated Portfolio- 1;0;14-Mar-2022")</f>
        <v>148349;-;-;Baroda BNP Paribas Credit Risk Fund- Regular- Bonus Option- Segregated Portfolio- 1;0;14-Mar-2022</v>
      </c>
      <c r="B621" s="1"/>
    </row>
    <row r="622">
      <c r="A622" s="1" t="str">
        <f>IFERROR(__xludf.DUMMYFUNCTION("""COMPUTED_VALUE"""),"148330;INF955L01IO7;-;Baroda BNP Paribas Credit Risk Fund- Regular- Growth Option- Segregated Portfolio- 1;0;25-Aug-2023")</f>
        <v>148330;INF955L01IO7;-;Baroda BNP Paribas Credit Risk Fund- Regular- Growth Option- Segregated Portfolio- 1;0;25-Aug-2023</v>
      </c>
      <c r="B622" s="1"/>
    </row>
    <row r="623">
      <c r="A623" s="1" t="str">
        <f>IFERROR(__xludf.DUMMYFUNCTION("""COMPUTED_VALUE"""),"148331;INF955L01IR0;INF955L01IS8;Baroda BNP Paribas Credit Risk Fund- Regular- Monthly IDCW Option- Segregated Portfolio- 1;0;25-Aug-2023")</f>
        <v>148331;INF955L01IR0;INF955L01IS8;Baroda BNP Paribas Credit Risk Fund- Regular- Monthly IDCW Option- Segregated Portfolio- 1;0;25-Aug-2023</v>
      </c>
      <c r="B623" s="1"/>
    </row>
    <row r="624">
      <c r="A624" s="1" t="str">
        <f>IFERROR(__xludf.DUMMYFUNCTION("""COMPUTED_VALUE"""),"148332;INF955L01IP4;INF955L01IQ2;Baroda BNP Paribas Credit Risk Fund- Regular- Quarterly IDCW Option- Segregated Portfolio- 1;0;25-Aug-2023")</f>
        <v>148332;INF955L01IP4;INF955L01IQ2;Baroda BNP Paribas Credit Risk Fund- Regular- Quarterly IDCW Option- Segregated Portfolio- 1;0;25-Aug-2023</v>
      </c>
      <c r="B624" s="1"/>
    </row>
    <row r="625">
      <c r="A625" s="1" t="str">
        <f>IFERROR(__xludf.DUMMYFUNCTION("""COMPUTED_VALUE"""),"148335;INF955L01IU4;INF955L01IV2;Baroda BNP Paribas Credit Risk Fund-Direct- Quarterly IDCW Option- Segregated Portfolio- 1;0;25-Aug-2023")</f>
        <v>148335;INF955L01IU4;INF955L01IV2;Baroda BNP Paribas Credit Risk Fund-Direct- Quarterly IDCW Option- Segregated Portfolio- 1;0;25-Aug-2023</v>
      </c>
      <c r="B625" s="1"/>
    </row>
    <row r="626">
      <c r="A626" s="1"/>
      <c r="B626" s="1"/>
    </row>
    <row r="627">
      <c r="A627" s="1" t="str">
        <f>IFERROR(__xludf.DUMMYFUNCTION("""COMPUTED_VALUE"""),"DSP Mutual Fund")</f>
        <v>DSP Mutual Fund</v>
      </c>
      <c r="B627" s="1"/>
    </row>
    <row r="628">
      <c r="A628" s="1"/>
      <c r="B628" s="1"/>
    </row>
    <row r="629">
      <c r="A629" s="1" t="str">
        <f>IFERROR(__xludf.DUMMYFUNCTION("""COMPUTED_VALUE"""),"119084;INF740K01OV8;INF740K01OW6;DSP Credit Risk Fund - Direct Plan -  IDCW - Monthly;10.7972;25-Aug-2023")</f>
        <v>119084;INF740K01OV8;INF740K01OW6;DSP Credit Risk Fund - Direct Plan -  IDCW - Monthly;10.7972;25-Aug-2023</v>
      </c>
      <c r="B629" s="1"/>
    </row>
    <row r="630">
      <c r="A630" s="1" t="str">
        <f>IFERROR(__xludf.DUMMYFUNCTION("""COMPUTED_VALUE"""),"119082;INF740K01OS4;-;DSP Credit Risk Fund - Direct Plan - Growth;38.0673;25-Aug-2023")</f>
        <v>119082;INF740K01OS4;-;DSP Credit Risk Fund - Direct Plan - Growth;38.0673;25-Aug-2023</v>
      </c>
      <c r="B630" s="1"/>
    </row>
    <row r="631">
      <c r="A631" s="1" t="str">
        <f>IFERROR(__xludf.DUMMYFUNCTION("""COMPUTED_VALUE"""),"119083;INF740K01OT2;INF740K01OU0;DSP Credit Risk Fund - Direct Plan - IDCW;11.9537;25-Aug-2023")</f>
        <v>119083;INF740K01OT2;INF740K01OU0;DSP Credit Risk Fund - Direct Plan - IDCW;11.9537;25-Aug-2023</v>
      </c>
      <c r="B631" s="1"/>
    </row>
    <row r="632">
      <c r="A632" s="1" t="str">
        <f>IFERROR(__xludf.DUMMYFUNCTION("""COMPUTED_VALUE"""),"119087;-;INF740KA1NX2;DSP Credit Risk Fund - Direct Plan - IDCW - Daily;10.2505;25-Aug-2023")</f>
        <v>119087;-;INF740KA1NX2;DSP Credit Risk Fund - Direct Plan - IDCW - Daily;10.2505;25-Aug-2023</v>
      </c>
      <c r="B632" s="1"/>
    </row>
    <row r="633">
      <c r="A633" s="1" t="str">
        <f>IFERROR(__xludf.DUMMYFUNCTION("""COMPUTED_VALUE"""),"119085;INF740K01OX4;INF740K01OY2;DSP Credit Risk Fund - Direct Plan - IDCW - Quarterly ;11.1285;25-Aug-2023")</f>
        <v>119085;INF740K01OX4;INF740K01OY2;DSP Credit Risk Fund - Direct Plan - IDCW - Quarterly ;11.1285;25-Aug-2023</v>
      </c>
      <c r="B633" s="1"/>
    </row>
    <row r="634">
      <c r="A634" s="1" t="str">
        <f>IFERROR(__xludf.DUMMYFUNCTION("""COMPUTED_VALUE"""),"119086;INF740KA1NY0;INF740KA1NZ7;DSP Credit Risk Fund - Direct Plan - IDCW - Weekly;10.2523;25-Aug-2023")</f>
        <v>119086;INF740KA1NY0;INF740KA1NZ7;DSP Credit Risk Fund - Direct Plan - IDCW - Weekly;10.2523;25-Aug-2023</v>
      </c>
      <c r="B634" s="1"/>
    </row>
    <row r="635">
      <c r="A635" s="1" t="str">
        <f>IFERROR(__xludf.DUMMYFUNCTION("""COMPUTED_VALUE"""),"101839;INF740K01581;INF740K01AB9;DSP Credit Risk Fund - Regular Plan - IDCW;11.8723;25-Aug-2023")</f>
        <v>101839;INF740K01581;INF740K01AB9;DSP Credit Risk Fund - Regular Plan - IDCW;11.8723;25-Aug-2023</v>
      </c>
      <c r="B635" s="1"/>
    </row>
    <row r="636">
      <c r="A636" s="1" t="str">
        <f>IFERROR(__xludf.DUMMYFUNCTION("""COMPUTED_VALUE"""),"101840;-;INF740KA1OA8;DSP Credit Risk Fund - Regular Plan - IDCW - Daily;10.2505;25-Aug-2023")</f>
        <v>101840;-;INF740KA1OA8;DSP Credit Risk Fund - Regular Plan - IDCW - Daily;10.2505;25-Aug-2023</v>
      </c>
      <c r="B636" s="1"/>
    </row>
    <row r="637">
      <c r="A637" s="1" t="str">
        <f>IFERROR(__xludf.DUMMYFUNCTION("""COMPUTED_VALUE"""),"117061;INF740K01JW6;INF740K01JV8;DSP Credit Risk Fund - Regular Plan - IDCW - Monthly;10.7357;25-Aug-2023")</f>
        <v>117061;INF740K01JW6;INF740K01JV8;DSP Credit Risk Fund - Regular Plan - IDCW - Monthly;10.7357;25-Aug-2023</v>
      </c>
      <c r="B637" s="1"/>
    </row>
    <row r="638">
      <c r="A638" s="1" t="str">
        <f>IFERROR(__xludf.DUMMYFUNCTION("""COMPUTED_VALUE"""),"117062;INF740K01JY2;INF740K01JX4;DSP Credit Risk Fund - Regular Plan - IDCW - Quarterly ;11.0187;25-Aug-2023")</f>
        <v>117062;INF740K01JY2;INF740K01JX4;DSP Credit Risk Fund - Regular Plan - IDCW - Quarterly ;11.0187;25-Aug-2023</v>
      </c>
      <c r="B638" s="1"/>
    </row>
    <row r="639">
      <c r="A639" s="1" t="str">
        <f>IFERROR(__xludf.DUMMYFUNCTION("""COMPUTED_VALUE"""),"101838;INF740K01FR4;INF740K01FQ6;DSP Credit Risk Fund - Regular Plan - IDCW - Weekly;10.2521;25-Aug-2023")</f>
        <v>101838;INF740K01FR4;INF740K01FQ6;DSP Credit Risk Fund - Regular Plan - IDCW - Weekly;10.2521;25-Aug-2023</v>
      </c>
      <c r="B639" s="1"/>
    </row>
    <row r="640">
      <c r="A640" s="1" t="str">
        <f>IFERROR(__xludf.DUMMYFUNCTION("""COMPUTED_VALUE"""),"101837;INF740K01599;-;DSP Credit Risk Fund - Regular Plan -Growth;35.3691;25-Aug-2023")</f>
        <v>101837;INF740K01599;-;DSP Credit Risk Fund - Regular Plan -Growth;35.3691;25-Aug-2023</v>
      </c>
      <c r="B640" s="1"/>
    </row>
    <row r="641">
      <c r="A641" s="1"/>
      <c r="B641" s="1"/>
    </row>
    <row r="642">
      <c r="A642" s="1" t="str">
        <f>IFERROR(__xludf.DUMMYFUNCTION("""COMPUTED_VALUE"""),"Franklin Templeton Mutual Fund")</f>
        <v>Franklin Templeton Mutual Fund</v>
      </c>
      <c r="B642" s="1"/>
    </row>
    <row r="643">
      <c r="A643" s="1"/>
      <c r="B643" s="1"/>
    </row>
    <row r="644">
      <c r="A644" s="1" t="str">
        <f>IFERROR(__xludf.DUMMYFUNCTION("""COMPUTED_VALUE"""),"118553;INF090I01JL3;-;Franklin India Credit Risk Fund - Direct - Growth;25.5650;11-Jun-2023")</f>
        <v>118553;INF090I01JL3;-;Franklin India Credit Risk Fund - Direct - Growth;25.5650;11-Jun-2023</v>
      </c>
      <c r="B644" s="1"/>
    </row>
    <row r="645">
      <c r="A645" s="1" t="str">
        <f>IFERROR(__xludf.DUMMYFUNCTION("""COMPUTED_VALUE"""),"118552;INF090I01JJ7;INF090I01JK5;Franklin India Credit Risk Fund - Direct - IDCW ;14.0105;11-Jun-2023")</f>
        <v>118552;INF090I01JJ7;INF090I01JK5;Franklin India Credit Risk Fund - Direct - IDCW ;14.0105;11-Jun-2023</v>
      </c>
      <c r="B645" s="1"/>
    </row>
    <row r="646">
      <c r="A646" s="1" t="str">
        <f>IFERROR(__xludf.DUMMYFUNCTION("""COMPUTED_VALUE"""),"116153;INF090I01ET7;-;Franklin India Credit Risk Fund - Growth;25.3348;11-Jun-2023")</f>
        <v>116153;INF090I01ET7;-;Franklin India Credit Risk Fund - Growth;25.3348;11-Jun-2023</v>
      </c>
      <c r="B646" s="1"/>
    </row>
    <row r="647">
      <c r="A647" s="1" t="str">
        <f>IFERROR(__xludf.DUMMYFUNCTION("""COMPUTED_VALUE"""),"116154;INF090I01ES9;INF090I01ER1;Franklin India Credit Risk Fund - IDCW ;13.5858;11-Jun-2023")</f>
        <v>116154;INF090I01ES9;INF090I01ER1;Franklin India Credit Risk Fund - IDCW ;13.5858;11-Jun-2023</v>
      </c>
      <c r="B647" s="1"/>
    </row>
    <row r="648">
      <c r="A648" s="1" t="str">
        <f>IFERROR(__xludf.DUMMYFUNCTION("""COMPUTED_VALUE"""),"148304;INF090I01VZ8;-;Franklin India Credit Risk Fund - Segregated Portfolio 3 (9.50% Yes bank Ltd CO 23Dec21) - Direct Growth Plan;0.0000;25-Aug-2023")</f>
        <v>148304;INF090I01VZ8;-;Franklin India Credit Risk Fund - Segregated Portfolio 3 (9.50% Yes bank Ltd CO 23Dec21) - Direct Growth Plan;0.0000;25-Aug-2023</v>
      </c>
      <c r="B648" s="1"/>
    </row>
    <row r="649">
      <c r="A649" s="1" t="str">
        <f>IFERROR(__xludf.DUMMYFUNCTION("""COMPUTED_VALUE"""),"148303;INF090I01VX3;-;Franklin India Credit Risk Fund - Segregated Portfolio 3 (9.50% Yes Bank Ltd CO 23Dec21) - Growth Plan;0.0000;25-Aug-2023")</f>
        <v>148303;INF090I01VX3;-;Franklin India Credit Risk Fund - Segregated Portfolio 3 (9.50% Yes Bank Ltd CO 23Dec21) - Growth Plan;0.0000;25-Aug-2023</v>
      </c>
      <c r="B649" s="1"/>
    </row>
    <row r="650">
      <c r="A650" s="1" t="str">
        <f>IFERROR(__xludf.DUMMYFUNCTION("""COMPUTED_VALUE"""),"147956;INF090I01TK4;-;Franklin India Credit Risk Fund- Segregated Portfolio 1- 8.25% Vodafone Idea Ltd-10JUL20-Direct-Dividend Plan;0.0000;20-Jul-2020")</f>
        <v>147956;INF090I01TK4;-;Franklin India Credit Risk Fund- Segregated Portfolio 1- 8.25% Vodafone Idea Ltd-10JUL20-Direct-Dividend Plan;0.0000;20-Jul-2020</v>
      </c>
      <c r="B650" s="1"/>
    </row>
    <row r="651">
      <c r="A651" s="1" t="str">
        <f>IFERROR(__xludf.DUMMYFUNCTION("""COMPUTED_VALUE"""),"147955;INF090I01TL2;-;Franklin India Credit Risk Fund- Segregated Portfolio 1- 8.25% Vodafone Idea Ltd-10JUL20-Direct-Growth Plan;0.0000;20-Jul-2020")</f>
        <v>147955;INF090I01TL2;-;Franklin India Credit Risk Fund- Segregated Portfolio 1- 8.25% Vodafone Idea Ltd-10JUL20-Direct-Growth Plan;0.0000;20-Jul-2020</v>
      </c>
      <c r="B651" s="1"/>
    </row>
    <row r="652">
      <c r="A652" s="1" t="str">
        <f>IFERROR(__xludf.DUMMYFUNCTION("""COMPUTED_VALUE"""),"147957;INF090I01TI8;-;Franklin India Credit Risk Fund- Segregated Portfolio 1- 8.25% Vodafone Idea Ltd-10JUL20-Dividend Plan;0.0000;20-Jul-2020")</f>
        <v>147957;INF090I01TI8;-;Franklin India Credit Risk Fund- Segregated Portfolio 1- 8.25% Vodafone Idea Ltd-10JUL20-Dividend Plan;0.0000;20-Jul-2020</v>
      </c>
      <c r="B652" s="1"/>
    </row>
    <row r="653">
      <c r="A653" s="1" t="str">
        <f>IFERROR(__xludf.DUMMYFUNCTION("""COMPUTED_VALUE"""),"147954;INF090I01TJ6;-;Franklin India Credit Risk Fund- Segregated Portfolio 1- 8.25% Vodafone Idea Ltd-10JUL20-Growth Plan;0.0000;20-Jul-2020")</f>
        <v>147954;INF090I01TJ6;-;Franklin India Credit Risk Fund- Segregated Portfolio 1- 8.25% Vodafone Idea Ltd-10JUL20-Growth Plan;0.0000;20-Jul-2020</v>
      </c>
      <c r="B653" s="1"/>
    </row>
    <row r="654">
      <c r="A654" s="1" t="str">
        <f>IFERROR(__xludf.DUMMYFUNCTION("""COMPUTED_VALUE"""),"147959;INF090I01TM0;-;Franklin India Credit Risk Fund- Segregated Portfolio 2 - 10.90% Vodafone Idea Ltd (02-Sep-2023) - IDCW;0.3087;25-Aug-2023")</f>
        <v>147959;INF090I01TM0;-;Franklin India Credit Risk Fund- Segregated Portfolio 2 - 10.90% Vodafone Idea Ltd (02-Sep-2023) - IDCW;0.3087;25-Aug-2023</v>
      </c>
      <c r="B654" s="1"/>
    </row>
    <row r="655">
      <c r="A655" s="1" t="str">
        <f>IFERROR(__xludf.DUMMYFUNCTION("""COMPUTED_VALUE"""),"147958;INF090I01TP3;-;Franklin India Credit Risk Fund- Segregated Portfolio 2- 10.90% Vodafone Idea Ltd 02Sep2023-Direct Growth Plan;0.6090;25-Aug-2023")</f>
        <v>147958;INF090I01TP3;-;Franklin India Credit Risk Fund- Segregated Portfolio 2- 10.90% Vodafone Idea Ltd 02Sep2023-Direct Growth Plan;0.6090;25-Aug-2023</v>
      </c>
      <c r="B655" s="1"/>
    </row>
    <row r="656">
      <c r="A656" s="1" t="str">
        <f>IFERROR(__xludf.DUMMYFUNCTION("""COMPUTED_VALUE"""),"147961;INF090I01TN8;-;Franklin India Credit Risk Fund- Segregated Portfolio 2- 10.90% Vodafone Idea Ltd 02Sep2023-Growth Plan;0.5757;25-Aug-2023")</f>
        <v>147961;INF090I01TN8;-;Franklin India Credit Risk Fund- Segregated Portfolio 2- 10.90% Vodafone Idea Ltd 02Sep2023-Growth Plan;0.5757;25-Aug-2023</v>
      </c>
      <c r="B656" s="1"/>
    </row>
    <row r="657">
      <c r="A657" s="1" t="str">
        <f>IFERROR(__xludf.DUMMYFUNCTION("""COMPUTED_VALUE"""),"148305;INF090I01VW5;-;Franklin India Credit Risk Fund- Segregated Portfolio 3 (9.50% Yes Bank Ltd CO 23Dec21) - IDCW;0.0000;25-Aug-2023")</f>
        <v>148305;INF090I01VW5;-;Franklin India Credit Risk Fund- Segregated Portfolio 3 (9.50% Yes Bank Ltd CO 23Dec21) - IDCW;0.0000;25-Aug-2023</v>
      </c>
      <c r="B657" s="1"/>
    </row>
    <row r="658">
      <c r="A658" s="1" t="str">
        <f>IFERROR(__xludf.DUMMYFUNCTION("""COMPUTED_VALUE"""),"147960;INF090I01TO6;-;Franklin India Credit Risk Fund-Segregated Portfolio 2 - 10.90% Vodafone Idea Ltd (02-Sep-2023) - Direct IDCW;0.3338;25-Aug-2023")</f>
        <v>147960;INF090I01TO6;-;Franklin India Credit Risk Fund-Segregated Portfolio 2 - 10.90% Vodafone Idea Ltd (02-Sep-2023) - Direct IDCW;0.3338;25-Aug-2023</v>
      </c>
      <c r="B658" s="1"/>
    </row>
    <row r="659">
      <c r="A659" s="1" t="str">
        <f>IFERROR(__xludf.DUMMYFUNCTION("""COMPUTED_VALUE"""),"148306;INF090I01VY1;-;Franklin India Credit Risk Fund-Segregated Portfolio 3 (9.50% Yes Bank Ltd CO 23Dec21) - Direct IDCW;0.0000;25-Aug-2023")</f>
        <v>148306;INF090I01VY1;-;Franklin India Credit Risk Fund-Segregated Portfolio 3 (9.50% Yes Bank Ltd CO 23Dec21) - Direct IDCW;0.0000;25-Aug-2023</v>
      </c>
      <c r="B659" s="1"/>
    </row>
    <row r="660">
      <c r="A660" s="1"/>
      <c r="B660" s="1"/>
    </row>
    <row r="661">
      <c r="A661" s="1" t="str">
        <f>IFERROR(__xludf.DUMMYFUNCTION("""COMPUTED_VALUE"""),"HDFC Mutual Fund")</f>
        <v>HDFC Mutual Fund</v>
      </c>
      <c r="B661" s="1"/>
    </row>
    <row r="662">
      <c r="A662" s="1"/>
      <c r="B662" s="1"/>
    </row>
    <row r="663">
      <c r="A663" s="1" t="str">
        <f>IFERROR(__xludf.DUMMYFUNCTION("""COMPUTED_VALUE"""),"128053;INF179KA1GC0;-;HDFC Credit Risk Debt Fund - Growth Option;20.8545;25-Aug-2023")</f>
        <v>128053;INF179KA1GC0;-;HDFC Credit Risk Debt Fund - Growth Option;20.8545;25-Aug-2023</v>
      </c>
      <c r="B663" s="1"/>
    </row>
    <row r="664">
      <c r="A664" s="1" t="str">
        <f>IFERROR(__xludf.DUMMYFUNCTION("""COMPUTED_VALUE"""),"128051;INF179KA1FZ3;-;HDFC Credit Risk Debt Fund - Growth Option - Direct Plan;22.2828;25-Aug-2023")</f>
        <v>128051;INF179KA1FZ3;-;HDFC Credit Risk Debt Fund - Growth Option - Direct Plan;22.2828;25-Aug-2023</v>
      </c>
      <c r="B664" s="1"/>
    </row>
    <row r="665">
      <c r="A665" s="1" t="str">
        <f>IFERROR(__xludf.DUMMYFUNCTION("""COMPUTED_VALUE"""),"133148;INF179KA1I87;INF179KA1I79;HDFC Credit Risk Debt Fund - IDCW Option;19.2032;25-Aug-2023")</f>
        <v>133148;INF179KA1I87;INF179KA1I79;HDFC Credit Risk Debt Fund - IDCW Option;19.2032;25-Aug-2023</v>
      </c>
      <c r="B665" s="1"/>
    </row>
    <row r="666">
      <c r="A666" s="1" t="str">
        <f>IFERROR(__xludf.DUMMYFUNCTION("""COMPUTED_VALUE"""),"133147;INF179KA1I61;INF179KA1I53;HDFC Credit Risk Debt Fund - IDCW Option - Direct Plan;19.5332;25-Aug-2023")</f>
        <v>133147;INF179KA1I61;INF179KA1I53;HDFC Credit Risk Debt Fund - IDCW Option - Direct Plan;19.5332;25-Aug-2023</v>
      </c>
      <c r="B666" s="1"/>
    </row>
    <row r="667">
      <c r="A667" s="1" t="str">
        <f>IFERROR(__xludf.DUMMYFUNCTION("""COMPUTED_VALUE"""),"128050;INF179KA1GA4;INF179KA1GB2;HDFC Credit Risk Debt Fund - Quarterly IDCW - Direct Plan;10.6038;25-Aug-2023")</f>
        <v>128050;INF179KA1GA4;INF179KA1GB2;HDFC Credit Risk Debt Fund - Quarterly IDCW - Direct Plan;10.6038;25-Aug-2023</v>
      </c>
      <c r="B667" s="1"/>
    </row>
    <row r="668">
      <c r="A668" s="1" t="str">
        <f>IFERROR(__xludf.DUMMYFUNCTION("""COMPUTED_VALUE"""),"128052;INF179KA1GD8;INF179KA1GE6;HDFC Credit Risk Debt Fund - Quarterly IDCW Option;10.2794;25-Aug-2023")</f>
        <v>128052;INF179KA1GD8;INF179KA1GE6;HDFC Credit Risk Debt Fund - Quarterly IDCW Option;10.2794;25-Aug-2023</v>
      </c>
      <c r="B668" s="1"/>
    </row>
    <row r="669">
      <c r="A669" s="1"/>
      <c r="B669" s="1"/>
    </row>
    <row r="670">
      <c r="A670" s="1" t="str">
        <f>IFERROR(__xludf.DUMMYFUNCTION("""COMPUTED_VALUE"""),"HSBC Mutual Fund")</f>
        <v>HSBC Mutual Fund</v>
      </c>
      <c r="B670" s="1"/>
    </row>
    <row r="671">
      <c r="A671" s="1"/>
      <c r="B671" s="1"/>
    </row>
    <row r="672">
      <c r="A672" s="1" t="str">
        <f>IFERROR(__xludf.DUMMYFUNCTION("""COMPUTED_VALUE"""),"151047;INF917K01UL0;INF917K01UK2;HSBC Credit Risk Fund - Direct Annual IDCW;12.6502;25-Aug-2023")</f>
        <v>151047;INF917K01UL0;INF917K01UK2;HSBC Credit Risk Fund - Direct Annual IDCW;12.6502;25-Aug-2023</v>
      </c>
      <c r="B672" s="1"/>
    </row>
    <row r="673">
      <c r="A673" s="1" t="str">
        <f>IFERROR(__xludf.DUMMYFUNCTION("""COMPUTED_VALUE"""),"151045;INF917K01UH8;-;HSBC Credit Risk Fund - Direct Growth;26.9707;25-Aug-2023")</f>
        <v>151045;INF917K01UH8;-;HSBC Credit Risk Fund - Direct Growth;26.9707;25-Aug-2023</v>
      </c>
      <c r="B673" s="1"/>
    </row>
    <row r="674">
      <c r="A674" s="1" t="str">
        <f>IFERROR(__xludf.DUMMYFUNCTION("""COMPUTED_VALUE"""),"151044;INF917K01E29;INF917K01UI6;HSBC Credit Risk Fund - Direct IDCW;11.1457;25-Aug-2023")</f>
        <v>151044;INF917K01E29;INF917K01UI6;HSBC Credit Risk Fund - Direct IDCW;11.1457;25-Aug-2023</v>
      </c>
      <c r="B674" s="1"/>
    </row>
    <row r="675">
      <c r="A675" s="1" t="str">
        <f>IFERROR(__xludf.DUMMYFUNCTION("""COMPUTED_VALUE"""),"151046;INF917K01UN6;INF917K01UM8;HSBC Credit Risk Fund - Regular Annual IDCW;11.9287;25-Aug-2023")</f>
        <v>151046;INF917K01UN6;INF917K01UM8;HSBC Credit Risk Fund - Regular Annual IDCW;11.9287;25-Aug-2023</v>
      </c>
      <c r="B675" s="1"/>
    </row>
    <row r="676">
      <c r="A676" s="1" t="str">
        <f>IFERROR(__xludf.DUMMYFUNCTION("""COMPUTED_VALUE"""),"151043;INF917K01130;-;HSBC Credit Risk Fund - Regular Growth;25.249;25-Aug-2023")</f>
        <v>151043;INF917K01130;-;HSBC Credit Risk Fund - Regular Growth;25.249;25-Aug-2023</v>
      </c>
      <c r="B676" s="1"/>
    </row>
    <row r="677">
      <c r="A677" s="1" t="str">
        <f>IFERROR(__xludf.DUMMYFUNCTION("""COMPUTED_VALUE"""),"151042;INF917K01114;INF917K01122;HSBC Credit Risk Fund - Regular IDCW;10.3319;25-Aug-2023")</f>
        <v>151042;INF917K01114;INF917K01122;HSBC Credit Risk Fund - Regular IDCW;10.3319;25-Aug-2023</v>
      </c>
      <c r="B677" s="1"/>
    </row>
    <row r="678">
      <c r="A678" s="1" t="str">
        <f>IFERROR(__xludf.DUMMYFUNCTION("""COMPUTED_VALUE"""),"151041;-;-;HSBC Credit Risk Fund- Regular Plan - Bonus;24.8445;25-Aug-2023")</f>
        <v>151041;-;-;HSBC Credit Risk Fund- Regular Plan - Bonus;24.8445;25-Aug-2023</v>
      </c>
      <c r="B678" s="1"/>
    </row>
    <row r="679">
      <c r="A679" s="1"/>
      <c r="B679" s="1"/>
    </row>
    <row r="680">
      <c r="A680" s="1" t="str">
        <f>IFERROR(__xludf.DUMMYFUNCTION("""COMPUTED_VALUE"""),"ICICI Prudential Mutual Fund")</f>
        <v>ICICI Prudential Mutual Fund</v>
      </c>
      <c r="B680" s="1"/>
    </row>
    <row r="681">
      <c r="A681" s="1"/>
      <c r="B681" s="1"/>
    </row>
    <row r="682">
      <c r="A682" s="1" t="str">
        <f>IFERROR(__xludf.DUMMYFUNCTION("""COMPUTED_VALUE"""),"134342;INF109KB1AF0;INF109KB1AG8;ICICI Prudential Credit Risk Fund - Annual IDCW;10.3035;16-Sep-2022")</f>
        <v>134342;INF109KB1AF0;INF109KB1AG8;ICICI Prudential Credit Risk Fund - Annual IDCW;10.3035;16-Sep-2022</v>
      </c>
      <c r="B682" s="1"/>
    </row>
    <row r="683">
      <c r="A683" s="1" t="str">
        <f>IFERROR(__xludf.DUMMYFUNCTION("""COMPUTED_VALUE"""),"130943;INF109KA1I27;-;ICICI Prudential Credit Risk Fund - Bonus;15.7498;24-Apr-2020")</f>
        <v>130943;INF109KA1I27;-;ICICI Prudential Credit Risk Fund - Bonus;15.7498;24-Apr-2020</v>
      </c>
      <c r="B683" s="1"/>
    </row>
    <row r="684">
      <c r="A684" s="1" t="str">
        <f>IFERROR(__xludf.DUMMYFUNCTION("""COMPUTED_VALUE"""),"134341;INF109KB1AD5;INF109KB1AE3;ICICI Prudential Credit Risk Fund - Direct Plan - Annual IDCW;10.4846;16-Sep-2022")</f>
        <v>134341;INF109KB1AD5;INF109KB1AE3;ICICI Prudential Credit Risk Fund - Direct Plan - Annual IDCW;10.4846;16-Sep-2022</v>
      </c>
      <c r="B684" s="1"/>
    </row>
    <row r="685">
      <c r="A685" s="1" t="str">
        <f>IFERROR(__xludf.DUMMYFUNCTION("""COMPUTED_VALUE"""),"120711;INF109K01V00;-;ICICI Prudential Credit Risk Fund - Direct Plan - Growth;29.6549;25-Aug-2023")</f>
        <v>120711;INF109K01V00;-;ICICI Prudential Credit Risk Fund - Direct Plan - Growth;29.6549;25-Aug-2023</v>
      </c>
      <c r="B685" s="1"/>
    </row>
    <row r="686">
      <c r="A686" s="1" t="str">
        <f>IFERROR(__xludf.DUMMYFUNCTION("""COMPUTED_VALUE"""),"120710;INF109K01V18;INF109K01V26;ICICI Prudential Credit Risk Fund - Direct Plan - Half Yearly IDCW;10.9750;16-Sep-2022")</f>
        <v>120710;INF109K01V18;INF109K01V26;ICICI Prudential Credit Risk Fund - Direct Plan - Half Yearly IDCW;10.9750;16-Sep-2022</v>
      </c>
      <c r="B686" s="1"/>
    </row>
    <row r="687">
      <c r="A687" s="1" t="str">
        <f>IFERROR(__xludf.DUMMYFUNCTION("""COMPUTED_VALUE"""),"120709;INF109K01V34;INF109K01V42;ICICI Prudential Credit Risk Fund - Direct Plan - Quarterly IDCW;11.6381;25-Aug-2023")</f>
        <v>120709;INF109K01V34;INF109K01V42;ICICI Prudential Credit Risk Fund - Direct Plan - Quarterly IDCW;11.6381;25-Aug-2023</v>
      </c>
      <c r="B687" s="1"/>
    </row>
    <row r="688">
      <c r="A688" s="1" t="str">
        <f>IFERROR(__xludf.DUMMYFUNCTION("""COMPUTED_VALUE"""),"130944;INF109KA1I19;-;ICICI Prudential Credit Risk Fund - Direct Plan Bonus;14.6853;06-Feb-2019")</f>
        <v>130944;INF109KA1I19;-;ICICI Prudential Credit Risk Fund - Direct Plan Bonus;14.6853;06-Feb-2019</v>
      </c>
      <c r="B688" s="1"/>
    </row>
    <row r="689">
      <c r="A689" s="1" t="str">
        <f>IFERROR(__xludf.DUMMYFUNCTION("""COMPUTED_VALUE"""),"114239;INF109K01GU4;-;ICICI Prudential Credit Risk Fund - Growth;27.2409;25-Aug-2023")</f>
        <v>114239;INF109K01GU4;-;ICICI Prudential Credit Risk Fund - Growth;27.2409;25-Aug-2023</v>
      </c>
      <c r="B689" s="1"/>
    </row>
    <row r="690">
      <c r="A690" s="1" t="str">
        <f>IFERROR(__xludf.DUMMYFUNCTION("""COMPUTED_VALUE"""),"114241;INF109K01GX8;INF109K01GY6;ICICI Prudential Credit Risk Fund - Half Yearly IDCW;10.5892;16-Sep-2022")</f>
        <v>114241;INF109K01GX8;INF109K01GY6;ICICI Prudential Credit Risk Fund - Half Yearly IDCW;10.5892;16-Sep-2022</v>
      </c>
      <c r="B690" s="1"/>
    </row>
    <row r="691">
      <c r="A691" s="1" t="str">
        <f>IFERROR(__xludf.DUMMYFUNCTION("""COMPUTED_VALUE"""),"114240;INF109K01GV2;INF109K01GW0;ICICI Prudential Credit Risk Fund - Quarterly IDCW;10.9871;25-Aug-2023")</f>
        <v>114240;INF109K01GV2;INF109K01GW0;ICICI Prudential Credit Risk Fund - Quarterly IDCW;10.9871;25-Aug-2023</v>
      </c>
      <c r="B691" s="1"/>
    </row>
    <row r="692">
      <c r="A692" s="1"/>
      <c r="B692" s="1"/>
    </row>
    <row r="693">
      <c r="A693" s="1" t="str">
        <f>IFERROR(__xludf.DUMMYFUNCTION("""COMPUTED_VALUE"""),"Invesco Mutual Fund")</f>
        <v>Invesco Mutual Fund</v>
      </c>
      <c r="B693" s="1"/>
    </row>
    <row r="694">
      <c r="A694" s="1"/>
      <c r="B694" s="1"/>
    </row>
    <row r="695">
      <c r="A695" s="1" t="str">
        <f>IFERROR(__xludf.DUMMYFUNCTION("""COMPUTED_VALUE"""),"130725;INF205K01J09;INF205K01J25;Invesco India Credit Risk Fund - Direct Plan - Discretionary IDCW (Payout / Reinvestment);1792.6374;25-Aug-2023")</f>
        <v>130725;INF205K01J09;INF205K01J25;Invesco India Credit Risk Fund - Direct Plan - Discretionary IDCW (Payout / Reinvestment);1792.6374;25-Aug-2023</v>
      </c>
      <c r="B695" s="1"/>
    </row>
    <row r="696">
      <c r="A696" s="1" t="str">
        <f>IFERROR(__xludf.DUMMYFUNCTION("""COMPUTED_VALUE"""),"130722;INF205K01I83;-;Invesco India Credit Risk Fund - Direct Plan - Growth;1779.3444;25-Aug-2023")</f>
        <v>130722;INF205K01I83;-;Invesco India Credit Risk Fund - Direct Plan - Growth;1779.3444;25-Aug-2023</v>
      </c>
      <c r="B696" s="1"/>
    </row>
    <row r="697">
      <c r="A697" s="1" t="str">
        <f>IFERROR(__xludf.DUMMYFUNCTION("""COMPUTED_VALUE"""),"130724;INF205K01I91;INF205K01J17;Invesco India Credit Risk Fund - Direct Plan - Monthly IDCW (Payout / Reinvestment);1232.2361;25-Aug-2023")</f>
        <v>130724;INF205K01I91;INF205K01J17;Invesco India Credit Risk Fund - Direct Plan - Monthly IDCW (Payout / Reinvestment);1232.2361;25-Aug-2023</v>
      </c>
      <c r="B697" s="1"/>
    </row>
    <row r="698">
      <c r="A698" s="1" t="str">
        <f>IFERROR(__xludf.DUMMYFUNCTION("""COMPUTED_VALUE"""),"130726;INF205K01I59;INF205K01I75;Invesco India Credit Risk Fund - Regular Plan - Discretionary IDCW (Payout / Reinvestment);1631.8958;25-Aug-2023")</f>
        <v>130726;INF205K01I59;INF205K01I75;Invesco India Credit Risk Fund - Regular Plan - Discretionary IDCW (Payout / Reinvestment);1631.8958;25-Aug-2023</v>
      </c>
      <c r="B698" s="1"/>
    </row>
    <row r="699">
      <c r="A699" s="1" t="str">
        <f>IFERROR(__xludf.DUMMYFUNCTION("""COMPUTED_VALUE"""),"130721;INF205K01I34;-;Invesco India Credit Risk Fund - Regular Plan - Growth;1632.4042;25-Aug-2023")</f>
        <v>130721;INF205K01I34;-;Invesco India Credit Risk Fund - Regular Plan - Growth;1632.4042;25-Aug-2023</v>
      </c>
      <c r="B699" s="1"/>
    </row>
    <row r="700">
      <c r="A700" s="1" t="str">
        <f>IFERROR(__xludf.DUMMYFUNCTION("""COMPUTED_VALUE"""),"130723;INF205K01I42;INF205K01I67;Invesco India Credit Risk Fund - Regular Plan - Monthly IDCW (Payout / Reinvestment);1198.8722;25-Aug-2023")</f>
        <v>130723;INF205K01I42;INF205K01I67;Invesco India Credit Risk Fund - Regular Plan - Monthly IDCW (Payout / Reinvestment);1198.8722;25-Aug-2023</v>
      </c>
      <c r="B700" s="1"/>
    </row>
    <row r="701">
      <c r="A701" s="1"/>
      <c r="B701" s="1"/>
    </row>
    <row r="702">
      <c r="A702" s="1" t="str">
        <f>IFERROR(__xludf.DUMMYFUNCTION("""COMPUTED_VALUE"""),"Kotak Mahindra Mutual Fund")</f>
        <v>Kotak Mahindra Mutual Fund</v>
      </c>
      <c r="B702" s="1"/>
    </row>
    <row r="703">
      <c r="A703" s="1"/>
      <c r="B703" s="1"/>
    </row>
    <row r="704">
      <c r="A704" s="1" t="str">
        <f>IFERROR(__xludf.DUMMYFUNCTION("""COMPUTED_VALUE"""),"119740;INF174K01MG5;-;Kotak Credit Risk Fund - Direct Plan - Standard Income Distribution cum capital withdrawal option;21.2111;25-Aug-2023")</f>
        <v>119740;INF174K01MG5;-;Kotak Credit Risk Fund - Direct Plan - Standard Income Distribution cum capital withdrawal option;21.2111;25-Aug-2023</v>
      </c>
      <c r="B704" s="1"/>
    </row>
    <row r="705">
      <c r="A705" s="1" t="str">
        <f>IFERROR(__xludf.DUMMYFUNCTION("""COMPUTED_VALUE"""),"117716;INF174K01DY7;-;Kotak Credit Risk Fund - Growth;25.5428;25-Aug-2023")</f>
        <v>117716;INF174K01DY7;-;Kotak Credit Risk Fund - Growth;25.5428;25-Aug-2023</v>
      </c>
      <c r="B705" s="1"/>
    </row>
    <row r="706">
      <c r="A706" s="1" t="str">
        <f>IFERROR(__xludf.DUMMYFUNCTION("""COMPUTED_VALUE"""),"119741;INF174K01LZ7;-;Kotak Credit Risk Fund - Growth - Direct;28.2402;25-Aug-2023")</f>
        <v>119741;INF174K01LZ7;-;Kotak Credit Risk Fund - Growth - Direct;28.2402;25-Aug-2023</v>
      </c>
      <c r="B706" s="1"/>
    </row>
    <row r="707">
      <c r="A707" s="1" t="str">
        <f>IFERROR(__xludf.DUMMYFUNCTION("""COMPUTED_VALUE"""),"117715;INF174K01EG2;INF174K01EF4;Kotak Credit Risk Fund - Regular Plan - Standard Income Distribution cum capital withdrawal option;11.1082;25-Aug-2023")</f>
        <v>117715;INF174K01EG2;INF174K01EF4;Kotak Credit Risk Fund - Regular Plan - Standard Income Distribution cum capital withdrawal option;11.1082;25-Aug-2023</v>
      </c>
      <c r="B707" s="1"/>
    </row>
    <row r="708">
      <c r="A708" s="1"/>
      <c r="B708" s="1"/>
    </row>
    <row r="709">
      <c r="A709" s="1" t="str">
        <f>IFERROR(__xludf.DUMMYFUNCTION("""COMPUTED_VALUE"""),"Nippon India Mutual Fund")</f>
        <v>Nippon India Mutual Fund</v>
      </c>
      <c r="B709" s="1"/>
    </row>
    <row r="710">
      <c r="A710" s="1"/>
      <c r="B710" s="1"/>
    </row>
    <row r="711">
      <c r="A711" s="1" t="str">
        <f>IFERROR(__xludf.DUMMYFUNCTION("""COMPUTED_VALUE"""),"112938;INF204K01FQ3;-;Nippon India Credit Risk Fund  - Growth Plan;30.0680;25-Aug-2023")</f>
        <v>112938;INF204K01FQ3;-;Nippon India Credit Risk Fund  - Growth Plan;30.0680;25-Aug-2023</v>
      </c>
      <c r="B711" s="1"/>
    </row>
    <row r="712">
      <c r="A712" s="1" t="str">
        <f>IFERROR(__xludf.DUMMYFUNCTION("""COMPUTED_VALUE"""),"112939;INF204K01FT7;-;Nippon India Credit Risk Fund  - Institutional Growth Plan;31.3512;25-Aug-2023")</f>
        <v>112939;INF204K01FT7;-;Nippon India Credit Risk Fund  - Institutional Growth Plan;31.3512;25-Aug-2023</v>
      </c>
      <c r="B712" s="1"/>
    </row>
    <row r="713">
      <c r="A713" s="1" t="str">
        <f>IFERROR(__xludf.DUMMYFUNCTION("""COMPUTED_VALUE"""),"148262;INF204KB17P0;INF204KB18P8;NIPPON INDIA CREDIT RISK FUND -  SEGREGATED PORTFOLIO 2 - DIRECT Plan - IDCW Option;0.0000;25-Aug-2023")</f>
        <v>148262;INF204KB17P0;INF204KB18P8;NIPPON INDIA CREDIT RISK FUND -  SEGREGATED PORTFOLIO 2 - DIRECT Plan - IDCW Option;0.0000;25-Aug-2023</v>
      </c>
      <c r="B713" s="1"/>
    </row>
    <row r="714">
      <c r="A714" s="1" t="str">
        <f>IFERROR(__xludf.DUMMYFUNCTION("""COMPUTED_VALUE"""),"148264;INF204KB15P4;INF204KB16P2;NIPPON INDIA CREDIT RISK FUND -  SEGREGATED PORTFOLIO 2 - DIRECT Plan - QUARTERLY IDCW Option;0.0000;25-Aug-2023")</f>
        <v>148264;INF204KB15P4;INF204KB16P2;NIPPON INDIA CREDIT RISK FUND -  SEGREGATED PORTFOLIO 2 - DIRECT Plan - QUARTERLY IDCW Option;0.0000;25-Aug-2023</v>
      </c>
      <c r="B714" s="1"/>
    </row>
    <row r="715">
      <c r="A715" s="1" t="str">
        <f>IFERROR(__xludf.DUMMYFUNCTION("""COMPUTED_VALUE"""),"148263;INF204KB13Q7;INF204KB14Q5;NIPPON INDIA CREDIT RISK FUND -  SEGREGATED PORTFOLIO 2 - IDCW Option;0.0000;25-Aug-2023")</f>
        <v>148263;INF204KB13Q7;INF204KB14Q5;NIPPON INDIA CREDIT RISK FUND -  SEGREGATED PORTFOLIO 2 - IDCW Option;0.0000;25-Aug-2023</v>
      </c>
      <c r="B715" s="1"/>
    </row>
    <row r="716">
      <c r="A716" s="1" t="str">
        <f>IFERROR(__xludf.DUMMYFUNCTION("""COMPUTED_VALUE"""),"148260;INF204KB11Q1;INF204KB12Q9;NIPPON INDIA CREDIT RISK FUND -  SEGREGATED PORTFOLIO 2 - QUARTERLY IDCW Option;0.0000;25-Aug-2023")</f>
        <v>148260;INF204KB11Q1;INF204KB12Q9;NIPPON INDIA CREDIT RISK FUND -  SEGREGATED PORTFOLIO 2 - QUARTERLY IDCW Option;0.0000;25-Aug-2023</v>
      </c>
      <c r="B716" s="1"/>
    </row>
    <row r="717">
      <c r="A717" s="1" t="str">
        <f>IFERROR(__xludf.DUMMYFUNCTION("""COMPUTED_VALUE"""),"118780;INF204K01A74;-;Nippon India Credit Risk Fund - Direct Plan - Growth Plan;32.6288;25-Aug-2023")</f>
        <v>118780;INF204K01A74;-;Nippon India Credit Risk Fund - Direct Plan - Growth Plan;32.6288;25-Aug-2023</v>
      </c>
      <c r="B717" s="1"/>
    </row>
    <row r="718">
      <c r="A718" s="1" t="str">
        <f>IFERROR(__xludf.DUMMYFUNCTION("""COMPUTED_VALUE"""),"132873;INF204KA1WV6;-;NIPPON INDIA CREDIT RISK FUND - DIRECT Plan - IDCW Option;17.6661;25-Aug-2023")</f>
        <v>132873;INF204KA1WV6;-;NIPPON INDIA CREDIT RISK FUND - DIRECT Plan - IDCW Option;17.6661;25-Aug-2023</v>
      </c>
      <c r="B718" s="1"/>
    </row>
    <row r="719">
      <c r="A719" s="1" t="str">
        <f>IFERROR(__xludf.DUMMYFUNCTION("""COMPUTED_VALUE"""),"118781;INF204K01A82;INF204K01A90;NIPPON INDIA CREDIT RISK FUND - DIRECT Plan - QUARTERLY IDCW Option;13.4642;25-Aug-2023")</f>
        <v>118781;INF204K01A82;INF204K01A90;NIPPON INDIA CREDIT RISK FUND - DIRECT Plan - QUARTERLY IDCW Option;13.4642;25-Aug-2023</v>
      </c>
      <c r="B719" s="1"/>
    </row>
    <row r="720">
      <c r="A720" s="1" t="str">
        <f>IFERROR(__xludf.DUMMYFUNCTION("""COMPUTED_VALUE"""),"132871;INF204KA1WT0;INF204KA1WS2;NIPPON INDIA CREDIT RISK FUND - IDCW Option;16.4945;25-Aug-2023")</f>
        <v>132871;INF204KA1WT0;INF204KA1WS2;NIPPON INDIA CREDIT RISK FUND - IDCW Option;16.4945;25-Aug-2023</v>
      </c>
      <c r="B720" s="1"/>
    </row>
    <row r="721">
      <c r="A721" s="1" t="str">
        <f>IFERROR(__xludf.DUMMYFUNCTION("""COMPUTED_VALUE"""),"112941;INF204K01FR1;INF204K01FS9;NIPPON INDIA CREDIT RISK FUND - QUARTERLY IDCW Option;12.8908;25-Aug-2023")</f>
        <v>112941;INF204K01FR1;INF204K01FS9;NIPPON INDIA CREDIT RISK FUND - QUARTERLY IDCW Option;12.8908;25-Aug-2023</v>
      </c>
      <c r="B721" s="1"/>
    </row>
    <row r="722">
      <c r="A722" s="1" t="str">
        <f>IFERROR(__xludf.DUMMYFUNCTION("""COMPUTED_VALUE"""),"148101;INF204KB12L0;-;Nippon India Credit Risk Fund - Segregated Portfolio 1 - Direct Plan - Growth Plan;0.5342;27-Jan-2022")</f>
        <v>148101;INF204KB12L0;-;Nippon India Credit Risk Fund - Segregated Portfolio 1 - Direct Plan - Growth Plan;0.5342;27-Jan-2022</v>
      </c>
      <c r="B722" s="1"/>
    </row>
    <row r="723">
      <c r="A723" s="1" t="str">
        <f>IFERROR(__xludf.DUMMYFUNCTION("""COMPUTED_VALUE"""),"148096;INF204KB15L3;INF204KB16L1;NIPPON INDIA CREDIT RISK FUND - SEGREGATED PORTFOLIO 1 - Direct Plan - IDCW Option;0.2893;27-Jan-2022")</f>
        <v>148096;INF204KB15L3;INF204KB16L1;NIPPON INDIA CREDIT RISK FUND - SEGREGATED PORTFOLIO 1 - Direct Plan - IDCW Option;0.2893;27-Jan-2022</v>
      </c>
      <c r="B723" s="1"/>
    </row>
    <row r="724">
      <c r="A724" s="1" t="str">
        <f>IFERROR(__xludf.DUMMYFUNCTION("""COMPUTED_VALUE"""),"148098;INF204KB13L8;INF204KB14L6;NIPPON INDIA CREDIT RISK FUND - SEGREGATED PORTFOLIO 1 - Direct Plan - QUARTERLY IDCW Option;0.2477;27-Jan-2022")</f>
        <v>148098;INF204KB13L8;INF204KB14L6;NIPPON INDIA CREDIT RISK FUND - SEGREGATED PORTFOLIO 1 - Direct Plan - QUARTERLY IDCW Option;0.2477;27-Jan-2022</v>
      </c>
      <c r="B724" s="1"/>
    </row>
    <row r="725">
      <c r="A725" s="1" t="str">
        <f>IFERROR(__xludf.DUMMYFUNCTION("""COMPUTED_VALUE"""),"148094;INF204KB17L9;-;Nippon India Credit Risk Fund - Segregated Portfolio 1 - Growth Plan;0.5036;27-Jan-2022")</f>
        <v>148094;INF204KB17L9;-;Nippon India Credit Risk Fund - Segregated Portfolio 1 - Growth Plan;0.5036;27-Jan-2022</v>
      </c>
      <c r="B725" s="1"/>
    </row>
    <row r="726">
      <c r="A726" s="1" t="str">
        <f>IFERROR(__xludf.DUMMYFUNCTION("""COMPUTED_VALUE"""),"148097;INF204KB11M0;INF204KB12M8;NIPPON INDIA CREDIT RISK FUND - SEGREGATED PORTFOLIO 1 - IDCW Option;0.2763;27-Jan-2022")</f>
        <v>148097;INF204KB11M0;INF204KB12M8;NIPPON INDIA CREDIT RISK FUND - SEGREGATED PORTFOLIO 1 - IDCW Option;0.2763;27-Jan-2022</v>
      </c>
      <c r="B726" s="1"/>
    </row>
    <row r="727">
      <c r="A727" s="1" t="str">
        <f>IFERROR(__xludf.DUMMYFUNCTION("""COMPUTED_VALUE"""),"148100;INF204KB18L7;-;Nippon India Credit Risk Fund - Segregated Portfolio 1 - Institutional Growth Plan;0.4333;27-Jan-2022")</f>
        <v>148100;INF204KB18L7;-;Nippon India Credit Risk Fund - Segregated Portfolio 1 - Institutional Growth Plan;0.4333;27-Jan-2022</v>
      </c>
      <c r="B727" s="1"/>
    </row>
    <row r="728">
      <c r="A728" s="1" t="str">
        <f>IFERROR(__xludf.DUMMYFUNCTION("""COMPUTED_VALUE"""),"148095;INF204KB19L5;INF204KB10M2;NIPPON INDIA CREDIT RISK FUND - SEGREGATED PORTFOLIO 1 - QUARTERLY IDCW Option;0.2405;27-Jan-2022")</f>
        <v>148095;INF204KB19L5;INF204KB10M2;NIPPON INDIA CREDIT RISK FUND - SEGREGATED PORTFOLIO 1 - QUARTERLY IDCW Option;0.2405;27-Jan-2022</v>
      </c>
      <c r="B728" s="1"/>
    </row>
    <row r="729">
      <c r="A729" s="1" t="str">
        <f>IFERROR(__xludf.DUMMYFUNCTION("""COMPUTED_VALUE"""),"148261;INF204KB14P7;-;Nippon India Credit Risk Fund - Segregated Portfolio 2 - Direct Plan - Growth Plan;0.0000;25-Aug-2023")</f>
        <v>148261;INF204KB14P7;-;Nippon India Credit Risk Fund - Segregated Portfolio 2 - Direct Plan - Growth Plan;0.0000;25-Aug-2023</v>
      </c>
      <c r="B729" s="1"/>
    </row>
    <row r="730">
      <c r="A730" s="1" t="str">
        <f>IFERROR(__xludf.DUMMYFUNCTION("""COMPUTED_VALUE"""),"148258;INF204KB19P6;-;Nippon India Credit Risk Fund - Segregated Portfolio 2 - Growth Plan;0.0000;25-Aug-2023")</f>
        <v>148258;INF204KB19P6;-;Nippon India Credit Risk Fund - Segregated Portfolio 2 - Growth Plan;0.0000;25-Aug-2023</v>
      </c>
      <c r="B730" s="1"/>
    </row>
    <row r="731">
      <c r="A731" s="1" t="str">
        <f>IFERROR(__xludf.DUMMYFUNCTION("""COMPUTED_VALUE"""),"148259;INF204KB10Q3;-;Nippon India Credit Risk Fund - Segregated Portfolio 2 - Institutional Growth Plan;0.0000;25-Aug-2023")</f>
        <v>148259;INF204KB10Q3;-;Nippon India Credit Risk Fund - Segregated Portfolio 2 - Institutional Growth Plan;0.0000;25-Aug-2023</v>
      </c>
      <c r="B731" s="1"/>
    </row>
    <row r="732">
      <c r="A732" s="1"/>
      <c r="B732" s="1"/>
    </row>
    <row r="733">
      <c r="A733" s="1" t="str">
        <f>IFERROR(__xludf.DUMMYFUNCTION("""COMPUTED_VALUE"""),"SBI Mutual Fund")</f>
        <v>SBI Mutual Fund</v>
      </c>
      <c r="B733" s="1"/>
    </row>
    <row r="734">
      <c r="A734" s="1"/>
      <c r="B734" s="1"/>
    </row>
    <row r="735">
      <c r="A735" s="1" t="str">
        <f>IFERROR(__xludf.DUMMYFUNCTION("""COMPUTED_VALUE"""),"119792;-;INF200K01SS0;SBI Credit Risk Fund - Direct Plan - Daily Income Distribution cum Capital Withdrawal Option (IDCW);13.3697;25-Aug-2023")</f>
        <v>119792;-;INF200K01SS0;SBI Credit Risk Fund - Direct Plan - Daily Income Distribution cum Capital Withdrawal Option (IDCW);13.3697;25-Aug-2023</v>
      </c>
      <c r="B735" s="1"/>
    </row>
    <row r="736">
      <c r="A736" s="1" t="str">
        <f>IFERROR(__xludf.DUMMYFUNCTION("""COMPUTED_VALUE"""),"119793;INF200K01ST8;INF200K01SU6;SBI Credit Risk Fund - Direct Plan - Income Distribution cum Capital Withdrawal Option (IDCW);19.6103;25-Aug-2023")</f>
        <v>119793;INF200K01ST8;INF200K01SU6;SBI Credit Risk Fund - Direct Plan - Income Distribution cum Capital Withdrawal Option (IDCW);19.6103;25-Aug-2023</v>
      </c>
      <c r="B736" s="1"/>
    </row>
    <row r="737">
      <c r="A737" s="1" t="str">
        <f>IFERROR(__xludf.DUMMYFUNCTION("""COMPUTED_VALUE"""),"119798;INF200K01SV4;-;SBI CREDIT RISK FUND - DIRECT PLAN -GROWTH;42.1394;25-Aug-2023")</f>
        <v>119798;INF200K01SV4;-;SBI CREDIT RISK FUND - DIRECT PLAN -GROWTH;42.1394;25-Aug-2023</v>
      </c>
      <c r="B737" s="1"/>
    </row>
    <row r="738">
      <c r="A738" s="1" t="str">
        <f>IFERROR(__xludf.DUMMYFUNCTION("""COMPUTED_VALUE"""),"118211;-;INF200K01QK1;SBI Credit Risk Fund - Regular Plan - Daily Income Distribution cum Capital Withdrawal Option (IDCW);13.0724;25-Aug-2023")</f>
        <v>118211;-;INF200K01QK1;SBI Credit Risk Fund - Regular Plan - Daily Income Distribution cum Capital Withdrawal Option (IDCW);13.0724;25-Aug-2023</v>
      </c>
      <c r="B738" s="1"/>
    </row>
    <row r="739">
      <c r="A739" s="1" t="str">
        <f>IFERROR(__xludf.DUMMYFUNCTION("""COMPUTED_VALUE"""),"102505;INF200K01685;-;SBI CREDIT RISK FUND - REGULAR PLAN - GROWTH;39.4968;25-Aug-2023")</f>
        <v>102505;INF200K01685;-;SBI CREDIT RISK FUND - REGULAR PLAN - GROWTH;39.4968;25-Aug-2023</v>
      </c>
      <c r="B739" s="1"/>
    </row>
    <row r="740">
      <c r="A740" s="1" t="str">
        <f>IFERROR(__xludf.DUMMYFUNCTION("""COMPUTED_VALUE"""),"102506;INF200K01693;INF200K01701;SBI Credit Risk Fund - Regular Plan - Income Distribution cum Capital Withdrawal Option (IDCW);17.8558;25-Aug-2023")</f>
        <v>102506;INF200K01693;INF200K01701;SBI Credit Risk Fund - Regular Plan - Income Distribution cum Capital Withdrawal Option (IDCW);17.8558;25-Aug-2023</v>
      </c>
      <c r="B740" s="1"/>
    </row>
    <row r="741">
      <c r="A741" s="1"/>
      <c r="B741" s="1"/>
    </row>
    <row r="742">
      <c r="A742" s="1" t="str">
        <f>IFERROR(__xludf.DUMMYFUNCTION("""COMPUTED_VALUE"""),"UTI Mutual Fund")</f>
        <v>UTI Mutual Fund</v>
      </c>
      <c r="B742" s="1"/>
    </row>
    <row r="743">
      <c r="A743" s="1"/>
      <c r="B743" s="1"/>
    </row>
    <row r="744">
      <c r="A744" s="1" t="str">
        <f>IFERROR(__xludf.DUMMYFUNCTION("""COMPUTED_VALUE"""),"148239;INF789F1ARG8;INF789F1ARH6;UTI - Credit Risk Fund (Segregated - 06032020) - Direct Plan - Annual Dividend Option;0;25-Aug-2023")</f>
        <v>148239;INF789F1ARG8;INF789F1ARH6;UTI - Credit Risk Fund (Segregated - 06032020) - Direct Plan - Annual Dividend Option;0;25-Aug-2023</v>
      </c>
      <c r="B744" s="1"/>
    </row>
    <row r="745">
      <c r="A745" s="1" t="str">
        <f>IFERROR(__xludf.DUMMYFUNCTION("""COMPUTED_VALUE"""),"148241;INF789F1ARK0;INF789F1ARL8;UTI - Credit Risk Fund (Segregated - 06032020) - Direct Plan - Flexi Dividend Option;0;25-Aug-2023")</f>
        <v>148241;INF789F1ARK0;INF789F1ARL8;UTI - Credit Risk Fund (Segregated - 06032020) - Direct Plan - Flexi Dividend Option;0;25-Aug-2023</v>
      </c>
      <c r="B745" s="1"/>
    </row>
    <row r="746">
      <c r="A746" s="1" t="str">
        <f>IFERROR(__xludf.DUMMYFUNCTION("""COMPUTED_VALUE"""),"148242;INF789F1ARF0;-;UTI - Credit Risk Fund (Segregated - 06032020) - Direct Plan - Growth Option;0;25-Aug-2023")</f>
        <v>148242;INF789F1ARF0;-;UTI - Credit Risk Fund (Segregated - 06032020) - Direct Plan - Growth Option;0;25-Aug-2023</v>
      </c>
      <c r="B746" s="1"/>
    </row>
    <row r="747">
      <c r="A747" s="1" t="str">
        <f>IFERROR(__xludf.DUMMYFUNCTION("""COMPUTED_VALUE"""),"148238;INF789F1ARI4;INF789F1ARJ2;UTI - Credit Risk Fund (Segregated - 06032020) - Direct Plan - Half Yearly Dividend Option;0;25-Aug-2023")</f>
        <v>148238;INF789F1ARI4;INF789F1ARJ2;UTI - Credit Risk Fund (Segregated - 06032020) - Direct Plan - Half Yearly Dividend Option;0;25-Aug-2023</v>
      </c>
      <c r="B747" s="1"/>
    </row>
    <row r="748">
      <c r="A748" s="1" t="str">
        <f>IFERROR(__xludf.DUMMYFUNCTION("""COMPUTED_VALUE"""),"148240;INF789F1ARM6;INF789F1ARN4;UTI - Credit Risk Fund (Segregated - 06032020) - Direct Plan - Monthly Dividend Option;0;25-Aug-2023")</f>
        <v>148240;INF789F1ARM6;INF789F1ARN4;UTI - Credit Risk Fund (Segregated - 06032020) - Direct Plan - Monthly Dividend Option;0;25-Aug-2023</v>
      </c>
      <c r="B748" s="1"/>
    </row>
    <row r="749">
      <c r="A749" s="1" t="str">
        <f>IFERROR(__xludf.DUMMYFUNCTION("""COMPUTED_VALUE"""),"148245;INF789F1ARD5;INF789F1ARE3;UTI - Credit Risk Fund (Segregated - 06032020) - Direct Plan - Quarterly Dividend Option;0;25-Aug-2023")</f>
        <v>148245;INF789F1ARD5;INF789F1ARE3;UTI - Credit Risk Fund (Segregated - 06032020) - Direct Plan - Quarterly Dividend Option;0;25-Aug-2023</v>
      </c>
      <c r="B749" s="1"/>
    </row>
    <row r="750">
      <c r="A750" s="1" t="str">
        <f>IFERROR(__xludf.DUMMYFUNCTION("""COMPUTED_VALUE"""),"148234;INF789F1ARR5;INF789F1ARS3;UTI - Credit Risk Fund (Segregated - 06032020) - Regular Plan - Annual Dividend Option;0;25-Aug-2023")</f>
        <v>148234;INF789F1ARR5;INF789F1ARS3;UTI - Credit Risk Fund (Segregated - 06032020) - Regular Plan - Annual Dividend Option;0;25-Aug-2023</v>
      </c>
      <c r="B750" s="1"/>
    </row>
    <row r="751">
      <c r="A751" s="1" t="str">
        <f>IFERROR(__xludf.DUMMYFUNCTION("""COMPUTED_VALUE"""),"148236;INF789F1ARV7;INF789F1ARW5;UTI - Credit Risk Fund (Segregated - 06032020) - Regular Plan - Flexi Dividend Option;0;25-Aug-2023")</f>
        <v>148236;INF789F1ARV7;INF789F1ARW5;UTI - Credit Risk Fund (Segregated - 06032020) - Regular Plan - Flexi Dividend Option;0;25-Aug-2023</v>
      </c>
      <c r="B751" s="1"/>
    </row>
    <row r="752">
      <c r="A752" s="1" t="str">
        <f>IFERROR(__xludf.DUMMYFUNCTION("""COMPUTED_VALUE"""),"148237;INF789F1ARQ7;-;UTI - Credit Risk Fund (Segregated - 06032020) - Regular Plan - Growth Option;0;25-Aug-2023")</f>
        <v>148237;INF789F1ARQ7;-;UTI - Credit Risk Fund (Segregated - 06032020) - Regular Plan - Growth Option;0;25-Aug-2023</v>
      </c>
      <c r="B752" s="1"/>
    </row>
    <row r="753">
      <c r="A753" s="1" t="str">
        <f>IFERROR(__xludf.DUMMYFUNCTION("""COMPUTED_VALUE"""),"148235;INF789F1ART1;INF789F1ARU9;UTI - Credit Risk Fund (Segregated - 06032020) - Regular Plan - Half Yearly Dividend Option;0;25-Aug-2023")</f>
        <v>148235;INF789F1ART1;INF789F1ARU9;UTI - Credit Risk Fund (Segregated - 06032020) - Regular Plan - Half Yearly Dividend Option;0;25-Aug-2023</v>
      </c>
      <c r="B753" s="1"/>
    </row>
    <row r="754">
      <c r="A754" s="1" t="str">
        <f>IFERROR(__xludf.DUMMYFUNCTION("""COMPUTED_VALUE"""),"148244;INF789F1ARX3;INF789F1ARY1;UTI - Credit Risk Fund (Segregated - 06032020) - Regular Plan - Monthly Dividend Option;0;25-Aug-2023")</f>
        <v>148244;INF789F1ARX3;INF789F1ARY1;UTI - Credit Risk Fund (Segregated - 06032020) - Regular Plan - Monthly Dividend Option;0;25-Aug-2023</v>
      </c>
      <c r="B754" s="1"/>
    </row>
    <row r="755">
      <c r="A755" s="1" t="str">
        <f>IFERROR(__xludf.DUMMYFUNCTION("""COMPUTED_VALUE"""),"148243;INF789F1ARO2;INF789F1ARP9;UTI - Credit Risk Fund (Segregated - 06032020) - Regular Plan - Quarterly Dividend Option;0;25-Aug-2023")</f>
        <v>148243;INF789F1ARO2;INF789F1ARP9;UTI - Credit Risk Fund (Segregated - 06032020) - Regular Plan - Quarterly Dividend Option;0;25-Aug-2023</v>
      </c>
      <c r="B755" s="1"/>
    </row>
    <row r="756">
      <c r="A756" s="1" t="str">
        <f>IFERROR(__xludf.DUMMYFUNCTION("""COMPUTED_VALUE"""),"148432;-;-;UTI - Credit Risk Fund (Segregated - 07072020) - Direct  Plan - Quarterly Dividend Option;0;14-Jul-2020")</f>
        <v>148432;-;-;UTI - Credit Risk Fund (Segregated - 07072020) - Direct  Plan - Quarterly Dividend Option;0;14-Jul-2020</v>
      </c>
      <c r="B756" s="1"/>
    </row>
    <row r="757">
      <c r="A757" s="1" t="str">
        <f>IFERROR(__xludf.DUMMYFUNCTION("""COMPUTED_VALUE"""),"148427;-;-;UTI - Credit Risk Fund (Segregated - 07072020) - Direct Plan - Annual Dividend Option;0;14-Jul-2020")</f>
        <v>148427;-;-;UTI - Credit Risk Fund (Segregated - 07072020) - Direct Plan - Annual Dividend Option;0;14-Jul-2020</v>
      </c>
      <c r="B757" s="1"/>
    </row>
    <row r="758">
      <c r="A758" s="1" t="str">
        <f>IFERROR(__xludf.DUMMYFUNCTION("""COMPUTED_VALUE"""),"148429;-;-;UTI - Credit Risk Fund (Segregated - 07072020) - Direct Plan - Flexi  Dividend Option;0;14-Jul-2020")</f>
        <v>148429;-;-;UTI - Credit Risk Fund (Segregated - 07072020) - Direct Plan - Flexi  Dividend Option;0;14-Jul-2020</v>
      </c>
      <c r="B758" s="1"/>
    </row>
    <row r="759">
      <c r="A759" s="1" t="str">
        <f>IFERROR(__xludf.DUMMYFUNCTION("""COMPUTED_VALUE"""),"148430;-;-;UTI - Credit Risk Fund (Segregated - 07072020) - Direct Plan - Growth Option;0;14-Jul-2020")</f>
        <v>148430;-;-;UTI - Credit Risk Fund (Segregated - 07072020) - Direct Plan - Growth Option;0;14-Jul-2020</v>
      </c>
      <c r="B759" s="1"/>
    </row>
    <row r="760">
      <c r="A760" s="1" t="str">
        <f>IFERROR(__xludf.DUMMYFUNCTION("""COMPUTED_VALUE"""),"148431;-;-;UTI - Credit Risk Fund (Segregated - 07072020) - Direct Plan - Half Yearly Dividend Option;0;14-Jul-2020")</f>
        <v>148431;-;-;UTI - Credit Risk Fund (Segregated - 07072020) - Direct Plan - Half Yearly Dividend Option;0;14-Jul-2020</v>
      </c>
      <c r="B760" s="1"/>
    </row>
    <row r="761">
      <c r="A761" s="1" t="str">
        <f>IFERROR(__xludf.DUMMYFUNCTION("""COMPUTED_VALUE"""),"148428;-;-;UTI - Credit Risk Fund (Segregated - 07072020) - Direct Plan - Monthly Dividend Option;0;14-Jul-2020")</f>
        <v>148428;-;-;UTI - Credit Risk Fund (Segregated - 07072020) - Direct Plan - Monthly Dividend Option;0;14-Jul-2020</v>
      </c>
      <c r="B761" s="1"/>
    </row>
    <row r="762">
      <c r="A762" s="1" t="str">
        <f>IFERROR(__xludf.DUMMYFUNCTION("""COMPUTED_VALUE"""),"148420;-;-;UTI - Credit Risk Fund (Segregated - 07072020) - Regular Plan - Annual Dividend Option;0;14-Jul-2020")</f>
        <v>148420;-;-;UTI - Credit Risk Fund (Segregated - 07072020) - Regular Plan - Annual Dividend Option;0;14-Jul-2020</v>
      </c>
      <c r="B762" s="1"/>
    </row>
    <row r="763">
      <c r="A763" s="1" t="str">
        <f>IFERROR(__xludf.DUMMYFUNCTION("""COMPUTED_VALUE"""),"148426;-;-;UTI - Credit Risk Fund (Segregated - 07072020) - Regular Plan - Flexi  Dividend Option;0;14-Jul-2020")</f>
        <v>148426;-;-;UTI - Credit Risk Fund (Segregated - 07072020) - Regular Plan - Flexi  Dividend Option;0;14-Jul-2020</v>
      </c>
      <c r="B763" s="1"/>
    </row>
    <row r="764">
      <c r="A764" s="1" t="str">
        <f>IFERROR(__xludf.DUMMYFUNCTION("""COMPUTED_VALUE"""),"148425;-;-;UTI - Credit Risk Fund (Segregated - 07072020) - Regular Plan - Growth Option;0;14-Jul-2020")</f>
        <v>148425;-;-;UTI - Credit Risk Fund (Segregated - 07072020) - Regular Plan - Growth Option;0;14-Jul-2020</v>
      </c>
      <c r="B764" s="1"/>
    </row>
    <row r="765">
      <c r="A765" s="1" t="str">
        <f>IFERROR(__xludf.DUMMYFUNCTION("""COMPUTED_VALUE"""),"148424;-;-;UTI - Credit Risk Fund (Segregated - 07072020) - Regular Plan - Half Yearly Dividend Option;0;14-Jul-2020")</f>
        <v>148424;-;-;UTI - Credit Risk Fund (Segregated - 07072020) - Regular Plan - Half Yearly Dividend Option;0;14-Jul-2020</v>
      </c>
      <c r="B765" s="1"/>
    </row>
    <row r="766">
      <c r="A766" s="1" t="str">
        <f>IFERROR(__xludf.DUMMYFUNCTION("""COMPUTED_VALUE"""),"148423;-;-;UTI - Credit Risk Fund (Segregated - 07072020) - Regular Plan - Monthly Dividend Option;0;14-Jul-2020")</f>
        <v>148423;-;-;UTI - Credit Risk Fund (Segregated - 07072020) - Regular Plan - Monthly Dividend Option;0;14-Jul-2020</v>
      </c>
      <c r="B766" s="1"/>
    </row>
    <row r="767">
      <c r="A767" s="1" t="str">
        <f>IFERROR(__xludf.DUMMYFUNCTION("""COMPUTED_VALUE"""),"148422;-;-;UTI - Credit Risk Fund (Segregated - 07072020) - Regular Plan - Quarterly Dividend Option;0;14-Jul-2020")</f>
        <v>148422;-;-;UTI - Credit Risk Fund (Segregated - 07072020) - Regular Plan - Quarterly Dividend Option;0;14-Jul-2020</v>
      </c>
      <c r="B767" s="1"/>
    </row>
    <row r="768">
      <c r="A768" s="1" t="str">
        <f>IFERROR(__xludf.DUMMYFUNCTION("""COMPUTED_VALUE"""),"147659;INF789F1AML9;INF789F1AMM7;UTI - Credit Risk Fund (Segregated - 13092019) - Direct Plan - Annual Dividend Option;0;10-Mar-2022")</f>
        <v>147659;INF789F1AML9;INF789F1AMM7;UTI - Credit Risk Fund (Segregated - 13092019) - Direct Plan - Annual Dividend Option;0;10-Mar-2022</v>
      </c>
      <c r="B768" s="1"/>
    </row>
    <row r="769">
      <c r="A769" s="1" t="str">
        <f>IFERROR(__xludf.DUMMYFUNCTION("""COMPUTED_VALUE"""),"147656;INF789F1AMP0;INF789F1AMQ8;UTI - Credit Risk Fund (Segregated - 13092019) - Direct Plan - Flexi Dividend Option;0;10-Mar-2022")</f>
        <v>147656;INF789F1AMP0;INF789F1AMQ8;UTI - Credit Risk Fund (Segregated - 13092019) - Direct Plan - Flexi Dividend Option;0;10-Mar-2022</v>
      </c>
      <c r="B769" s="1"/>
    </row>
    <row r="770">
      <c r="A770" s="1" t="str">
        <f>IFERROR(__xludf.DUMMYFUNCTION("""COMPUTED_VALUE"""),"147651;INF789F1AMK1;-;UTI - Credit Risk Fund (Segregated - 13092019) - Direct Plan - Growth Option;0;10-Mar-2022")</f>
        <v>147651;INF789F1AMK1;-;UTI - Credit Risk Fund (Segregated - 13092019) - Direct Plan - Growth Option;0;10-Mar-2022</v>
      </c>
      <c r="B770" s="1"/>
    </row>
    <row r="771">
      <c r="A771" s="1" t="str">
        <f>IFERROR(__xludf.DUMMYFUNCTION("""COMPUTED_VALUE"""),"147660;INF789F1AMN5;INF789F1AMO3;UTI - Credit Risk Fund (Segregated - 13092019) - Direct Plan - Half Yearly Dividend Option;0;10-Mar-2022")</f>
        <v>147660;INF789F1AMN5;INF789F1AMO3;UTI - Credit Risk Fund (Segregated - 13092019) - Direct Plan - Half Yearly Dividend Option;0;10-Mar-2022</v>
      </c>
      <c r="B771" s="1"/>
    </row>
    <row r="772">
      <c r="A772" s="1" t="str">
        <f>IFERROR(__xludf.DUMMYFUNCTION("""COMPUTED_VALUE"""),"147653;INF789F1AMR6;INF789F1AMS4;UTI - Credit Risk Fund (Segregated - 13092019) - Direct Plan - Monthly Dividend Option;0;10-Mar-2022")</f>
        <v>147653;INF789F1AMR6;INF789F1AMS4;UTI - Credit Risk Fund (Segregated - 13092019) - Direct Plan - Monthly Dividend Option;0;10-Mar-2022</v>
      </c>
      <c r="B772" s="1"/>
    </row>
    <row r="773">
      <c r="A773" s="1" t="str">
        <f>IFERROR(__xludf.DUMMYFUNCTION("""COMPUTED_VALUE"""),"147655;INF789F1AMI5;INF789F1AMJ3;UTI - Credit Risk Fund (Segregated - 13092019) - Direct Plan - Quarterly Dividend Option;0;10-Mar-2022")</f>
        <v>147655;INF789F1AMI5;INF789F1AMJ3;UTI - Credit Risk Fund (Segregated - 13092019) - Direct Plan - Quarterly Dividend Option;0;10-Mar-2022</v>
      </c>
      <c r="B773" s="1"/>
    </row>
    <row r="774">
      <c r="A774" s="1" t="str">
        <f>IFERROR(__xludf.DUMMYFUNCTION("""COMPUTED_VALUE"""),"147657;INF789F1AMW6;INF789F1AMX4;UTI - Credit Risk Fund (Segregated - 13092019) - Regular Plan - Annual Dividend Option;0;10-Mar-2022")</f>
        <v>147657;INF789F1AMW6;INF789F1AMX4;UTI - Credit Risk Fund (Segregated - 13092019) - Regular Plan - Annual Dividend Option;0;10-Mar-2022</v>
      </c>
      <c r="B774" s="1"/>
    </row>
    <row r="775">
      <c r="A775" s="1" t="str">
        <f>IFERROR(__xludf.DUMMYFUNCTION("""COMPUTED_VALUE"""),"147654;INF789F1ANA0;INF789F1ANB8;UTI - Credit Risk Fund (Segregated - 13092019) - Regular Plan - Flexi Dividend Option;0;10-Mar-2022")</f>
        <v>147654;INF789F1ANA0;INF789F1ANB8;UTI - Credit Risk Fund (Segregated - 13092019) - Regular Plan - Flexi Dividend Option;0;10-Mar-2022</v>
      </c>
      <c r="B775" s="1"/>
    </row>
    <row r="776">
      <c r="A776" s="1" t="str">
        <f>IFERROR(__xludf.DUMMYFUNCTION("""COMPUTED_VALUE"""),"147650;INF789F1AMV8;-;UTI - Credit Risk Fund (Segregated - 13092019) - Regular Plan - Growth Option;0;10-Mar-2022")</f>
        <v>147650;INF789F1AMV8;-;UTI - Credit Risk Fund (Segregated - 13092019) - Regular Plan - Growth Option;0;10-Mar-2022</v>
      </c>
      <c r="B776" s="1"/>
    </row>
    <row r="777">
      <c r="A777" s="1" t="str">
        <f>IFERROR(__xludf.DUMMYFUNCTION("""COMPUTED_VALUE"""),"147658;INF789F1AMY2;INF789F1AMZ9;UTI - Credit Risk Fund (Segregated - 13092019) - Regular Plan - Half Yearly Dividend Option;0;10-Mar-2022")</f>
        <v>147658;INF789F1AMY2;INF789F1AMZ9;UTI - Credit Risk Fund (Segregated - 13092019) - Regular Plan - Half Yearly Dividend Option;0;10-Mar-2022</v>
      </c>
      <c r="B777" s="1"/>
    </row>
    <row r="778">
      <c r="A778" s="1" t="str">
        <f>IFERROR(__xludf.DUMMYFUNCTION("""COMPUTED_VALUE"""),"147652;INF789F1ANC6;INF789F1AND4;UTI - Credit Risk Fund (Segregated - 13092019) - Regular Plan - Monthly Dividend Option;0;10-Mar-2022")</f>
        <v>147652;INF789F1ANC6;INF789F1AND4;UTI - Credit Risk Fund (Segregated - 13092019) - Regular Plan - Monthly Dividend Option;0;10-Mar-2022</v>
      </c>
      <c r="B778" s="1"/>
    </row>
    <row r="779">
      <c r="A779" s="1" t="str">
        <f>IFERROR(__xludf.DUMMYFUNCTION("""COMPUTED_VALUE"""),"147649;INF789F1AMT2;INF789F1AMU0;UTI - Credit Risk Fund (Segregated - 13092019) - Regular Plan - Quarterly Dividend Option;0;10-Mar-2022")</f>
        <v>147649;INF789F1AMT2;INF789F1AMU0;UTI - Credit Risk Fund (Segregated - 13092019) - Regular Plan - Quarterly Dividend Option;0;10-Mar-2022</v>
      </c>
      <c r="B779" s="1"/>
    </row>
    <row r="780">
      <c r="A780" s="1" t="str">
        <f>IFERROR(__xludf.DUMMYFUNCTION("""COMPUTED_VALUE"""),"148147;INF789F1ANG7;-;UTI - Credit Risk Fund (Segregated - 17022020) - Direct Plan - Growth Option;2.6874;31-Jan-2022")</f>
        <v>148147;INF789F1ANG7;-;UTI - Credit Risk Fund (Segregated - 17022020) - Direct Plan - Growth Option;2.6874;31-Jan-2022</v>
      </c>
      <c r="B780" s="1"/>
    </row>
    <row r="781">
      <c r="A781" s="1" t="str">
        <f>IFERROR(__xludf.DUMMYFUNCTION("""COMPUTED_VALUE"""),"148146;INF789F1ANR4;-;UTI - Credit Risk Fund (Segregated - 17022020) - Regular Plan - Growth Option;2.4018;31-Jan-2022")</f>
        <v>148146;INF789F1ANR4;-;UTI - Credit Risk Fund (Segregated - 17022020) - Regular Plan - Growth Option;2.4018;31-Jan-2022</v>
      </c>
      <c r="B781" s="1"/>
    </row>
    <row r="782">
      <c r="A782" s="1" t="str">
        <f>IFERROR(__xludf.DUMMYFUNCTION("""COMPUTED_VALUE"""),"148156;INF789F1ANH5;INF789F1ANI3;UTI Credit Risk Fund ( Segregated - 17022020 ) - Direct Plan - Annual IDCW;1.7437;31-Jan-2022")</f>
        <v>148156;INF789F1ANH5;INF789F1ANI3;UTI Credit Risk Fund ( Segregated - 17022020 ) - Direct Plan - Annual IDCW;1.7437;31-Jan-2022</v>
      </c>
      <c r="B782" s="1"/>
    </row>
    <row r="783">
      <c r="A783" s="1" t="str">
        <f>IFERROR(__xludf.DUMMYFUNCTION("""COMPUTED_VALUE"""),"148151;INF789F1ANL7;INF789F1ANM5;UTI Credit Risk Fund ( Segregated - 17022020 ) - Direct Plan - Flexi IDCW;1.7035;31-Jan-2022")</f>
        <v>148151;INF789F1ANL7;INF789F1ANM5;UTI Credit Risk Fund ( Segregated - 17022020 ) - Direct Plan - Flexi IDCW;1.7035;31-Jan-2022</v>
      </c>
      <c r="B783" s="1"/>
    </row>
    <row r="784">
      <c r="A784" s="1" t="str">
        <f>IFERROR(__xludf.DUMMYFUNCTION("""COMPUTED_VALUE"""),"148145;INF789F1ANJ1;INF789F1ANK9;UTI Credit Risk Fund ( Segregated - 17022020 ) - Direct Plan - Half-Yearly IDCW;1.7067;31-Jan-2022")</f>
        <v>148145;INF789F1ANJ1;INF789F1ANK9;UTI Credit Risk Fund ( Segregated - 17022020 ) - Direct Plan - Half-Yearly IDCW;1.7067;31-Jan-2022</v>
      </c>
      <c r="B784" s="1"/>
    </row>
    <row r="785">
      <c r="A785" s="1" t="str">
        <f>IFERROR(__xludf.DUMMYFUNCTION("""COMPUTED_VALUE"""),"148154;INF789F1ANN3;INF789F1ANO1;UTI Credit Risk Fund ( Segregated - 17022020 ) - Direct Plan - Monthly IDCW;1.6036;31-Jan-2022")</f>
        <v>148154;INF789F1ANN3;INF789F1ANO1;UTI Credit Risk Fund ( Segregated - 17022020 ) - Direct Plan - Monthly IDCW;1.6036;31-Jan-2022</v>
      </c>
      <c r="B785" s="1"/>
    </row>
    <row r="786">
      <c r="A786" s="1" t="str">
        <f>IFERROR(__xludf.DUMMYFUNCTION("""COMPUTED_VALUE"""),"148150;INF789F1ANE2;INF789F1ANF9;UTI Credit Risk Fund ( Segregated - 17022020 ) - Direct Plan - Quarterly IDCW;1.8964;31-Jan-2022")</f>
        <v>148150;INF789F1ANE2;INF789F1ANF9;UTI Credit Risk Fund ( Segregated - 17022020 ) - Direct Plan - Quarterly IDCW;1.8964;31-Jan-2022</v>
      </c>
      <c r="B786" s="1"/>
    </row>
    <row r="787">
      <c r="A787" s="1" t="str">
        <f>IFERROR(__xludf.DUMMYFUNCTION("""COMPUTED_VALUE"""),"148155;INF789F1ANS2;INF789F1ANT0;UTI Credit Risk Fund ( Segregated - 17022020 ) - Regular Plan - Annual IDCW;1.6027;31-Jan-2022")</f>
        <v>148155;INF789F1ANS2;INF789F1ANT0;UTI Credit Risk Fund ( Segregated - 17022020 ) - Regular Plan - Annual IDCW;1.6027;31-Jan-2022</v>
      </c>
      <c r="B787" s="1"/>
    </row>
    <row r="788">
      <c r="A788" s="1" t="str">
        <f>IFERROR(__xludf.DUMMYFUNCTION("""COMPUTED_VALUE"""),"148149;INF789F1ANW4;INF789F1ANX2;UTI Credit Risk Fund ( Segregated - 17022020 ) - Regular Plan - Flexi IDCW;1.559;31-Jan-2022")</f>
        <v>148149;INF789F1ANW4;INF789F1ANX2;UTI Credit Risk Fund ( Segregated - 17022020 ) - Regular Plan - Flexi IDCW;1.559;31-Jan-2022</v>
      </c>
      <c r="B788" s="1"/>
    </row>
    <row r="789">
      <c r="A789" s="1" t="str">
        <f>IFERROR(__xludf.DUMMYFUNCTION("""COMPUTED_VALUE"""),"148152;INF789F1ANU8;INF789F1ANV6;UTI Credit Risk Fund ( Segregated - 17022020 ) - Regular Plan - Half-Yearly IDCW;1.6108;31-Jan-2022")</f>
        <v>148152;INF789F1ANU8;INF789F1ANV6;UTI Credit Risk Fund ( Segregated - 17022020 ) - Regular Plan - Half-Yearly IDCW;1.6108;31-Jan-2022</v>
      </c>
      <c r="B789" s="1"/>
    </row>
    <row r="790">
      <c r="A790" s="1" t="str">
        <f>IFERROR(__xludf.DUMMYFUNCTION("""COMPUTED_VALUE"""),"148153;INF789F1ANY0;INF789F1ANZ7;UTI Credit Risk Fund ( Segregated - 17022020 ) - Regular Plan - Monthly IDCW;1.4422;31-Jan-2022")</f>
        <v>148153;INF789F1ANY0;INF789F1ANZ7;UTI Credit Risk Fund ( Segregated - 17022020 ) - Regular Plan - Monthly IDCW;1.4422;31-Jan-2022</v>
      </c>
      <c r="B790" s="1"/>
    </row>
    <row r="791">
      <c r="A791" s="1" t="str">
        <f>IFERROR(__xludf.DUMMYFUNCTION("""COMPUTED_VALUE"""),"148148;INF789F1ANP8;INF789F1ANQ6;UTI Credit Risk Fund ( Segregated - 17022020 ) - Regular Plan - Quarterly IDCW;1.706;31-Jan-2022")</f>
        <v>148148;INF789F1ANP8;INF789F1ANQ6;UTI Credit Risk Fund ( Segregated - 17022020 ) - Regular Plan - Quarterly IDCW;1.706;31-Jan-2022</v>
      </c>
      <c r="B791" s="1"/>
    </row>
    <row r="792">
      <c r="A792" s="1" t="str">
        <f>IFERROR(__xludf.DUMMYFUNCTION("""COMPUTED_VALUE"""),"117981;INF789F01QZ1;-;UTI Credit Risk Fund  - Regular Plan - Growth Option;14.8849;25-Aug-2023")</f>
        <v>117981;INF789F01QZ1;-;UTI Credit Risk Fund  - Regular Plan - Growth Option;14.8849;25-Aug-2023</v>
      </c>
      <c r="B792" s="1"/>
    </row>
    <row r="793">
      <c r="A793" s="1" t="str">
        <f>IFERROR(__xludf.DUMMYFUNCTION("""COMPUTED_VALUE"""),"135290;INF789FB1U28;INF789FB1U36;UTI Credit Risk Fund - Direct Plan - Annual IDCW;10.776;25-Aug-2023")</f>
        <v>135290;INF789FB1U28;INF789FB1U36;UTI Credit Risk Fund - Direct Plan - Annual IDCW;10.776;25-Aug-2023</v>
      </c>
      <c r="B793" s="1"/>
    </row>
    <row r="794">
      <c r="A794" s="1" t="str">
        <f>IFERROR(__xludf.DUMMYFUNCTION("""COMPUTED_VALUE"""),"136302;INF789FB1U44;INF789FB1U51;UTI Credit Risk Fund - Direct Plan - Flexi IDCW;10.5405;25-Aug-2023")</f>
        <v>136302;INF789FB1U44;INF789FB1U51;UTI Credit Risk Fund - Direct Plan - Flexi IDCW;10.5405;25-Aug-2023</v>
      </c>
      <c r="B794" s="1"/>
    </row>
    <row r="795">
      <c r="A795" s="1" t="str">
        <f>IFERROR(__xludf.DUMMYFUNCTION("""COMPUTED_VALUE"""),"120764;INF789F01YB6;-;UTI Credit Risk Fund - Direct Plan - Growth Option;16.6066;25-Aug-2023")</f>
        <v>120764;INF789F01YB6;-;UTI Credit Risk Fund - Direct Plan - Growth Option;16.6066;25-Aug-2023</v>
      </c>
      <c r="B795" s="1"/>
    </row>
    <row r="796">
      <c r="A796" s="1" t="str">
        <f>IFERROR(__xludf.DUMMYFUNCTION("""COMPUTED_VALUE"""),"135418;INF789FA1W02;INF789FA1W10;UTI Credit Risk Fund - Direct Plan - Half-Yearly IDCW;10.5782;25-Aug-2023")</f>
        <v>135418;INF789FA1W02;INF789FA1W10;UTI Credit Risk Fund - Direct Plan - Half-Yearly IDCW;10.5782;25-Aug-2023</v>
      </c>
      <c r="B796" s="1"/>
    </row>
    <row r="797">
      <c r="A797" s="1" t="str">
        <f>IFERROR(__xludf.DUMMYFUNCTION("""COMPUTED_VALUE"""),"131419;INF789FB1U02;INF789FB1U10;UTI Credit Risk Fund - Direct Plan - Monthly IDCW;9.9122;25-Aug-2023")</f>
        <v>131419;INF789FB1U02;INF789FB1U10;UTI Credit Risk Fund - Direct Plan - Monthly IDCW;9.9122;25-Aug-2023</v>
      </c>
      <c r="B797" s="1"/>
    </row>
    <row r="798">
      <c r="A798" s="1" t="str">
        <f>IFERROR(__xludf.DUMMYFUNCTION("""COMPUTED_VALUE"""),"120765;INF789F01YC4;INF789F01YD2;UTI Credit Risk Fund - Direct Plan - Quarterly IDCW;11.7184;25-Aug-2023")</f>
        <v>120765;INF789F01YC4;INF789F01YD2;UTI Credit Risk Fund - Direct Plan - Quarterly IDCW;11.7184;25-Aug-2023</v>
      </c>
      <c r="B798" s="1"/>
    </row>
    <row r="799">
      <c r="A799" s="1" t="str">
        <f>IFERROR(__xludf.DUMMYFUNCTION("""COMPUTED_VALUE"""),"133344;INF789FA1V60;INF789FA1V78;UTI Credit Risk Fund - Regular Plan - Annual IDCW;9.9324;25-Aug-2023")</f>
        <v>133344;INF789FA1V60;INF789FA1V78;UTI Credit Risk Fund - Regular Plan - Annual IDCW;9.9324;25-Aug-2023</v>
      </c>
      <c r="B799" s="1"/>
    </row>
    <row r="800">
      <c r="A800" s="1" t="str">
        <f>IFERROR(__xludf.DUMMYFUNCTION("""COMPUTED_VALUE"""),"135051;INF789FA1V86;INF789FA1V94;UTI Credit Risk Fund - Regular Plan - Flexi IDCW;9.6628;25-Aug-2023")</f>
        <v>135051;INF789FA1V86;INF789FA1V94;UTI Credit Risk Fund - Regular Plan - Flexi IDCW;9.6628;25-Aug-2023</v>
      </c>
      <c r="B800" s="1"/>
    </row>
    <row r="801">
      <c r="A801" s="1" t="str">
        <f>IFERROR(__xludf.DUMMYFUNCTION("""COMPUTED_VALUE"""),"135419;INF789FA1V45;INF789FA1V52;UTI Credit Risk Fund - Regular Plan - Half-Yearly IDCW;9.9853;25-Aug-2023")</f>
        <v>135419;INF789FA1V45;INF789FA1V52;UTI Credit Risk Fund - Regular Plan - Half-Yearly IDCW;9.9853;25-Aug-2023</v>
      </c>
      <c r="B801" s="1"/>
    </row>
    <row r="802">
      <c r="A802" s="1" t="str">
        <f>IFERROR(__xludf.DUMMYFUNCTION("""COMPUTED_VALUE"""),"131418;INF789FB1T88;INF789FB1T96;UTI Credit Risk Fund - Regular Plan - Monthly IDCW;8.9386;25-Aug-2023")</f>
        <v>131418;INF789FB1T88;INF789FB1T96;UTI Credit Risk Fund - Regular Plan - Monthly IDCW;8.9386;25-Aug-2023</v>
      </c>
      <c r="B802" s="1"/>
    </row>
    <row r="803">
      <c r="A803" s="1" t="str">
        <f>IFERROR(__xludf.DUMMYFUNCTION("""COMPUTED_VALUE"""),"117982;INF789F01RA2;INF789F01RB0;UTI Credit Risk Fund - Regular Plan - Quarterly IDCW;10.573;25-Aug-2023")</f>
        <v>117982;INF789F01RA2;INF789F01RB0;UTI Credit Risk Fund - Regular Plan - Quarterly IDCW;10.573;25-Aug-2023</v>
      </c>
      <c r="B803" s="1"/>
    </row>
    <row r="804">
      <c r="A804" s="1"/>
      <c r="B804" s="1"/>
    </row>
    <row r="805">
      <c r="A805" s="1" t="str">
        <f>IFERROR(__xludf.DUMMYFUNCTION("""COMPUTED_VALUE"""),"Open Ended Schemes(Debt Scheme - Dynamic Bond)")</f>
        <v>Open Ended Schemes(Debt Scheme - Dynamic Bond)</v>
      </c>
      <c r="B805" s="1"/>
    </row>
    <row r="806">
      <c r="A806" s="1"/>
      <c r="B806" s="1"/>
    </row>
    <row r="807">
      <c r="A807" s="1" t="str">
        <f>IFERROR(__xludf.DUMMYFUNCTION("""COMPUTED_VALUE"""),"360 ONE Mutual Fund (Formerly Known as IIFL Mutual Fund)")</f>
        <v>360 ONE Mutual Fund (Formerly Known as IIFL Mutual Fund)</v>
      </c>
      <c r="B807" s="1"/>
    </row>
    <row r="808">
      <c r="A808" s="1"/>
      <c r="B808" s="1"/>
    </row>
    <row r="809">
      <c r="A809" s="1" t="str">
        <f>IFERROR(__xludf.DUMMYFUNCTION("""COMPUTED_VALUE"""),"122612;INF579M01183;-;360 ONE Dynamic Bond Fund - Regular Plan - Growth Option;19.1973;25-Aug-2023")</f>
        <v>122612;INF579M01183;-;360 ONE Dynamic Bond Fund - Regular Plan - Growth Option;19.1973;25-Aug-2023</v>
      </c>
      <c r="B809" s="1"/>
    </row>
    <row r="810">
      <c r="A810" s="1" t="str">
        <f>IFERROR(__xludf.DUMMYFUNCTION("""COMPUTED_VALUE"""),"122715;INF579M01266;-;360 ONE Dynamic Bond Fund Direct Plan Growth;20.1595;25-Aug-2023")</f>
        <v>122715;INF579M01266;-;360 ONE Dynamic Bond Fund Direct Plan Growth;20.1595;25-Aug-2023</v>
      </c>
      <c r="B810" s="1"/>
    </row>
    <row r="811">
      <c r="A811" s="1" t="str">
        <f>IFERROR(__xludf.DUMMYFUNCTION("""COMPUTED_VALUE"""),"122721;INF579M01282;INF579M01316;360 ONE Dynamic Bond Fund Direct Plan Monthly Dividend;12.8190;25-Aug-2023")</f>
        <v>122721;INF579M01282;INF579M01316;360 ONE Dynamic Bond Fund Direct Plan Monthly Dividend;12.8190;25-Aug-2023</v>
      </c>
      <c r="B811" s="1"/>
    </row>
    <row r="812">
      <c r="A812" s="1" t="str">
        <f>IFERROR(__xludf.DUMMYFUNCTION("""COMPUTED_VALUE"""),"122717;INF579M01290;INF579M01324;360 ONE Dynamic Bond Fund Direct Plan Quarterly Dividend;18.6037;25-Aug-2023")</f>
        <v>122717;INF579M01290;INF579M01324;360 ONE Dynamic Bond Fund Direct Plan Quarterly Dividend;18.6037;25-Aug-2023</v>
      </c>
      <c r="B812" s="1"/>
    </row>
    <row r="813">
      <c r="A813" s="1" t="str">
        <f>IFERROR(__xludf.DUMMYFUNCTION("""COMPUTED_VALUE"""),"122711;INF579M01191;-;360 ONE Dynamic Bond Fund Regular Plan Bonus;19.1972;25-Aug-2023")</f>
        <v>122711;INF579M01191;-;360 ONE Dynamic Bond Fund Regular Plan Bonus;19.1972;25-Aug-2023</v>
      </c>
      <c r="B813" s="1"/>
    </row>
    <row r="814">
      <c r="A814" s="1" t="str">
        <f>IFERROR(__xludf.DUMMYFUNCTION("""COMPUTED_VALUE"""),"122720;INF579M01225;INF579M01258;360 ONE Dynamic Bond Fund Regular Plan Half Yearly Dividend;18.5253;25-Aug-2023")</f>
        <v>122720;INF579M01225;INF579M01258;360 ONE Dynamic Bond Fund Regular Plan Half Yearly Dividend;18.5253;25-Aug-2023</v>
      </c>
      <c r="B814" s="1"/>
    </row>
    <row r="815">
      <c r="A815" s="1" t="str">
        <f>IFERROR(__xludf.DUMMYFUNCTION("""COMPUTED_VALUE"""),"122719;INF579M01209;INF579M01233;360 ONE Dynamic Bond Fund Regular Plan Monthly Dividend;12.0172;25-Aug-2023")</f>
        <v>122719;INF579M01209;INF579M01233;360 ONE Dynamic Bond Fund Regular Plan Monthly Dividend;12.0172;25-Aug-2023</v>
      </c>
      <c r="B815" s="1"/>
    </row>
    <row r="816">
      <c r="A816" s="1" t="str">
        <f>IFERROR(__xludf.DUMMYFUNCTION("""COMPUTED_VALUE"""),"122712;INF579M01217;INF579M01241;360 ONE Dynamic Bond Fund Regular Plan Quarterly Dividend;18.5253;25-Aug-2023")</f>
        <v>122712;INF579M01217;INF579M01241;360 ONE Dynamic Bond Fund Regular Plan Quarterly Dividend;18.5253;25-Aug-2023</v>
      </c>
      <c r="B816" s="1"/>
    </row>
    <row r="817">
      <c r="A817" s="1"/>
      <c r="B817" s="1"/>
    </row>
    <row r="818">
      <c r="A818" s="1" t="str">
        <f>IFERROR(__xludf.DUMMYFUNCTION("""COMPUTED_VALUE"""),"Aditya Birla Sun Life Mutual Fund")</f>
        <v>Aditya Birla Sun Life Mutual Fund</v>
      </c>
      <c r="B818" s="1"/>
    </row>
    <row r="819">
      <c r="A819" s="1"/>
      <c r="B819" s="1"/>
    </row>
    <row r="820">
      <c r="A820" s="1" t="str">
        <f>IFERROR(__xludf.DUMMYFUNCTION("""COMPUTED_VALUE"""),"119505;INF209K01N82;-;Aditya Birla Sun Life Dynamic Bond Fund - Growth - Direct Plan;42.2538;25-Aug-2023")</f>
        <v>119505;INF209K01N82;-;Aditya Birla Sun Life Dynamic Bond Fund - Growth - Direct Plan;42.2538;25-Aug-2023</v>
      </c>
      <c r="B820" s="1"/>
    </row>
    <row r="821">
      <c r="A821" s="1" t="str">
        <f>IFERROR(__xludf.DUMMYFUNCTION("""COMPUTED_VALUE"""),"102767;INF209K01793;-;Aditya Birla Sun Life Dynamic Bond Fund - Growth - Regular Plan;39.8197;25-Aug-2023")</f>
        <v>102767;INF209K01793;-;Aditya Birla Sun Life Dynamic Bond Fund - Growth - Regular Plan;39.8197;25-Aug-2023</v>
      </c>
      <c r="B821" s="1"/>
    </row>
    <row r="822">
      <c r="A822" s="1" t="str">
        <f>IFERROR(__xludf.DUMMYFUNCTION("""COMPUTED_VALUE"""),"132918;INF209KA1TX3;-;Aditya Birla Sun Life Dynamic Bond Fund -Direct - IDCW;12.9665;25-Aug-2023")</f>
        <v>132918;INF209KA1TX3;-;Aditya Birla Sun Life Dynamic Bond Fund -Direct - IDCW;12.9665;25-Aug-2023</v>
      </c>
      <c r="B822" s="1"/>
    </row>
    <row r="823">
      <c r="A823" s="1" t="str">
        <f>IFERROR(__xludf.DUMMYFUNCTION("""COMPUTED_VALUE"""),"119503;INF209K01R62;-;Aditya Birla Sun Life Dynamic Bond Fund -DIRECT - MONTHLY IDCW;10.7748;25-Aug-2023")</f>
        <v>119503;INF209K01R62;-;Aditya Birla Sun Life Dynamic Bond Fund -DIRECT - MONTHLY IDCW;10.7748;25-Aug-2023</v>
      </c>
      <c r="B823" s="1"/>
    </row>
    <row r="824">
      <c r="A824" s="1" t="str">
        <f>IFERROR(__xludf.DUMMYFUNCTION("""COMPUTED_VALUE"""),"119502;INF209K01R88;-;Aditya Birla Sun Life Dynamic Bond Fund -Direct - Quarterly IDCW;10.679;25-Aug-2023")</f>
        <v>119502;INF209K01R88;-;Aditya Birla Sun Life Dynamic Bond Fund -Direct - Quarterly IDCW;10.679;25-Aug-2023</v>
      </c>
      <c r="B824" s="1"/>
    </row>
    <row r="825">
      <c r="A825" s="1" t="str">
        <f>IFERROR(__xludf.DUMMYFUNCTION("""COMPUTED_VALUE"""),"132917;INF209KA1TV7;-;Aditya Birla Sun Life Dynamic Bond Fund -Regular - IDCW;12.1093;25-Aug-2023")</f>
        <v>132917;INF209KA1TV7;-;Aditya Birla Sun Life Dynamic Bond Fund -Regular - IDCW;12.1093;25-Aug-2023</v>
      </c>
      <c r="B825" s="1"/>
    </row>
    <row r="826">
      <c r="A826" s="1" t="str">
        <f>IFERROR(__xludf.DUMMYFUNCTION("""COMPUTED_VALUE"""),"111521;INF209K01801;INF209K01DG8;Aditya Birla Sun Life Dynamic Bond Fund -REGULAR - MONTHLY IDCW;10.4654;25-Aug-2023")</f>
        <v>111521;INF209K01801;INF209K01DG8;Aditya Birla Sun Life Dynamic Bond Fund -REGULAR - MONTHLY IDCW;10.4654;25-Aug-2023</v>
      </c>
      <c r="B826" s="1"/>
    </row>
    <row r="827">
      <c r="A827" s="1" t="str">
        <f>IFERROR(__xludf.DUMMYFUNCTION("""COMPUTED_VALUE"""),"102766;INF209K01819;INF209K01DH6;Aditya Birla Sun Life Dynamic Bond Fund -Regular - Quarterly IDCW;10.5516;25-Aug-2023")</f>
        <v>102766;INF209K01819;INF209K01DH6;Aditya Birla Sun Life Dynamic Bond Fund -Regular - Quarterly IDCW;10.5516;25-Aug-2023</v>
      </c>
      <c r="B827" s="1"/>
    </row>
    <row r="828">
      <c r="A828" s="1" t="str">
        <f>IFERROR(__xludf.DUMMYFUNCTION("""COMPUTED_VALUE"""),"111848;INF209K01JW2;-;Aditya Birla Sun Life Dynamic Bond Fund-Discipline Advantage Plan-Growth;27.5384;25-Aug-2023")</f>
        <v>111848;INF209K01JW2;-;Aditya Birla Sun Life Dynamic Bond Fund-Discipline Advantage Plan-Growth;27.5384;25-Aug-2023</v>
      </c>
      <c r="B828" s="1"/>
    </row>
    <row r="829">
      <c r="A829" s="1"/>
      <c r="B829" s="1"/>
    </row>
    <row r="830">
      <c r="A830" s="1" t="str">
        <f>IFERROR(__xludf.DUMMYFUNCTION("""COMPUTED_VALUE"""),"Axis Mutual Fund")</f>
        <v>Axis Mutual Fund</v>
      </c>
      <c r="B830" s="1"/>
    </row>
    <row r="831">
      <c r="A831" s="1"/>
      <c r="B831" s="1"/>
    </row>
    <row r="832">
      <c r="A832" s="1" t="str">
        <f>IFERROR(__xludf.DUMMYFUNCTION("""COMPUTED_VALUE"""),"120451;INF846K01DI3;-;Axis Dynamic Bond Fund - Direct Plan - Growth Option;27.9048;25-Aug-2023")</f>
        <v>120451;INF846K01DI3;-;Axis Dynamic Bond Fund - Direct Plan - Growth Option;27.9048;25-Aug-2023</v>
      </c>
      <c r="B832" s="1"/>
    </row>
    <row r="833">
      <c r="A833" s="1" t="str">
        <f>IFERROR(__xludf.DUMMYFUNCTION("""COMPUTED_VALUE"""),"120450;INF846K01DJ1;INF846K01DK9;Axis Dynamic Bond Fund - Direct Plan - Half Yearly IDCW;11.6772;25-Aug-2023")</f>
        <v>120450;INF846K01DJ1;INF846K01DK9;Axis Dynamic Bond Fund - Direct Plan - Half Yearly IDCW;11.6772;25-Aug-2023</v>
      </c>
      <c r="B833" s="1"/>
    </row>
    <row r="834">
      <c r="A834" s="1" t="str">
        <f>IFERROR(__xludf.DUMMYFUNCTION("""COMPUTED_VALUE"""),"120452;INF846K01DL7;INF846K01DM5;Axis Dynamic Bond Fund - Direct Plan - Quarterly IDCW;10.3433;25-Aug-2023")</f>
        <v>120452;INF846K01DL7;INF846K01DM5;Axis Dynamic Bond Fund - Direct Plan - Quarterly IDCW;10.3433;25-Aug-2023</v>
      </c>
      <c r="B834" s="1"/>
    </row>
    <row r="835">
      <c r="A835" s="1" t="str">
        <f>IFERROR(__xludf.DUMMYFUNCTION("""COMPUTED_VALUE"""),"115068;INF846K01917;-;Axis Dynamic Bond Fund - Regular Plan - Growth Option;25.5475;25-Aug-2023")</f>
        <v>115068;INF846K01917;-;Axis Dynamic Bond Fund - Regular Plan - Growth Option;25.5475;25-Aug-2023</v>
      </c>
      <c r="B835" s="1"/>
    </row>
    <row r="836">
      <c r="A836" s="1" t="str">
        <f>IFERROR(__xludf.DUMMYFUNCTION("""COMPUTED_VALUE"""),"115131;INF846K01941;INF846K01958;Axis Dynamic Bond Fund - Regular Plan - Half Yearly IDCW;10.8021;25-Aug-2023")</f>
        <v>115131;INF846K01941;INF846K01958;Axis Dynamic Bond Fund - Regular Plan - Half Yearly IDCW;10.8021;25-Aug-2023</v>
      </c>
      <c r="B836" s="1"/>
    </row>
    <row r="837">
      <c r="A837" s="1" t="str">
        <f>IFERROR(__xludf.DUMMYFUNCTION("""COMPUTED_VALUE"""),"115069;INF846K01925;INF846K01933;Axis Dynamic Bond Fund - Regular Plan - Quarterly IDCW;10.4417;25-Aug-2023")</f>
        <v>115069;INF846K01925;INF846K01933;Axis Dynamic Bond Fund - Regular Plan - Quarterly IDCW;10.4417;25-Aug-2023</v>
      </c>
      <c r="B837" s="1"/>
    </row>
    <row r="838">
      <c r="A838" s="1"/>
      <c r="B838" s="1"/>
    </row>
    <row r="839">
      <c r="A839" s="1" t="str">
        <f>IFERROR(__xludf.DUMMYFUNCTION("""COMPUTED_VALUE"""),"Bandhan Mutual Fund")</f>
        <v>Bandhan Mutual Fund</v>
      </c>
      <c r="B839" s="1"/>
    </row>
    <row r="840">
      <c r="A840" s="1"/>
      <c r="B840" s="1"/>
    </row>
    <row r="841">
      <c r="A841" s="1" t="str">
        <f>IFERROR(__xludf.DUMMYFUNCTION("""COMPUTED_VALUE"""),"108561;INF194K01QI0;INF194K01QH2;BANDHAN Dynamic Bond Fund - Regular Plan B - Quarterly IDCW;11.2788;25-Aug-2023")</f>
        <v>108561;INF194K01QI0;INF194K01QH2;BANDHAN Dynamic Bond Fund - Regular Plan B - Quarterly IDCW;11.2788;25-Aug-2023</v>
      </c>
      <c r="B841" s="1"/>
    </row>
    <row r="842">
      <c r="A842" s="1" t="str">
        <f>IFERROR(__xludf.DUMMYFUNCTION("""COMPUTED_VALUE"""),"108675;INF194K01QL4;INF194K01QK6;BANDHAN Dynamic Bond Fund - Regular Plan B - Annual IDCW;11.1733;25-Aug-2023")</f>
        <v>108675;INF194K01QL4;INF194K01QK6;BANDHAN Dynamic Bond Fund - Regular Plan B - Annual IDCW;11.1733;25-Aug-2023</v>
      </c>
      <c r="B842" s="1"/>
    </row>
    <row r="843">
      <c r="A843" s="1" t="str">
        <f>IFERROR(__xludf.DUMMYFUNCTION("""COMPUTED_VALUE"""),"111524;INF194K01QG4;-;BANDHAN Dynamic Bond Fund - Regular Plan B - Growth;29.3508;25-Aug-2023")</f>
        <v>111524;INF194K01QG4;-;BANDHAN Dynamic Bond Fund - Regular Plan B - Growth;29.3508;25-Aug-2023</v>
      </c>
      <c r="B843" s="1"/>
    </row>
    <row r="844">
      <c r="A844" s="1" t="str">
        <f>IFERROR(__xludf.DUMMYFUNCTION("""COMPUTED_VALUE"""),"122868;INF194K018R9;INF194K019R7;BANDHAN Dynamic Bond Fund - Regular Plan B - Half Yearly IDCW;10.7457;25-Aug-2023")</f>
        <v>122868;INF194K018R9;INF194K019R7;BANDHAN Dynamic Bond Fund - Regular Plan B - Half Yearly IDCW;10.7457;25-Aug-2023</v>
      </c>
      <c r="B844" s="1"/>
    </row>
    <row r="845">
      <c r="A845" s="1" t="str">
        <f>IFERROR(__xludf.DUMMYFUNCTION("""COMPUTED_VALUE"""),"111523;INF194K01QO8;INF194K01QN0;BANDHAN Dynamic Bond Fund - Regular Plan B - IDCW;11.2225;25-Aug-2023")</f>
        <v>111523;INF194K01QO8;INF194K01QN0;BANDHAN Dynamic Bond Fund - Regular Plan B - IDCW;11.2225;25-Aug-2023</v>
      </c>
      <c r="B845" s="1"/>
    </row>
    <row r="846">
      <c r="A846" s="1" t="str">
        <f>IFERROR(__xludf.DUMMYFUNCTION("""COMPUTED_VALUE"""),"131397;INF194KA1TM3;INF194KA1TN1;BANDHAN Dynamic Bond Fund - Regular Plan B - Periodic IDCW;11.6630;25-Aug-2023")</f>
        <v>131397;INF194KA1TM3;INF194KA1TN1;BANDHAN Dynamic Bond Fund - Regular Plan B - Periodic IDCW;11.6630;25-Aug-2023</v>
      </c>
      <c r="B846" s="1"/>
    </row>
    <row r="847">
      <c r="A847" s="1" t="str">
        <f>IFERROR(__xludf.DUMMYFUNCTION("""COMPUTED_VALUE"""),"118415;INF194K01O13;INF194K01O05;BANDHAN Dynamic Bond Fund-Direct Plan-Annual IDCW;11.6881;25-Aug-2023")</f>
        <v>118415;INF194K01O13;INF194K01O05;BANDHAN Dynamic Bond Fund-Direct Plan-Annual IDCW;11.6881;25-Aug-2023</v>
      </c>
      <c r="B847" s="1"/>
    </row>
    <row r="848">
      <c r="A848" s="1" t="str">
        <f>IFERROR(__xludf.DUMMYFUNCTION("""COMPUTED_VALUE"""),"118416;INF194K01N63;-;BANDHAN Dynamic Bond Fund-Direct Plan-Growth;32.1046;25-Aug-2023")</f>
        <v>118416;INF194K01N63;-;BANDHAN Dynamic Bond Fund-Direct Plan-Growth;32.1046;25-Aug-2023</v>
      </c>
      <c r="B848" s="1"/>
    </row>
    <row r="849">
      <c r="A849" s="1" t="str">
        <f>IFERROR(__xludf.DUMMYFUNCTION("""COMPUTED_VALUE"""),"122618;INF194K011P8;INF194K012P6;BANDHAN Dynamic Bond Fund-Direct Plan-Half Yearly IDCW;10.9643;25-Aug-2023")</f>
        <v>122618;INF194K011P8;INF194K012P6;BANDHAN Dynamic Bond Fund-Direct Plan-Half Yearly IDCW;10.9643;25-Aug-2023</v>
      </c>
      <c r="B849" s="1"/>
    </row>
    <row r="850">
      <c r="A850" s="1" t="str">
        <f>IFERROR(__xludf.DUMMYFUNCTION("""COMPUTED_VALUE"""),"118417;INF194K01O47;INF194K01O39;BANDHAN Dynamic Bond Fund-Direct Plan-IDCW;13.7836;25-Aug-2023")</f>
        <v>118417;INF194K01O47;INF194K01O39;BANDHAN Dynamic Bond Fund-Direct Plan-IDCW;13.7836;25-Aug-2023</v>
      </c>
      <c r="B850" s="1"/>
    </row>
    <row r="851">
      <c r="A851" s="1" t="str">
        <f>IFERROR(__xludf.DUMMYFUNCTION("""COMPUTED_VALUE"""),"131396;INF194KA1TP6;INF194KA1TQ4;BANDHAN Dynamic Bond Fund-Direct Plan-Periodic IDCW;11.2568;25-Aug-2023")</f>
        <v>131396;INF194KA1TP6;INF194KA1TQ4;BANDHAN Dynamic Bond Fund-Direct Plan-Periodic IDCW;11.2568;25-Aug-2023</v>
      </c>
      <c r="B851" s="1"/>
    </row>
    <row r="852">
      <c r="A852" s="1" t="str">
        <f>IFERROR(__xludf.DUMMYFUNCTION("""COMPUTED_VALUE"""),"118418;INF194K01N89;INF194K01N71;BANDHAN Dynamic Bond Fund-Direct Plan-Quarterly IDCW;13.1884;25-Aug-2023")</f>
        <v>118418;INF194K01N89;INF194K01N71;BANDHAN Dynamic Bond Fund-Direct Plan-Quarterly IDCW;13.1884;25-Aug-2023</v>
      </c>
      <c r="B852" s="1"/>
    </row>
    <row r="853">
      <c r="A853" s="1"/>
      <c r="B853" s="1"/>
    </row>
    <row r="854">
      <c r="A854" s="1" t="str">
        <f>IFERROR(__xludf.DUMMYFUNCTION("""COMPUTED_VALUE"""),"Baroda BNP Paribas Mutual Fund")</f>
        <v>Baroda BNP Paribas Mutual Fund</v>
      </c>
      <c r="B854" s="1"/>
    </row>
    <row r="855">
      <c r="A855" s="1"/>
      <c r="B855" s="1"/>
    </row>
    <row r="856">
      <c r="A856" s="1" t="str">
        <f>IFERROR(__xludf.DUMMYFUNCTION("""COMPUTED_VALUE"""),"150179;-;INF251K01GX8;Baroda BNP Paribas Dynamic Bond Fund - Direct Plan - Daily IDCW Option;10.1144;25-Aug-2023")</f>
        <v>150179;-;INF251K01GX8;Baroda BNP Paribas Dynamic Bond Fund - Direct Plan - Daily IDCW Option;10.1144;25-Aug-2023</v>
      </c>
      <c r="B856" s="1"/>
    </row>
    <row r="857">
      <c r="A857" s="1" t="str">
        <f>IFERROR(__xludf.DUMMYFUNCTION("""COMPUTED_VALUE"""),"150180;INF251K01GW0;-;Baroda BNP Paribas Dynamic Bond Fund - Direct Plan - Growth Option;43.5033;25-Aug-2023")</f>
        <v>150180;INF251K01GW0;-;Baroda BNP Paribas Dynamic Bond Fund - Direct Plan - Growth Option;43.5033;25-Aug-2023</v>
      </c>
      <c r="B857" s="1"/>
    </row>
    <row r="858">
      <c r="A858" s="1" t="str">
        <f>IFERROR(__xludf.DUMMYFUNCTION("""COMPUTED_VALUE"""),"150181;INF251K01HD8;INF251K01HE6;Baroda BNP Paribas Dynamic Bond Fund - Direct Plan - Half Yearly IDCW Option;10.0000;25-Aug-2023")</f>
        <v>150181;INF251K01HD8;INF251K01HE6;Baroda BNP Paribas Dynamic Bond Fund - Direct Plan - Half Yearly IDCW Option;10.0000;25-Aug-2023</v>
      </c>
      <c r="B858" s="1"/>
    </row>
    <row r="859">
      <c r="A859" s="1" t="str">
        <f>IFERROR(__xludf.DUMMYFUNCTION("""COMPUTED_VALUE"""),"150182;INF251K01GZ3;INF251K01HA4;Baroda BNP Paribas Dynamic Bond Fund - Direct Plan - Monthly IDCW Option;10.4681;25-Aug-2023")</f>
        <v>150182;INF251K01GZ3;INF251K01HA4;Baroda BNP Paribas Dynamic Bond Fund - Direct Plan - Monthly IDCW Option;10.4681;25-Aug-2023</v>
      </c>
      <c r="B859" s="1"/>
    </row>
    <row r="860">
      <c r="A860" s="1" t="str">
        <f>IFERROR(__xludf.DUMMYFUNCTION("""COMPUTED_VALUE"""),"150183;INF251K01HB2;INF251K01HC0;Baroda BNP Paribas Dynamic Bond Fund - Direct Plan - Quarterly IDCW Option;10.5370;25-Aug-2023")</f>
        <v>150183;INF251K01HB2;INF251K01HC0;Baroda BNP Paribas Dynamic Bond Fund - Direct Plan - Quarterly IDCW Option;10.5370;25-Aug-2023</v>
      </c>
      <c r="B860" s="1"/>
    </row>
    <row r="861">
      <c r="A861" s="1" t="str">
        <f>IFERROR(__xludf.DUMMYFUNCTION("""COMPUTED_VALUE"""),"150184;-;INF251K01GY6;Baroda BNP Paribas Dynamic Bond Fund - Direct Plan - Weekly IDCW Option;10.0915;25-Aug-2023")</f>
        <v>150184;-;INF251K01GY6;Baroda BNP Paribas Dynamic Bond Fund - Direct Plan - Weekly IDCW Option;10.0915;25-Aug-2023</v>
      </c>
      <c r="B861" s="1"/>
    </row>
    <row r="862">
      <c r="A862" s="1" t="str">
        <f>IFERROR(__xludf.DUMMYFUNCTION("""COMPUTED_VALUE"""),"150174;-;INF251K01DX5;Baroda BNP Paribas Dynamic Bond Fund - Regular Plan - Daily IDCW Option;10.1141;25-Aug-2023")</f>
        <v>150174;-;INF251K01DX5;Baroda BNP Paribas Dynamic Bond Fund - Regular Plan - Daily IDCW Option;10.1141;25-Aug-2023</v>
      </c>
      <c r="B862" s="1"/>
    </row>
    <row r="863">
      <c r="A863" s="1" t="str">
        <f>IFERROR(__xludf.DUMMYFUNCTION("""COMPUTED_VALUE"""),"150173;INF251K01DW7;-;Baroda BNP Paribas Dynamic Bond Fund - Regular Plan - Growth Option;39.7663;25-Aug-2023")</f>
        <v>150173;INF251K01DW7;-;Baroda BNP Paribas Dynamic Bond Fund - Regular Plan - Growth Option;39.7663;25-Aug-2023</v>
      </c>
      <c r="B863" s="1"/>
    </row>
    <row r="864">
      <c r="A864" s="1" t="str">
        <f>IFERROR(__xludf.DUMMYFUNCTION("""COMPUTED_VALUE"""),"150178;INF251K01ED5;INF251K01EE3;Baroda BNP Paribas Dynamic Bond Fund - Regular Plan - Half Yearly IDCW Option;10.3657;25-Aug-2023")</f>
        <v>150178;INF251K01ED5;INF251K01EE3;Baroda BNP Paribas Dynamic Bond Fund - Regular Plan - Half Yearly IDCW Option;10.3657;25-Aug-2023</v>
      </c>
      <c r="B864" s="1"/>
    </row>
    <row r="865">
      <c r="A865" s="1" t="str">
        <f>IFERROR(__xludf.DUMMYFUNCTION("""COMPUTED_VALUE"""),"150176;INF251K01DZ0;INF251K01EA1;Baroda BNP Paribas Dynamic Bond Fund - Regular Plan - Monthly IDCW Option;10.2579;25-Aug-2023")</f>
        <v>150176;INF251K01DZ0;INF251K01EA1;Baroda BNP Paribas Dynamic Bond Fund - Regular Plan - Monthly IDCW Option;10.2579;25-Aug-2023</v>
      </c>
      <c r="B865" s="1"/>
    </row>
    <row r="866">
      <c r="A866" s="1" t="str">
        <f>IFERROR(__xludf.DUMMYFUNCTION("""COMPUTED_VALUE"""),"150177;INF251K01EB9;INF251K01EC7;Baroda BNP Paribas Dynamic Bond Fund - Regular Plan - Quarterly IDCW Option;10.2999;25-Aug-2023")</f>
        <v>150177;INF251K01EB9;INF251K01EC7;Baroda BNP Paribas Dynamic Bond Fund - Regular Plan - Quarterly IDCW Option;10.2999;25-Aug-2023</v>
      </c>
      <c r="B866" s="1"/>
    </row>
    <row r="867">
      <c r="A867" s="1" t="str">
        <f>IFERROR(__xludf.DUMMYFUNCTION("""COMPUTED_VALUE"""),"150175;-;INF251K01DY3;Baroda BNP Paribas Dynamic Bond Fund - Regular Plan - Weekly IDCW Option;10.0823;25-Aug-2023")</f>
        <v>150175;-;INF251K01DY3;Baroda BNP Paribas Dynamic Bond Fund - Regular Plan - Weekly IDCW Option;10.0823;25-Aug-2023</v>
      </c>
      <c r="B867" s="1"/>
    </row>
    <row r="868">
      <c r="A868" s="1" t="str">
        <f>IFERROR(__xludf.DUMMYFUNCTION("""COMPUTED_VALUE"""),"150172;INF251K01EF0;-;Baroda BNP Paribas Dynamic Bond Fund-Defunct Plan - Growth Option;28.0040;25-Aug-2023")</f>
        <v>150172;INF251K01EF0;-;Baroda BNP Paribas Dynamic Bond Fund-Defunct Plan - Growth Option;28.0040;25-Aug-2023</v>
      </c>
      <c r="B868" s="1"/>
    </row>
    <row r="869">
      <c r="A869" s="1"/>
      <c r="B869" s="1"/>
    </row>
    <row r="870">
      <c r="A870" s="1" t="str">
        <f>IFERROR(__xludf.DUMMYFUNCTION("""COMPUTED_VALUE"""),"Canara Robeco Mutual Fund")</f>
        <v>Canara Robeco Mutual Fund</v>
      </c>
      <c r="B870" s="1"/>
    </row>
    <row r="871">
      <c r="A871" s="1"/>
      <c r="B871" s="1"/>
    </row>
    <row r="872">
      <c r="A872" s="1" t="str">
        <f>IFERROR(__xludf.DUMMYFUNCTION("""COMPUTED_VALUE"""),"118284;INF760K01EC7;-;CANARA ROBECO DYNAMIC BOND FUND - DIRECT PLAN - GROWTH OPTION;28.0078;25-Aug-2023")</f>
        <v>118284;INF760K01EC7;-;CANARA ROBECO DYNAMIC BOND FUND - DIRECT PLAN - GROWTH OPTION;28.0078;25-Aug-2023</v>
      </c>
      <c r="B872" s="1"/>
    </row>
    <row r="873">
      <c r="A873" s="1" t="str">
        <f>IFERROR(__xludf.DUMMYFUNCTION("""COMPUTED_VALUE"""),"118283;INF760K01EA1;INF760K01EB9;CANARA ROBECO DYNAMIC BOND FUND - DIRECT PLAN - IDCW (Payout/Reinvestment);14.7247;25-Aug-2023")</f>
        <v>118283;INF760K01EA1;INF760K01EB9;CANARA ROBECO DYNAMIC BOND FUND - DIRECT PLAN - IDCW (Payout/Reinvestment);14.7247;25-Aug-2023</v>
      </c>
      <c r="B873" s="1"/>
    </row>
    <row r="874">
      <c r="A874" s="1" t="str">
        <f>IFERROR(__xludf.DUMMYFUNCTION("""COMPUTED_VALUE"""),"111962;INF760K01449;-;CANARA ROBECO DYNAMIC BOND FUND - REGULAR PLAN - GROWTH OPTION;25.9103;25-Aug-2023")</f>
        <v>111962;INF760K01449;-;CANARA ROBECO DYNAMIC BOND FUND - REGULAR PLAN - GROWTH OPTION;25.9103;25-Aug-2023</v>
      </c>
      <c r="B874" s="1"/>
    </row>
    <row r="875">
      <c r="A875" s="1" t="str">
        <f>IFERROR(__xludf.DUMMYFUNCTION("""COMPUTED_VALUE"""),"111963;INF760K01423;INF760K01431;CANARA ROBECO DYNAMIC BOND FUND - REGULAR PLAN - IDCW (Payout/Reinvestment);13.4613;25-Aug-2023")</f>
        <v>111963;INF760K01423;INF760K01431;CANARA ROBECO DYNAMIC BOND FUND - REGULAR PLAN - IDCW (Payout/Reinvestment);13.4613;25-Aug-2023</v>
      </c>
      <c r="B875" s="1"/>
    </row>
    <row r="876">
      <c r="A876" s="1"/>
      <c r="B876" s="1"/>
    </row>
    <row r="877">
      <c r="A877" s="1" t="str">
        <f>IFERROR(__xludf.DUMMYFUNCTION("""COMPUTED_VALUE"""),"DSP Mutual Fund")</f>
        <v>DSP Mutual Fund</v>
      </c>
      <c r="B877" s="1"/>
    </row>
    <row r="878">
      <c r="A878" s="1"/>
      <c r="B878" s="1"/>
    </row>
    <row r="879">
      <c r="A879" s="1" t="str">
        <f>IFERROR(__xludf.DUMMYFUNCTION("""COMPUTED_VALUE"""),"119239;INF740K01QG4;-;DSP Strategic Bond Fund - Direct Plan - Growth;3063.0810;25-Aug-2023")</f>
        <v>119239;INF740K01QG4;-;DSP Strategic Bond Fund - Direct Plan - Growth;3063.0810;25-Aug-2023</v>
      </c>
      <c r="B879" s="1"/>
    </row>
    <row r="880">
      <c r="A880" s="1" t="str">
        <f>IFERROR(__xludf.DUMMYFUNCTION("""COMPUTED_VALUE"""),"119238;INF740K01QI0;INF740K01QK6;DSP Strategic Bond Fund - Direct Plan - IDCW;2086.9546;25-Aug-2023")</f>
        <v>119238;INF740K01QI0;INF740K01QK6;DSP Strategic Bond Fund - Direct Plan - IDCW;2086.9546;25-Aug-2023</v>
      </c>
      <c r="B880" s="1"/>
    </row>
    <row r="881">
      <c r="A881" s="1" t="str">
        <f>IFERROR(__xludf.DUMMYFUNCTION("""COMPUTED_VALUE"""),"119240;-;INF740KA1OX0;DSP Strategic Bond Fund - Direct Plan - IDCW - Daily;1049.5175;28-Apr-2023")</f>
        <v>119240;-;INF740KA1OX0;DSP Strategic Bond Fund - Direct Plan - IDCW - Daily;1049.5175;28-Apr-2023</v>
      </c>
      <c r="B881" s="1"/>
    </row>
    <row r="882">
      <c r="A882" s="1" t="str">
        <f>IFERROR(__xludf.DUMMYFUNCTION("""COMPUTED_VALUE"""),"119236;INF740K01QH2;INF740K01QJ8;DSP Strategic Bond Fund - Direct Plan - IDCW - Monthly;1074.7566;25-Aug-2023")</f>
        <v>119236;INF740K01QH2;INF740K01QJ8;DSP Strategic Bond Fund - Direct Plan - IDCW - Monthly;1074.7566;25-Aug-2023</v>
      </c>
      <c r="B882" s="1"/>
    </row>
    <row r="883">
      <c r="A883" s="1" t="str">
        <f>IFERROR(__xludf.DUMMYFUNCTION("""COMPUTED_VALUE"""),"119237;INF740KA1OY8;INF740KA1OZ5;DSP Strategic Bond Fund - Direct Plan - IDCW - Weekly;990.0000;04-May-2023")</f>
        <v>119237;INF740KA1OY8;INF740KA1OZ5;DSP Strategic Bond Fund - Direct Plan - IDCW - Weekly;990.0000;04-May-2023</v>
      </c>
      <c r="B883" s="1"/>
    </row>
    <row r="884">
      <c r="A884" s="1" t="str">
        <f>IFERROR(__xludf.DUMMYFUNCTION("""COMPUTED_VALUE"""),"105669;INF740K01GK7;-;DSP Strategic Bond Fund - Regular Plan - Growth;2909.6860;25-Aug-2023")</f>
        <v>105669;INF740K01GK7;-;DSP Strategic Bond Fund - Regular Plan - Growth;2909.6860;25-Aug-2023</v>
      </c>
      <c r="B884" s="1"/>
    </row>
    <row r="885">
      <c r="A885" s="1" t="str">
        <f>IFERROR(__xludf.DUMMYFUNCTION("""COMPUTED_VALUE"""),"105668;INF740K01GO9;INF740K01GN1;DSP Strategic Bond Fund - Regular Plan - IDCW;1283.3093;25-Aug-2023")</f>
        <v>105668;INF740K01GO9;INF740K01GN1;DSP Strategic Bond Fund - Regular Plan - IDCW;1283.3093;25-Aug-2023</v>
      </c>
      <c r="B885" s="1"/>
    </row>
    <row r="886">
      <c r="A886" s="1" t="str">
        <f>IFERROR(__xludf.DUMMYFUNCTION("""COMPUTED_VALUE"""),"111786;-;INF740KA1PA5;DSP Strategic Bond Fund - Regular Plan - IDCW - Daily;1068.3951;25-Aug-2023")</f>
        <v>111786;-;INF740KA1PA5;DSP Strategic Bond Fund - Regular Plan - IDCW - Daily;1068.3951;25-Aug-2023</v>
      </c>
      <c r="B886" s="1"/>
    </row>
    <row r="887">
      <c r="A887" s="1" t="str">
        <f>IFERROR(__xludf.DUMMYFUNCTION("""COMPUTED_VALUE"""),"105667;INF740K01GM3;INF740K01GL5;DSP Strategic Bond Fund - Regular Plan - IDCW - Monthly;1065.4379;25-Aug-2023")</f>
        <v>105667;INF740K01GM3;INF740K01GL5;DSP Strategic Bond Fund - Regular Plan - IDCW - Monthly;1065.4379;25-Aug-2023</v>
      </c>
      <c r="B887" s="1"/>
    </row>
    <row r="888">
      <c r="A888" s="1" t="str">
        <f>IFERROR(__xludf.DUMMYFUNCTION("""COMPUTED_VALUE"""),"105878;INF740K01GQ4;INF740K01GP6;DSP Strategic Bond Fund - Regular Plan - IDCW - Weekly;1055.1104;25-Aug-2023")</f>
        <v>105878;INF740K01GQ4;INF740K01GP6;DSP Strategic Bond Fund - Regular Plan - IDCW - Weekly;1055.1104;25-Aug-2023</v>
      </c>
      <c r="B888" s="1"/>
    </row>
    <row r="889">
      <c r="A889" s="1"/>
      <c r="B889" s="1"/>
    </row>
    <row r="890">
      <c r="A890" s="1" t="str">
        <f>IFERROR(__xludf.DUMMYFUNCTION("""COMPUTED_VALUE"""),"Franklin Templeton Mutual Fund")</f>
        <v>Franklin Templeton Mutual Fund</v>
      </c>
      <c r="B890" s="1"/>
    </row>
    <row r="891">
      <c r="A891" s="1"/>
      <c r="B891" s="1"/>
    </row>
    <row r="892">
      <c r="A892" s="1" t="str">
        <f>IFERROR(__xludf.DUMMYFUNCTION("""COMPUTED_VALUE"""),"118495;INF090I01HB8;-;Franklin India Dynamic Accrual Fund - Direct - Growth;84.0329;07-Aug-2022")</f>
        <v>118495;INF090I01HB8;-;Franklin India Dynamic Accrual Fund - Direct - Growth;84.0329;07-Aug-2022</v>
      </c>
      <c r="B892" s="1"/>
    </row>
    <row r="893">
      <c r="A893" s="1" t="str">
        <f>IFERROR(__xludf.DUMMYFUNCTION("""COMPUTED_VALUE"""),"118496;INF090I01GZ9;INF090I01HA0;Franklin India Dynamic Accrual Fund - Direct - IDCW ;14.1635;07-Aug-2022")</f>
        <v>118496;INF090I01GZ9;INF090I01HA0;Franklin India Dynamic Accrual Fund - Direct - IDCW ;14.1635;07-Aug-2022</v>
      </c>
      <c r="B893" s="1"/>
    </row>
    <row r="894">
      <c r="A894" s="1" t="str">
        <f>IFERROR(__xludf.DUMMYFUNCTION("""COMPUTED_VALUE"""),"100498;INF090I01BN6;INF090I01BO4;Franklin India Dynamic Accrual Fund - IDCW ;15.6675;07-Aug-2022")</f>
        <v>100498;INF090I01BN6;INF090I01BO4;Franklin India Dynamic Accrual Fund - IDCW ;15.6675;07-Aug-2022</v>
      </c>
      <c r="B894" s="1"/>
    </row>
    <row r="895">
      <c r="A895" s="1" t="str">
        <f>IFERROR(__xludf.DUMMYFUNCTION("""COMPUTED_VALUE"""),"148308;INF090I01WD3;-;Franklin India Dynamic Accrual Fund - Segregated Portfolio 3 (9.50% Yes Bank Ltd CO 23Dec21) - Direct Growth Plan;0.0000;25-Aug-2023")</f>
        <v>148308;INF090I01WD3;-;Franklin India Dynamic Accrual Fund - Segregated Portfolio 3 (9.50% Yes Bank Ltd CO 23Dec21) - Direct Growth Plan;0.0000;25-Aug-2023</v>
      </c>
      <c r="B895" s="1"/>
    </row>
    <row r="896">
      <c r="A896" s="1" t="str">
        <f>IFERROR(__xludf.DUMMYFUNCTION("""COMPUTED_VALUE"""),"148307;INF090I01WB7;-;Franklin India Dynamic Accrual Fund - Segregated Portfolio 3 (9.50% Yes Bank Ltd CO 23Dec21) - Growth Plan;0.0000;25-Aug-2023")</f>
        <v>148307;INF090I01WB7;-;Franklin India Dynamic Accrual Fund - Segregated Portfolio 3 (9.50% Yes Bank Ltd CO 23Dec21) - Growth Plan;0.0000;25-Aug-2023</v>
      </c>
      <c r="B896" s="1"/>
    </row>
    <row r="897">
      <c r="A897" s="1" t="str">
        <f>IFERROR(__xludf.DUMMYFUNCTION("""COMPUTED_VALUE"""),"147982;INF090I01TS7;-;Franklin India Dynamic Accrual Fund- Segregated Portfolio 1- 8.25% Vodafone Idea Ltd-10JUL20-Direct-Dividend Plan;0.0000;20-Jul-2020")</f>
        <v>147982;INF090I01TS7;-;Franklin India Dynamic Accrual Fund- Segregated Portfolio 1- 8.25% Vodafone Idea Ltd-10JUL20-Direct-Dividend Plan;0.0000;20-Jul-2020</v>
      </c>
      <c r="B897" s="1"/>
    </row>
    <row r="898">
      <c r="A898" s="1" t="str">
        <f>IFERROR(__xludf.DUMMYFUNCTION("""COMPUTED_VALUE"""),"147984;INF090I01TT5;-;Franklin India Dynamic Accrual Fund- Segregated Portfolio 1- 8.25% Vodafone Idea Ltd-10JUL20-Direct-Growth Plan;0.0000;20-Jul-2020")</f>
        <v>147984;INF090I01TT5;-;Franklin India Dynamic Accrual Fund- Segregated Portfolio 1- 8.25% Vodafone Idea Ltd-10JUL20-Direct-Growth Plan;0.0000;20-Jul-2020</v>
      </c>
      <c r="B898" s="1"/>
    </row>
    <row r="899">
      <c r="A899" s="1" t="str">
        <f>IFERROR(__xludf.DUMMYFUNCTION("""COMPUTED_VALUE"""),"147983;INF090I01TQ1;-;Franklin India Dynamic Accrual Fund- Segregated Portfolio 1- 8.25% Vodafone Idea Ltd-10JUL20-Dividend Plan;0.0000;20-Jul-2020")</f>
        <v>147983;INF090I01TQ1;-;Franklin India Dynamic Accrual Fund- Segregated Portfolio 1- 8.25% Vodafone Idea Ltd-10JUL20-Dividend Plan;0.0000;20-Jul-2020</v>
      </c>
      <c r="B899" s="1"/>
    </row>
    <row r="900">
      <c r="A900" s="1" t="str">
        <f>IFERROR(__xludf.DUMMYFUNCTION("""COMPUTED_VALUE"""),"147981;INF090I01TR9;-;Franklin India Dynamic Accrual Fund- Segregated Portfolio 1- 8.25% Vodafone Idea Ltd-10JUL20-Growth Plan;0.0000;20-Jul-2020")</f>
        <v>147981;INF090I01TR9;-;Franklin India Dynamic Accrual Fund- Segregated Portfolio 1- 8.25% Vodafone Idea Ltd-10JUL20-Growth Plan;0.0000;20-Jul-2020</v>
      </c>
      <c r="B900" s="1"/>
    </row>
    <row r="901">
      <c r="A901" s="1" t="str">
        <f>IFERROR(__xludf.DUMMYFUNCTION("""COMPUTED_VALUE"""),"147985;INF090I01TU3;-;Franklin India Dynamic Accrual Fund- Segregated Portfolio 2 - 10.90% Vodafone Idea Ltd (02-Sep-2023) - IDCW;0.1431;25-Aug-2023")</f>
        <v>147985;INF090I01TU3;-;Franklin India Dynamic Accrual Fund- Segregated Portfolio 2 - 10.90% Vodafone Idea Ltd (02-Sep-2023) - IDCW;0.1431;25-Aug-2023</v>
      </c>
      <c r="B901" s="1"/>
    </row>
    <row r="902">
      <c r="A902" s="1" t="str">
        <f>IFERROR(__xludf.DUMMYFUNCTION("""COMPUTED_VALUE"""),"147988;INF090I01TX7;-;Franklin India Dynamic Accrual Fund- Segregated Portfolio 2- 10.90% Vodafone Idea Ltd 02Sep2023-Direct-Growth Plan;0.8986;25-Aug-2023")</f>
        <v>147988;INF090I01TX7;-;Franklin India Dynamic Accrual Fund- Segregated Portfolio 2- 10.90% Vodafone Idea Ltd 02Sep2023-Direct-Growth Plan;0.8986;25-Aug-2023</v>
      </c>
      <c r="B902" s="1"/>
    </row>
    <row r="903">
      <c r="A903" s="1" t="str">
        <f>IFERROR(__xludf.DUMMYFUNCTION("""COMPUTED_VALUE"""),"147987;INF090I01TV1;-;Franklin India Dynamic Accrual Fund- Segregated Portfolio 2- 10.90% Vodafone Idea Ltd 02Sep2023-Growth Plan;0.8483;25-Aug-2023")</f>
        <v>147987;INF090I01TV1;-;Franklin India Dynamic Accrual Fund- Segregated Portfolio 2- 10.90% Vodafone Idea Ltd 02Sep2023-Growth Plan;0.8483;25-Aug-2023</v>
      </c>
      <c r="B903" s="1"/>
    </row>
    <row r="904">
      <c r="A904" s="1" t="str">
        <f>IFERROR(__xludf.DUMMYFUNCTION("""COMPUTED_VALUE"""),"148309;INF090I01WA9;-;Franklin India Dynamic Accrual Fund- Segregated Portfolio 3 (9.50% Yes Bank Ltd CO 23Dec21) - IDCW;0.0000;25-Aug-2023")</f>
        <v>148309;INF090I01WA9;-;Franklin India Dynamic Accrual Fund- Segregated Portfolio 3 (9.50% Yes Bank Ltd CO 23Dec21) - IDCW;0.0000;25-Aug-2023</v>
      </c>
      <c r="B904" s="1"/>
    </row>
    <row r="905">
      <c r="A905" s="1" t="str">
        <f>IFERROR(__xludf.DUMMYFUNCTION("""COMPUTED_VALUE"""),"100499;INF090I01BP1;-;Franklin India Dynamic Accrual Fund-Growth;94.7880;07-Aug-2022")</f>
        <v>100499;INF090I01BP1;-;Franklin India Dynamic Accrual Fund-Growth;94.7880;07-Aug-2022</v>
      </c>
      <c r="B905" s="1"/>
    </row>
    <row r="906">
      <c r="A906" s="1" t="str">
        <f>IFERROR(__xludf.DUMMYFUNCTION("""COMPUTED_VALUE"""),"147986;INF090I01TW9;-;Franklin India Dynamic Accrual Fund-Segregated Portfolio 2 - 10.90% Vodafone Idea Ltd (02-Sep-2023) - Direct IDCW;0.1543;25-Aug-2023")</f>
        <v>147986;INF090I01TW9;-;Franklin India Dynamic Accrual Fund-Segregated Portfolio 2 - 10.90% Vodafone Idea Ltd (02-Sep-2023) - Direct IDCW;0.1543;25-Aug-2023</v>
      </c>
      <c r="B906" s="1"/>
    </row>
    <row r="907">
      <c r="A907" s="1" t="str">
        <f>IFERROR(__xludf.DUMMYFUNCTION("""COMPUTED_VALUE"""),"148310;INF090I01WC5;-;Franklin India Dynamic Accrual Fund-Segregated Portfolio 3 (9.50% Yes Bank Ltd CO 23Dec21) - Direct IDCW;0.0000;25-Aug-2023")</f>
        <v>148310;INF090I01WC5;-;Franklin India Dynamic Accrual Fund-Segregated Portfolio 3 (9.50% Yes Bank Ltd CO 23Dec21) - Direct IDCW;0.0000;25-Aug-2023</v>
      </c>
      <c r="B907" s="1"/>
    </row>
    <row r="908">
      <c r="A908" s="1"/>
      <c r="B908" s="1"/>
    </row>
    <row r="909">
      <c r="A909" s="1" t="str">
        <f>IFERROR(__xludf.DUMMYFUNCTION("""COMPUTED_VALUE"""),"Groww Mutual Fund")</f>
        <v>Groww Mutual Fund</v>
      </c>
      <c r="B909" s="1"/>
    </row>
    <row r="910">
      <c r="A910" s="1"/>
      <c r="B910" s="1"/>
    </row>
    <row r="911">
      <c r="A911" s="1" t="str">
        <f>IFERROR(__xludf.DUMMYFUNCTION("""COMPUTED_VALUE"""),"145589;INF666M01EK5;-;Groww Dynamic Bond Fund (formerly known as Indiabulls Dynamic Bond Fund) - Direct Plan - Growth option;1328.2627;25-Aug-2023")</f>
        <v>145589;INF666M01EK5;-;Groww Dynamic Bond Fund (formerly known as Indiabulls Dynamic Bond Fund) - Direct Plan - Growth option;1328.2627;25-Aug-2023</v>
      </c>
      <c r="B911" s="1"/>
    </row>
    <row r="912">
      <c r="A912" s="1" t="str">
        <f>IFERROR(__xludf.DUMMYFUNCTION("""COMPUTED_VALUE"""),"145590;INF666M01ES8;-;Groww Dynamic Bond Fund (formerly known as Indiabulls Dynamic Bond Fund) - Regular Plan - Growth option;1295.7028;25-Aug-2023")</f>
        <v>145590;INF666M01ES8;-;Groww Dynamic Bond Fund (formerly known as Indiabulls Dynamic Bond Fund) - Regular Plan - Growth option;1295.7028;25-Aug-2023</v>
      </c>
      <c r="B912" s="1"/>
    </row>
    <row r="913">
      <c r="A913" s="1" t="str">
        <f>IFERROR(__xludf.DUMMYFUNCTION("""COMPUTED_VALUE"""),"145596;-;INF666M01EL3;Groww Dynamic Bond Fund (formerly known as Indiabulls Dynamic Bond Fund)- Direct Plan- - Income Distribution cum capital withdrawal Option ( Reinvestment);1006.5229;25-Aug-2023")</f>
        <v>145596;-;INF666M01EL3;Groww Dynamic Bond Fund (formerly known as Indiabulls Dynamic Bond Fund)- Direct Plan- - Income Distribution cum capital withdrawal Option ( Reinvestment);1006.5229;25-Aug-2023</v>
      </c>
      <c r="B913" s="1"/>
    </row>
    <row r="914">
      <c r="A914" s="1" t="str">
        <f>IFERROR(__xludf.DUMMYFUNCTION("""COMPUTED_VALUE"""),"145595;INF666M01EO7;INF666M01EP4;Groww Dynamic Bond Fund (formerly known as Indiabulls Dynamic Bond Fund)- Direct Plan- Fortnightly - Income Distribution cum capital withdrawal Option (Payout &amp; Reinvestment);1009.0613;25-Aug-2023")</f>
        <v>145595;INF666M01EO7;INF666M01EP4;Groww Dynamic Bond Fund (formerly known as Indiabulls Dynamic Bond Fund)- Direct Plan- Fortnightly - Income Distribution cum capital withdrawal Option (Payout &amp; Reinvestment);1009.0613;25-Aug-2023</v>
      </c>
      <c r="B914" s="1"/>
    </row>
    <row r="915">
      <c r="A915" s="1" t="str">
        <f>IFERROR(__xludf.DUMMYFUNCTION("""COMPUTED_VALUE"""),"145591;INF666M01EQ2;INF666M01ER0;Groww Dynamic Bond Fund (formerly known as Indiabulls Dynamic Bond Fund)- Direct Plan- Monthly - Income Distribution cum capital withdrawal Option (Payout &amp; Reinvestment);1005.8728;25-Aug-2023")</f>
        <v>145591;INF666M01EQ2;INF666M01ER0;Groww Dynamic Bond Fund (formerly known as Indiabulls Dynamic Bond Fund)- Direct Plan- Monthly - Income Distribution cum capital withdrawal Option (Payout &amp; Reinvestment);1005.8728;25-Aug-2023</v>
      </c>
      <c r="B915" s="1"/>
    </row>
    <row r="916">
      <c r="A916" s="1" t="str">
        <f>IFERROR(__xludf.DUMMYFUNCTION("""COMPUTED_VALUE"""),"145597;INF666M01EM1;INF666M01EN9;Groww Dynamic Bond Fund (formerly known as Indiabulls Dynamic Bond Fund)- Direct Plan- Weekly - Income Distribution cum capital withdrawal Option (Payout &amp; Reinvestment);1006.2977;25-Aug-2023")</f>
        <v>145597;INF666M01EM1;INF666M01EN9;Groww Dynamic Bond Fund (formerly known as Indiabulls Dynamic Bond Fund)- Direct Plan- Weekly - Income Distribution cum capital withdrawal Option (Payout &amp; Reinvestment);1006.2977;25-Aug-2023</v>
      </c>
      <c r="B916" s="1"/>
    </row>
    <row r="917">
      <c r="A917" s="1" t="str">
        <f>IFERROR(__xludf.DUMMYFUNCTION("""COMPUTED_VALUE"""),"145593;-;INF666M01ET6;Groww Dynamic Bond Fund (formerly known as Indiabulls Dynamic Bond Fund)- Regular Plan- - Income Distribution cum capital withdrawal Option ( Reinvestment);1006.603;25-Aug-2023")</f>
        <v>145593;-;INF666M01ET6;Groww Dynamic Bond Fund (formerly known as Indiabulls Dynamic Bond Fund)- Regular Plan- - Income Distribution cum capital withdrawal Option ( Reinvestment);1006.603;25-Aug-2023</v>
      </c>
      <c r="B917" s="1"/>
    </row>
    <row r="918">
      <c r="A918" s="1" t="str">
        <f>IFERROR(__xludf.DUMMYFUNCTION("""COMPUTED_VALUE"""),"145598;INF666M01EW0;INF666M01EX8;Groww Dynamic Bond Fund (formerly known as Indiabulls Dynamic Bond Fund)- Regular Plan- Fortnightly - Income Distribution cum capital withdrawal Option (Payout &amp; Reinvestment);1007.6343;25-Aug-2023")</f>
        <v>145598;INF666M01EW0;INF666M01EX8;Groww Dynamic Bond Fund (formerly known as Indiabulls Dynamic Bond Fund)- Regular Plan- Fortnightly - Income Distribution cum capital withdrawal Option (Payout &amp; Reinvestment);1007.6343;25-Aug-2023</v>
      </c>
      <c r="B918" s="1"/>
    </row>
    <row r="919">
      <c r="A919" s="1" t="str">
        <f>IFERROR(__xludf.DUMMYFUNCTION("""COMPUTED_VALUE"""),"145592;INF666M01EY6;INF666M01EZ3;Groww Dynamic Bond Fund (formerly known as Indiabulls Dynamic Bond Fund)- Regular Plan- Monthly - Income Distribution cum capital withdrawal Option (Payout &amp; Reinvestment);1005.1175;25-Aug-2023")</f>
        <v>145592;INF666M01EY6;INF666M01EZ3;Groww Dynamic Bond Fund (formerly known as Indiabulls Dynamic Bond Fund)- Regular Plan- Monthly - Income Distribution cum capital withdrawal Option (Payout &amp; Reinvestment);1005.1175;25-Aug-2023</v>
      </c>
      <c r="B919" s="1"/>
    </row>
    <row r="920">
      <c r="A920" s="1" t="str">
        <f>IFERROR(__xludf.DUMMYFUNCTION("""COMPUTED_VALUE"""),"145594;INF666M01EU4;INF666M01EV2;Groww Dynamic Bond Fund (formerly known as Indiabulls Dynamic Bond Fund)- Regular Plan- Weekly - Income Distribution cum capital withdrawal Option (Payout &amp; Reinvestment);1005.3611;25-Aug-2023")</f>
        <v>145594;INF666M01EU4;INF666M01EV2;Groww Dynamic Bond Fund (formerly known as Indiabulls Dynamic Bond Fund)- Regular Plan- Weekly - Income Distribution cum capital withdrawal Option (Payout &amp; Reinvestment);1005.3611;25-Aug-2023</v>
      </c>
      <c r="B920" s="1"/>
    </row>
    <row r="921">
      <c r="A921" s="1"/>
      <c r="B921" s="1"/>
    </row>
    <row r="922">
      <c r="A922" s="1" t="str">
        <f>IFERROR(__xludf.DUMMYFUNCTION("""COMPUTED_VALUE"""),"HDFC Mutual Fund")</f>
        <v>HDFC Mutual Fund</v>
      </c>
      <c r="B922" s="1"/>
    </row>
    <row r="923">
      <c r="A923" s="1"/>
      <c r="B923" s="1"/>
    </row>
    <row r="924">
      <c r="A924" s="1" t="str">
        <f>IFERROR(__xludf.DUMMYFUNCTION("""COMPUTED_VALUE"""),"101872;INF179K01848;-;HDFC Dynamic Debt Fund - Growth Option;77.7552;25-Aug-2023")</f>
        <v>101872;INF179K01848;-;HDFC Dynamic Debt Fund - Growth Option;77.7552;25-Aug-2023</v>
      </c>
      <c r="B924" s="1"/>
    </row>
    <row r="925">
      <c r="A925" s="1" t="str">
        <f>IFERROR(__xludf.DUMMYFUNCTION("""COMPUTED_VALUE"""),"119075;INF179K01WB4;-;HDFC Dynamic Debt Fund - Growth Option - Direct Plan;84.7041;25-Aug-2023")</f>
        <v>119075;INF179K01WB4;-;HDFC Dynamic Debt Fund - Growth Option - Direct Plan;84.7041;25-Aug-2023</v>
      </c>
      <c r="B925" s="1"/>
    </row>
    <row r="926">
      <c r="A926" s="1" t="str">
        <f>IFERROR(__xludf.DUMMYFUNCTION("""COMPUTED_VALUE"""),"119072;INF179K01WC2;INF179K01WD0;HDFC Dynamic Debt Fund - Half Yearly IDCW - Direct Plan;13.5274;25-Aug-2023")</f>
        <v>119072;INF179K01WC2;INF179K01WD0;HDFC Dynamic Debt Fund - Half Yearly IDCW - Direct Plan;13.5274;25-Aug-2023</v>
      </c>
      <c r="B926" s="1"/>
    </row>
    <row r="927">
      <c r="A927" s="1" t="str">
        <f>IFERROR(__xludf.DUMMYFUNCTION("""COMPUTED_VALUE"""),"101874;INF179K01855;INF179K01863;HDFC Dynamic Debt Fund - Half Yearly IDCW Option;11.591;25-Aug-2023")</f>
        <v>101874;INF179K01855;INF179K01863;HDFC Dynamic Debt Fund - Half Yearly IDCW Option;11.591;25-Aug-2023</v>
      </c>
      <c r="B927" s="1"/>
    </row>
    <row r="928">
      <c r="A928" s="1" t="str">
        <f>IFERROR(__xludf.DUMMYFUNCTION("""COMPUTED_VALUE"""),"133369;INF179KA1Q95;-;HDFC Dynamic Debt Fund - Normal IDCW - Direct Plan;17.835;25-Aug-2023")</f>
        <v>133369;INF179KA1Q95;-;HDFC Dynamic Debt Fund - Normal IDCW - Direct Plan;17.835;25-Aug-2023</v>
      </c>
      <c r="B928" s="1"/>
    </row>
    <row r="929">
      <c r="A929" s="1" t="str">
        <f>IFERROR(__xludf.DUMMYFUNCTION("""COMPUTED_VALUE"""),"133370;INF179KA1R11;-;HDFC Dynamic Debt Fund - Normal IDCW Option;16.658;25-Aug-2023")</f>
        <v>133370;INF179KA1R11;-;HDFC Dynamic Debt Fund - Normal IDCW Option;16.658;25-Aug-2023</v>
      </c>
      <c r="B929" s="1"/>
    </row>
    <row r="930">
      <c r="A930" s="1" t="str">
        <f>IFERROR(__xludf.DUMMYFUNCTION("""COMPUTED_VALUE"""),"119073;INF179K01WE8;INF179K01WF5;HDFC Dynamic Debt Fund - Quarterly IDCW - Direct Plan;13.387;25-Aug-2023")</f>
        <v>119073;INF179K01WE8;INF179K01WF5;HDFC Dynamic Debt Fund - Quarterly IDCW - Direct Plan;13.387;25-Aug-2023</v>
      </c>
      <c r="B930" s="1"/>
    </row>
    <row r="931">
      <c r="A931" s="1" t="str">
        <f>IFERROR(__xludf.DUMMYFUNCTION("""COMPUTED_VALUE"""),"101873;INF179K01871;INF179K01889;HDFC Dynamic Debt Fund - Quarterly IDCW Option;12.0506;25-Aug-2023")</f>
        <v>101873;INF179K01871;INF179K01889;HDFC Dynamic Debt Fund - Quarterly IDCW Option;12.0506;25-Aug-2023</v>
      </c>
      <c r="B931" s="1"/>
    </row>
    <row r="932">
      <c r="A932" s="1" t="str">
        <f>IFERROR(__xludf.DUMMYFUNCTION("""COMPUTED_VALUE"""),"119074;INF179K01WG3;INF179K01WH1;HDFC Dynamic Debt Fund - Yearly IDCW - Direct Plan;14.7398;25-Aug-2023")</f>
        <v>119074;INF179K01WG3;INF179K01WH1;HDFC Dynamic Debt Fund - Yearly IDCW - Direct Plan;14.7398;25-Aug-2023</v>
      </c>
      <c r="B932" s="1"/>
    </row>
    <row r="933">
      <c r="A933" s="1" t="str">
        <f>IFERROR(__xludf.DUMMYFUNCTION("""COMPUTED_VALUE"""),"101875;INF179K01921;INF179K01939;HDFC Dynamic Debt Fund - Yearly IDCW Option;13.2702;25-Aug-2023")</f>
        <v>101875;INF179K01921;INF179K01939;HDFC Dynamic Debt Fund - Yearly IDCW Option;13.2702;25-Aug-2023</v>
      </c>
      <c r="B933" s="1"/>
    </row>
    <row r="934">
      <c r="A934" s="1"/>
      <c r="B934" s="1"/>
    </row>
    <row r="935">
      <c r="A935" s="1" t="str">
        <f>IFERROR(__xludf.DUMMYFUNCTION("""COMPUTED_VALUE"""),"HSBC Mutual Fund")</f>
        <v>HSBC Mutual Fund</v>
      </c>
      <c r="B935" s="1"/>
    </row>
    <row r="936">
      <c r="A936" s="1"/>
      <c r="B936" s="1"/>
    </row>
    <row r="937">
      <c r="A937" s="1" t="str">
        <f>IFERROR(__xludf.DUMMYFUNCTION("""COMPUTED_VALUE"""),"151088;INF917K01VN4;INF917K01VM6;HSBC Dynamic Bond Fund - Direct Annual IDCW;11.1576;25-Aug-2023")</f>
        <v>151088;INF917K01VN4;INF917K01VM6;HSBC Dynamic Bond Fund - Direct Annual IDCW;11.1576;25-Aug-2023</v>
      </c>
      <c r="B937" s="1"/>
    </row>
    <row r="938">
      <c r="A938" s="1" t="str">
        <f>IFERROR(__xludf.DUMMYFUNCTION("""COMPUTED_VALUE"""),"151087;INF917K01HA0;-;HSBC Dynamic Bond Fund - Direct Growth;27.3779;25-Aug-2023")</f>
        <v>151087;INF917K01HA0;-;HSBC Dynamic Bond Fund - Direct Growth;27.3779;25-Aug-2023</v>
      </c>
      <c r="B938" s="1"/>
    </row>
    <row r="939">
      <c r="A939" s="1" t="str">
        <f>IFERROR(__xludf.DUMMYFUNCTION("""COMPUTED_VALUE"""),"151086;INF917K01GZ9;INF917K01GY2;HSBC Dynamic Bond Fund - Direct Monthly IDCW;12.739;25-Aug-2023")</f>
        <v>151086;INF917K01GZ9;INF917K01GY2;HSBC Dynamic Bond Fund - Direct Monthly IDCW;12.739;25-Aug-2023</v>
      </c>
      <c r="B939" s="1"/>
    </row>
    <row r="940">
      <c r="A940" s="1" t="str">
        <f>IFERROR(__xludf.DUMMYFUNCTION("""COMPUTED_VALUE"""),"151089;INF917K01VP9;INF917K01VO2;HSBC Dynamic Bond Fund - Regular Annual IDCW;10.6288;25-Aug-2023")</f>
        <v>151089;INF917K01VP9;INF917K01VO2;HSBC Dynamic Bond Fund - Regular Annual IDCW;10.6288;25-Aug-2023</v>
      </c>
      <c r="B940" s="1"/>
    </row>
    <row r="941">
      <c r="A941" s="1" t="str">
        <f>IFERROR(__xludf.DUMMYFUNCTION("""COMPUTED_VALUE"""),"151084;INF677K01916;-;HSBC Dynamic Bond Fund - Regular Growth;25.5352;25-Aug-2023")</f>
        <v>151084;INF677K01916;-;HSBC Dynamic Bond Fund - Regular Growth;25.5352;25-Aug-2023</v>
      </c>
      <c r="B941" s="1"/>
    </row>
    <row r="942">
      <c r="A942" s="1" t="str">
        <f>IFERROR(__xludf.DUMMYFUNCTION("""COMPUTED_VALUE"""),"151085;INF677K01924;INF677K01932;HSBC Dynamic Bond Fund - Regular Monthly IDCW;10.6926;25-Aug-2023")</f>
        <v>151085;INF677K01924;INF677K01932;HSBC Dynamic Bond Fund - Regular Monthly IDCW;10.6926;25-Aug-2023</v>
      </c>
      <c r="B942" s="1"/>
    </row>
    <row r="943">
      <c r="A943" s="1"/>
      <c r="B943" s="1"/>
    </row>
    <row r="944">
      <c r="A944" s="1" t="str">
        <f>IFERROR(__xludf.DUMMYFUNCTION("""COMPUTED_VALUE"""),"ICICI Prudential Mutual Fund")</f>
        <v>ICICI Prudential Mutual Fund</v>
      </c>
      <c r="B944" s="1"/>
    </row>
    <row r="945">
      <c r="A945" s="1"/>
      <c r="B945" s="1"/>
    </row>
    <row r="946">
      <c r="A946" s="1" t="str">
        <f>IFERROR(__xludf.DUMMYFUNCTION("""COMPUTED_VALUE"""),"113218;INF109K01GO7;INF109K01GP4;ICICI Prudential All Seasons Bond Fund - Annual IDCW;11.6077;25-Aug-2023")</f>
        <v>113218;INF109K01GO7;INF109K01GP4;ICICI Prudential All Seasons Bond Fund - Annual IDCW;11.6077;25-Aug-2023</v>
      </c>
      <c r="B946" s="1"/>
    </row>
    <row r="947">
      <c r="A947" s="1" t="str">
        <f>IFERROR(__xludf.DUMMYFUNCTION("""COMPUTED_VALUE"""),"130937;INF109KA1H36;-;ICICI Prudential All Seasons Bond Fund - Bonus;17.0248;24-Apr-2020")</f>
        <v>130937;INF109KA1H36;-;ICICI Prudential All Seasons Bond Fund - Bonus;17.0248;24-Apr-2020</v>
      </c>
      <c r="B947" s="1"/>
    </row>
    <row r="948">
      <c r="A948" s="1" t="str">
        <f>IFERROR(__xludf.DUMMYFUNCTION("""COMPUTED_VALUE"""),"120601;INF109K012E4;INF109K013E2;ICICI Prudential All Seasons Bond Fund - Direct Plan - Annual IDCW;11.6450;25-Aug-2023")</f>
        <v>120601;INF109K012E4;INF109K013E2;ICICI Prudential All Seasons Bond Fund - Direct Plan - Annual IDCW;11.6450;25-Aug-2023</v>
      </c>
      <c r="B948" s="1"/>
    </row>
    <row r="949">
      <c r="A949" s="1" t="str">
        <f>IFERROR(__xludf.DUMMYFUNCTION("""COMPUTED_VALUE"""),"120603;INF109K016E5;-;ICICI Prudential All Seasons Bond Fund - Direct Plan - Growth;33.9458;25-Aug-2023")</f>
        <v>120603;INF109K016E5;-;ICICI Prudential All Seasons Bond Fund - Direct Plan - Growth;33.9458;25-Aug-2023</v>
      </c>
      <c r="B949" s="1"/>
    </row>
    <row r="950">
      <c r="A950" s="1" t="str">
        <f>IFERROR(__xludf.DUMMYFUNCTION("""COMPUTED_VALUE"""),"120600;INF109K014E0;INF109K015E7;ICICI Prudential All Seasons Bond Fund - Direct Plan - IDCW;22.0284;25-Aug-2023")</f>
        <v>120600;INF109K014E0;INF109K015E7;ICICI Prudential All Seasons Bond Fund - Direct Plan - IDCW;22.0284;25-Aug-2023</v>
      </c>
      <c r="B950" s="1"/>
    </row>
    <row r="951">
      <c r="A951" s="1" t="str">
        <f>IFERROR(__xludf.DUMMYFUNCTION("""COMPUTED_VALUE"""),"120602;INF109K017E3;INF109K018E1;ICICI Prudential All Seasons Bond Fund - Direct Plan - Quarterly IDCW;11.8074;25-Aug-2023")</f>
        <v>120602;INF109K017E3;INF109K018E1;ICICI Prudential All Seasons Bond Fund - Direct Plan - Quarterly IDCW;11.8074;25-Aug-2023</v>
      </c>
      <c r="B951" s="1"/>
    </row>
    <row r="952">
      <c r="A952" s="1" t="str">
        <f>IFERROR(__xludf.DUMMYFUNCTION("""COMPUTED_VALUE"""),"120604;INF109K019E9;INF109K010F5;ICICI Prudential All Seasons Bond Fund - Direct Plan - Weekly IDCW;10.5732;25-Aug-2023")</f>
        <v>120604;INF109K019E9;INF109K010F5;ICICI Prudential All Seasons Bond Fund - Direct Plan - Weekly IDCW;10.5732;25-Aug-2023</v>
      </c>
      <c r="B952" s="1"/>
    </row>
    <row r="953">
      <c r="A953" s="1" t="str">
        <f>IFERROR(__xludf.DUMMYFUNCTION("""COMPUTED_VALUE"""),"130938;INF109KA1H28;-;ICICI Prudential All Seasons Bond Fund - Direct Plan Bonus;17.8505;24-Apr-2020")</f>
        <v>130938;INF109KA1H28;-;ICICI Prudential All Seasons Bond Fund - Direct Plan Bonus;17.8505;24-Apr-2020</v>
      </c>
      <c r="B953" s="1"/>
    </row>
    <row r="954">
      <c r="A954" s="1" t="str">
        <f>IFERROR(__xludf.DUMMYFUNCTION("""COMPUTED_VALUE"""),"112096;INF109K01GN9;-;ICICI Prudential All Seasons Bond Fund - Growth;31.8465;25-Aug-2023")</f>
        <v>112096;INF109K01GN9;-;ICICI Prudential All Seasons Bond Fund - Growth;31.8465;25-Aug-2023</v>
      </c>
      <c r="B954" s="1"/>
    </row>
    <row r="955">
      <c r="A955" s="1" t="str">
        <f>IFERROR(__xludf.DUMMYFUNCTION("""COMPUTED_VALUE"""),"112097;INF109K01GK5;INF109K01GL3;ICICI Prudential All Seasons Bond Fund - IDCW;19.8039;25-Aug-2023")</f>
        <v>112097;INF109K01GK5;INF109K01GL3;ICICI Prudential All Seasons Bond Fund - IDCW;19.8039;25-Aug-2023</v>
      </c>
      <c r="B955" s="1"/>
    </row>
    <row r="956">
      <c r="A956" s="1" t="str">
        <f>IFERROR(__xludf.DUMMYFUNCTION("""COMPUTED_VALUE"""),"112094;INF109K01GM1;-;ICICI Prudential All Seasons Bond Fund - Premium Growth Option;25.7538;24-Apr-2020")</f>
        <v>112094;INF109K01GM1;-;ICICI Prudential All Seasons Bond Fund - Premium Growth Option;25.7538;24-Apr-2020</v>
      </c>
      <c r="B956" s="1"/>
    </row>
    <row r="957">
      <c r="A957" s="1" t="str">
        <f>IFERROR(__xludf.DUMMYFUNCTION("""COMPUTED_VALUE"""),"113403;INF109K01GE8;INF109K01GF5;ICICI Prudential All Seasons Bond Fund - Quarterly IDCW;11.5330;25-Aug-2023")</f>
        <v>113403;INF109K01GE8;INF109K01GF5;ICICI Prudential All Seasons Bond Fund - Quarterly IDCW;11.5330;25-Aug-2023</v>
      </c>
      <c r="B957" s="1"/>
    </row>
    <row r="958">
      <c r="A958" s="1" t="str">
        <f>IFERROR(__xludf.DUMMYFUNCTION("""COMPUTED_VALUE"""),"101351;INF109K01FD2;INF109K01704;ICICI Prudential All Seasons Bond Fund - Weekly IDCW;10.8830;25-Aug-2023")</f>
        <v>101351;INF109K01FD2;INF109K01704;ICICI Prudential All Seasons Bond Fund - Weekly IDCW;10.8830;25-Aug-2023</v>
      </c>
      <c r="B958" s="1"/>
    </row>
    <row r="959">
      <c r="A959" s="1" t="str">
        <f>IFERROR(__xludf.DUMMYFUNCTION("""COMPUTED_VALUE"""),"113220;INF109K01GI9;INF109K01GJ7;ICICI Prudential All Seasons Bond Fund Retail - Annual Dividend;10.8538;21-Aug-2013")</f>
        <v>113220;INF109K01GI9;INF109K01GJ7;ICICI Prudential All Seasons Bond Fund Retail - Annual Dividend;10.8538;21-Aug-2013</v>
      </c>
      <c r="B959" s="1"/>
    </row>
    <row r="960">
      <c r="A960" s="1" t="str">
        <f>IFERROR(__xludf.DUMMYFUNCTION("""COMPUTED_VALUE"""),"101350;INF109K01712;-;ICICI Prudential All Seasons Bond Fund Retail - Cumulative;49.3216;24-Apr-2020")</f>
        <v>101350;INF109K01712;-;ICICI Prudential All Seasons Bond Fund Retail - Cumulative;49.3216;24-Apr-2020</v>
      </c>
      <c r="B960" s="1"/>
    </row>
    <row r="961">
      <c r="A961" s="1" t="str">
        <f>IFERROR(__xludf.DUMMYFUNCTION("""COMPUTED_VALUE"""),"113417;INF109K01GG3;INF109K01GH1;ICICI Prudential All Seasons Bond Fund Retail - Quarterly Dividend;11.6831;24-Apr-2020")</f>
        <v>113417;INF109K01GG3;INF109K01GH1;ICICI Prudential All Seasons Bond Fund Retail - Quarterly Dividend;11.6831;24-Apr-2020</v>
      </c>
      <c r="B961" s="1"/>
    </row>
    <row r="962">
      <c r="A962" s="1"/>
      <c r="B962" s="1"/>
    </row>
    <row r="963">
      <c r="A963" s="1" t="str">
        <f>IFERROR(__xludf.DUMMYFUNCTION("""COMPUTED_VALUE"""),"ITI Mutual Fund")</f>
        <v>ITI Mutual Fund</v>
      </c>
      <c r="B963" s="1"/>
    </row>
    <row r="964">
      <c r="A964" s="1"/>
      <c r="B964" s="1"/>
    </row>
    <row r="965">
      <c r="A965" s="1" t="str">
        <f>IFERROR(__xludf.DUMMYFUNCTION("""COMPUTED_VALUE"""),"149030;INF00XX01BK7;INF00XX01BG5;ITI Dynamic Bond Fund - Direct Plan - Annually IDCW Option;11.2013;25-Aug-2023")</f>
        <v>149030;INF00XX01BK7;INF00XX01BG5;ITI Dynamic Bond Fund - Direct Plan - Annually IDCW Option;11.2013;25-Aug-2023</v>
      </c>
      <c r="B965" s="1"/>
    </row>
    <row r="966">
      <c r="A966" s="1" t="str">
        <f>IFERROR(__xludf.DUMMYFUNCTION("""COMPUTED_VALUE"""),"149029;INF00XX01BC4;-;ITI Dynamic Bond Fund - Direct Plan - Growth Option;11.2013;25-Aug-2023")</f>
        <v>149029;INF00XX01BC4;-;ITI Dynamic Bond Fund - Direct Plan - Growth Option;11.2013;25-Aug-2023</v>
      </c>
      <c r="B966" s="1"/>
    </row>
    <row r="967">
      <c r="A967" s="1" t="str">
        <f>IFERROR(__xludf.DUMMYFUNCTION("""COMPUTED_VALUE"""),"149028;INF00XX01BJ9;INF00XX01BF7;ITI Dynamic Bond Fund - Direct Plan - Half Yearly IDCW Option;11.2088;25-Aug-2023")</f>
        <v>149028;INF00XX01BJ9;INF00XX01BF7;ITI Dynamic Bond Fund - Direct Plan - Half Yearly IDCW Option;11.2088;25-Aug-2023</v>
      </c>
      <c r="B967" s="1"/>
    </row>
    <row r="968">
      <c r="A968" s="1" t="str">
        <f>IFERROR(__xludf.DUMMYFUNCTION("""COMPUTED_VALUE"""),"149023;INF00XX01BH3;INF00XX01BD2;ITI Dynamic Bond Fund - Direct Plan - Monthly IDCWOption;10.0567;25-Aug-2023")</f>
        <v>149023;INF00XX01BH3;INF00XX01BD2;ITI Dynamic Bond Fund - Direct Plan - Monthly IDCWOption;10.0567;25-Aug-2023</v>
      </c>
      <c r="B968" s="1"/>
    </row>
    <row r="969">
      <c r="A969" s="1" t="str">
        <f>IFERROR(__xludf.DUMMYFUNCTION("""COMPUTED_VALUE"""),"149025;INF00XX01BI1;INF00XX01BE0;ITI Dynamic Bond Fund - Direct Plan - Quarterly IDCW Option;11.2088;25-Aug-2023")</f>
        <v>149025;INF00XX01BI1;INF00XX01BE0;ITI Dynamic Bond Fund - Direct Plan - Quarterly IDCW Option;11.2088;25-Aug-2023</v>
      </c>
      <c r="B969" s="1"/>
    </row>
    <row r="970">
      <c r="A970" s="1" t="str">
        <f>IFERROR(__xludf.DUMMYFUNCTION("""COMPUTED_VALUE"""),"149027;INF00XX01BB6;INF00XX01AX2;ITI Dynamic Bond Fund - Regular Plan - Annually IDCWOption;10.9501;25-Aug-2023")</f>
        <v>149027;INF00XX01BB6;INF00XX01AX2;ITI Dynamic Bond Fund - Regular Plan - Annually IDCWOption;10.9501;25-Aug-2023</v>
      </c>
      <c r="B970" s="1"/>
    </row>
    <row r="971">
      <c r="A971" s="1" t="str">
        <f>IFERROR(__xludf.DUMMYFUNCTION("""COMPUTED_VALUE"""),"149021;INF00XX01AT0;-;ITI Dynamic Bond Fund - Regular Plan - Growth Option;10.9501;25-Aug-2023")</f>
        <v>149021;INF00XX01AT0;-;ITI Dynamic Bond Fund - Regular Plan - Growth Option;10.9501;25-Aug-2023</v>
      </c>
      <c r="B971" s="1"/>
    </row>
    <row r="972">
      <c r="A972" s="1" t="str">
        <f>IFERROR(__xludf.DUMMYFUNCTION("""COMPUTED_VALUE"""),"149026;INF00XX01BA8;INF00XX01AW4;ITI Dynamic Bond Fund - Regular Plan - Half Yearly IDCW Option;10.9510;25-Aug-2023")</f>
        <v>149026;INF00XX01BA8;INF00XX01AW4;ITI Dynamic Bond Fund - Regular Plan - Half Yearly IDCW Option;10.9510;25-Aug-2023</v>
      </c>
      <c r="B972" s="1"/>
    </row>
    <row r="973">
      <c r="A973" s="1" t="str">
        <f>IFERROR(__xludf.DUMMYFUNCTION("""COMPUTED_VALUE"""),"149022;INF00XX01AY0;INF00XX01AU8;ITI Dynamic Bond Fund - Regular Plan - Monthly IDCW Option;10.0480;25-Aug-2023")</f>
        <v>149022;INF00XX01AY0;INF00XX01AU8;ITI Dynamic Bond Fund - Regular Plan - Monthly IDCW Option;10.0480;25-Aug-2023</v>
      </c>
      <c r="B973" s="1"/>
    </row>
    <row r="974">
      <c r="A974" s="1" t="str">
        <f>IFERROR(__xludf.DUMMYFUNCTION("""COMPUTED_VALUE"""),"149024;INF00XX01AZ7;INF00XX01AV6;ITI Dynamic Bond Fund - Regular Plan - Quarterly IDCW Option;10.9503;25-Aug-2023")</f>
        <v>149024;INF00XX01AZ7;INF00XX01AV6;ITI Dynamic Bond Fund - Regular Plan - Quarterly IDCW Option;10.9503;25-Aug-2023</v>
      </c>
      <c r="B974" s="1"/>
    </row>
    <row r="975">
      <c r="A975" s="1"/>
      <c r="B975" s="1"/>
    </row>
    <row r="976">
      <c r="A976" s="1" t="str">
        <f>IFERROR(__xludf.DUMMYFUNCTION("""COMPUTED_VALUE"""),"JM Financial Mutual Fund")</f>
        <v>JM Financial Mutual Fund</v>
      </c>
      <c r="B976" s="1"/>
    </row>
    <row r="977">
      <c r="A977" s="1"/>
      <c r="B977" s="1"/>
    </row>
    <row r="978">
      <c r="A978" s="1" t="str">
        <f>IFERROR(__xludf.DUMMYFUNCTION("""COMPUTED_VALUE"""),"120432;-;INF192K01CZ8;JM Dynamic Bond Fund (Direct) - Daily IDCW;10.1078;25-Aug-2023")</f>
        <v>120432;-;INF192K01CZ8;JM Dynamic Bond Fund (Direct) - Daily IDCW;10.1078;25-Aug-2023</v>
      </c>
      <c r="B978" s="1"/>
    </row>
    <row r="979">
      <c r="A979" s="1" t="str">
        <f>IFERROR(__xludf.DUMMYFUNCTION("""COMPUTED_VALUE"""),"120434;INF192K01DB7;INF192K01DC5;JM Dynamic Bond Fund (Direct) - IDCW;38.2346;25-Aug-2023")</f>
        <v>120434;INF192K01DB7;INF192K01DC5;JM Dynamic Bond Fund (Direct) - IDCW;38.2346;25-Aug-2023</v>
      </c>
      <c r="B979" s="1"/>
    </row>
    <row r="980">
      <c r="A980" s="1" t="str">
        <f>IFERROR(__xludf.DUMMYFUNCTION("""COMPUTED_VALUE"""),"133414;INF192K01IL5;INF192K01IM3;JM Dynamic Bond Fund (Direct) - Monthly IDCW;38.5288;25-Aug-2023")</f>
        <v>133414;INF192K01IL5;INF192K01IM3;JM Dynamic Bond Fund (Direct) - Monthly IDCW;38.5288;25-Aug-2023</v>
      </c>
      <c r="B980" s="1"/>
    </row>
    <row r="981">
      <c r="A981" s="1" t="str">
        <f>IFERROR(__xludf.DUMMYFUNCTION("""COMPUTED_VALUE"""),"120433;-;INF192K01DA9;JM Dynamic Bond Fund (Direct) - Weekly IDCW;10.5619;25-Aug-2023")</f>
        <v>120433;-;INF192K01DA9;JM Dynamic Bond Fund (Direct) - Weekly IDCW;10.5619;25-Aug-2023</v>
      </c>
      <c r="B981" s="1"/>
    </row>
    <row r="982">
      <c r="A982" s="1" t="str">
        <f>IFERROR(__xludf.DUMMYFUNCTION("""COMPUTED_VALUE"""),"122323;INF192K01EX9;-;JM Dynamic Bond Fund (Regular) - Bonus Option - Principal Units;35.9387;25-Aug-2023")</f>
        <v>122323;INF192K01EX9;-;JM Dynamic Bond Fund (Regular) - Bonus Option - Principal Units;35.9387;25-Aug-2023</v>
      </c>
      <c r="B982" s="1"/>
    </row>
    <row r="983">
      <c r="A983" s="1" t="str">
        <f>IFERROR(__xludf.DUMMYFUNCTION("""COMPUTED_VALUE"""),"105639;-;INF192K01668;JM Dynamic Bond Fund (Regular) - Daily IDCW;10.0532;25-Aug-2023")</f>
        <v>105639;-;INF192K01668;JM Dynamic Bond Fund (Regular) - Daily IDCW;10.0532;25-Aug-2023</v>
      </c>
      <c r="B983" s="1"/>
    </row>
    <row r="984">
      <c r="A984" s="1" t="str">
        <f>IFERROR(__xludf.DUMMYFUNCTION("""COMPUTED_VALUE"""),"101806;INF192K01700;-;JM Dynamic Bond Fund (Regular) - Growth Option;35.9251;25-Aug-2023")</f>
        <v>101806;INF192K01700;-;JM Dynamic Bond Fund (Regular) - Growth Option;35.9251;25-Aug-2023</v>
      </c>
      <c r="B984" s="1"/>
    </row>
    <row r="985">
      <c r="A985" s="1" t="str">
        <f>IFERROR(__xludf.DUMMYFUNCTION("""COMPUTED_VALUE"""),"133389;INF192K01IN1;-;JM Dynamic Bond Fund (Regular) - Half Yearly Bonus Option - Principal Units;36.2357;25-Aug-2023")</f>
        <v>133389;INF192K01IN1;-;JM Dynamic Bond Fund (Regular) - Half Yearly Bonus Option - Principal Units;36.2357;25-Aug-2023</v>
      </c>
      <c r="B985" s="1"/>
    </row>
    <row r="986">
      <c r="A986" s="1" t="str">
        <f>IFERROR(__xludf.DUMMYFUNCTION("""COMPUTED_VALUE"""),"101805;INF192K01684;INF192K01692;JM Dynamic Bond Fund (Regular) - IDCW;36.0377;25-Aug-2023")</f>
        <v>101805;INF192K01684;INF192K01692;JM Dynamic Bond Fund (Regular) - IDCW;36.0377;25-Aug-2023</v>
      </c>
      <c r="B986" s="1"/>
    </row>
    <row r="987">
      <c r="A987" s="1" t="str">
        <f>IFERROR(__xludf.DUMMYFUNCTION("""COMPUTED_VALUE"""),"133390;INF192K01IJ9;INF192K01IK7;JM Dynamic Bond Fund (Regular) - Monthly IDCW;36.2088;25-Aug-2023")</f>
        <v>133390;INF192K01IJ9;INF192K01IK7;JM Dynamic Bond Fund (Regular) - Monthly IDCW;36.2088;25-Aug-2023</v>
      </c>
      <c r="B987" s="1"/>
    </row>
    <row r="988">
      <c r="A988" s="1" t="str">
        <f>IFERROR(__xludf.DUMMYFUNCTION("""COMPUTED_VALUE"""),"105637;-;INF192K01676;JM Dynamic Bond Fund (Regular) - Weekly IDCW;10.5530;25-Aug-2023")</f>
        <v>105637;-;INF192K01676;JM Dynamic Bond Fund (Regular) - Weekly IDCW;10.5530;25-Aug-2023</v>
      </c>
      <c r="B988" s="1"/>
    </row>
    <row r="989">
      <c r="A989" s="1" t="str">
        <f>IFERROR(__xludf.DUMMYFUNCTION("""COMPUTED_VALUE"""),"101807;INF192K01734;INF192K01742;JM Dynamic Bond Fund (Regular)- Premium Plan IDCW;10.2458;16-Mar-2021")</f>
        <v>101807;INF192K01734;INF192K01742;JM Dynamic Bond Fund (Regular)- Premium Plan IDCW;10.2458;16-Mar-2021</v>
      </c>
      <c r="B989" s="1"/>
    </row>
    <row r="990">
      <c r="A990" s="1" t="str">
        <f>IFERROR(__xludf.DUMMYFUNCTION("""COMPUTED_VALUE"""),"122315;INF192K01EZ4;-;JM Dynamic Bond Fund - (Direct) - Bonus Option-Principal Units;37.8907;25-Aug-2023")</f>
        <v>122315;INF192K01EZ4;-;JM Dynamic Bond Fund - (Direct) - Bonus Option-Principal Units;37.8907;25-Aug-2023</v>
      </c>
      <c r="B990" s="1"/>
    </row>
    <row r="991">
      <c r="A991" s="1" t="str">
        <f>IFERROR(__xludf.DUMMYFUNCTION("""COMPUTED_VALUE"""),"120435;INF192K01DD3;-;JM Dynamic Bond Fund - (Direct) - Growth Option;38.0303;25-Aug-2023")</f>
        <v>120435;INF192K01DD3;-;JM Dynamic Bond Fund - (Direct) - Growth Option;38.0303;25-Aug-2023</v>
      </c>
      <c r="B991" s="1"/>
    </row>
    <row r="992">
      <c r="A992" s="1" t="str">
        <f>IFERROR(__xludf.DUMMYFUNCTION("""COMPUTED_VALUE"""),"133388;INF192K01IP6;-;JM Dynamic Bond Fund - (Direct) - Half Yearly Bonus Option - Principal Units;38.2714;25-Aug-2023")</f>
        <v>133388;INF192K01IP6;-;JM Dynamic Bond Fund - (Direct) - Half Yearly Bonus Option - Principal Units;38.2714;25-Aug-2023</v>
      </c>
      <c r="B992" s="1"/>
    </row>
    <row r="993">
      <c r="A993" s="1" t="str">
        <f>IFERROR(__xludf.DUMMYFUNCTION("""COMPUTED_VALUE"""),"105638;-;INF192K01718;JM Dynamic Bond Fund - Premium Plan - Daily Dividend Option;10.0470;06-May-2020")</f>
        <v>105638;-;INF192K01718;JM Dynamic Bond Fund - Premium Plan - Daily Dividend Option;10.0470;06-May-2020</v>
      </c>
      <c r="B993" s="1"/>
    </row>
    <row r="994">
      <c r="A994" s="1" t="str">
        <f>IFERROR(__xludf.DUMMYFUNCTION("""COMPUTED_VALUE"""),"101808;INF192K01759;-;JM Dynamic Bond Fund - Premium Plan - Growth Option;29.1520;14-Jan-2020")</f>
        <v>101808;INF192K01759;-;JM Dynamic Bond Fund - Premium Plan - Growth Option;29.1520;14-Jan-2020</v>
      </c>
      <c r="B994" s="1"/>
    </row>
    <row r="995">
      <c r="A995" s="1"/>
      <c r="B995" s="1"/>
    </row>
    <row r="996">
      <c r="A996" s="1" t="str">
        <f>IFERROR(__xludf.DUMMYFUNCTION("""COMPUTED_VALUE"""),"Kotak Mahindra Mutual Fund")</f>
        <v>Kotak Mahindra Mutual Fund</v>
      </c>
      <c r="B996" s="1"/>
    </row>
    <row r="997">
      <c r="A997" s="1"/>
      <c r="B997" s="1"/>
    </row>
    <row r="998">
      <c r="A998" s="1" t="str">
        <f>IFERROR(__xludf.DUMMYFUNCTION("""COMPUTED_VALUE"""),"119753;INF174K01JX6;-;Kotak Dynamic Bond Fund - Direct Plan - Standard Income Distribution cum capital withdrawal option;12.1415;25-Aug-2023")</f>
        <v>119753;INF174K01JX6;-;Kotak Dynamic Bond Fund - Direct Plan - Standard Income Distribution cum capital withdrawal option;12.1415;25-Aug-2023</v>
      </c>
      <c r="B998" s="1"/>
    </row>
    <row r="999">
      <c r="A999" s="1" t="str">
        <f>IFERROR(__xludf.DUMMYFUNCTION("""COMPUTED_VALUE"""),"119755;INF174K01JU2;-;Kotak Dynamic Bond Fund - Growth - Direct;34.5943;25-Aug-2023")</f>
        <v>119755;INF174K01JU2;-;Kotak Dynamic Bond Fund - Growth - Direct;34.5943;25-Aug-2023</v>
      </c>
      <c r="B999" s="1"/>
    </row>
    <row r="1000">
      <c r="A1000" s="1" t="str">
        <f>IFERROR(__xludf.DUMMYFUNCTION("""COMPUTED_VALUE"""),"117998;INF174K01IY6;INF174K01IZ3;Kotak Dynamic Bond Fund Regular Plan - Standard Income Distribution cum capital withdrawal option;12.1251;25-Aug-2023")</f>
        <v>117998;INF174K01IY6;INF174K01IZ3;Kotak Dynamic Bond Fund Regular Plan - Standard Income Distribution cum capital withdrawal option;12.1251;25-Aug-2023</v>
      </c>
      <c r="B1000" s="1"/>
    </row>
    <row r="1001">
      <c r="A1001" s="1" t="str">
        <f>IFERROR(__xludf.DUMMYFUNCTION("""COMPUTED_VALUE"""),"108511;INF174K01FA2;-;Kotak Dynamic Bond Fund Regular Plan Growth;32.1837;25-Aug-2023")</f>
        <v>108511;INF174K01FA2;-;Kotak Dynamic Bond Fund Regular Plan Growth;32.1837;25-Aug-2023</v>
      </c>
      <c r="B1001" s="1"/>
    </row>
    <row r="1002">
      <c r="A1002" s="1"/>
      <c r="B1002" s="1"/>
    </row>
    <row r="1003">
      <c r="A1003" s="1" t="str">
        <f>IFERROR(__xludf.DUMMYFUNCTION("""COMPUTED_VALUE"""),"Mahindra Manulife Mutual Fund")</f>
        <v>Mahindra Manulife Mutual Fund</v>
      </c>
      <c r="B1003" s="1"/>
    </row>
    <row r="1004">
      <c r="A1004" s="1"/>
      <c r="B1004" s="1"/>
    </row>
    <row r="1005">
      <c r="A1005" s="1" t="str">
        <f>IFERROR(__xludf.DUMMYFUNCTION("""COMPUTED_VALUE"""),"144403;INF174V01580;-;Mahindra Manulife Dynamic Bond Fund - Direct Plan - Growth;13.1252;25-Aug-2023")</f>
        <v>144403;INF174V01580;-;Mahindra Manulife Dynamic Bond Fund - Direct Plan - Growth;13.1252;25-Aug-2023</v>
      </c>
      <c r="B1005" s="1"/>
    </row>
    <row r="1006">
      <c r="A1006" s="1" t="str">
        <f>IFERROR(__xludf.DUMMYFUNCTION("""COMPUTED_VALUE"""),"144406;INF174V01606;INF174V01598;Mahindra Manulife Dynamic Bond Fund - Direct Plan - IDCW;12.4227;25-Aug-2023")</f>
        <v>144406;INF174V01606;INF174V01598;Mahindra Manulife Dynamic Bond Fund - Direct Plan - IDCW;12.4227;25-Aug-2023</v>
      </c>
      <c r="B1006" s="1"/>
    </row>
    <row r="1007">
      <c r="A1007" s="1" t="str">
        <f>IFERROR(__xludf.DUMMYFUNCTION("""COMPUTED_VALUE"""),"144404;INF174V01622;INF174V01614;Mahindra Manulife Dynamic Bond Fund - Direct Plan - Quarterly IDCW;11.1126;25-Aug-2023")</f>
        <v>144404;INF174V01622;INF174V01614;Mahindra Manulife Dynamic Bond Fund - Direct Plan - Quarterly IDCW;11.1126;25-Aug-2023</v>
      </c>
      <c r="B1007" s="1"/>
    </row>
    <row r="1008">
      <c r="A1008" s="1" t="str">
        <f>IFERROR(__xludf.DUMMYFUNCTION("""COMPUTED_VALUE"""),"144401;INF174V01531;-;Mahindra Manulife Dynamic Bond Fund - Regular Plan - Growth;12.4217;25-Aug-2023")</f>
        <v>144401;INF174V01531;-;Mahindra Manulife Dynamic Bond Fund - Regular Plan - Growth;12.4217;25-Aug-2023</v>
      </c>
      <c r="B1008" s="1"/>
    </row>
    <row r="1009">
      <c r="A1009" s="1" t="str">
        <f>IFERROR(__xludf.DUMMYFUNCTION("""COMPUTED_VALUE"""),"144405;INF174V01556;INF174V01549;Mahindra Manulife Dynamic Bond Fund - Regular Plan - IDCW;11.7429;25-Aug-2023")</f>
        <v>144405;INF174V01556;INF174V01549;Mahindra Manulife Dynamic Bond Fund - Regular Plan - IDCW;11.7429;25-Aug-2023</v>
      </c>
      <c r="B1009" s="1"/>
    </row>
    <row r="1010">
      <c r="A1010" s="1" t="str">
        <f>IFERROR(__xludf.DUMMYFUNCTION("""COMPUTED_VALUE"""),"144402;INF174V01572;INF174V01564;Mahindra Manulife Dynamic Bond Fund - Regular Plan - Quarterly IDCW;10.4681;25-Aug-2023")</f>
        <v>144402;INF174V01572;INF174V01564;Mahindra Manulife Dynamic Bond Fund - Regular Plan - Quarterly IDCW;10.4681;25-Aug-2023</v>
      </c>
      <c r="B1010" s="1"/>
    </row>
    <row r="1011">
      <c r="A1011" s="1"/>
      <c r="B1011" s="1"/>
    </row>
    <row r="1012">
      <c r="A1012" s="1" t="str">
        <f>IFERROR(__xludf.DUMMYFUNCTION("""COMPUTED_VALUE"""),"Mirae Asset Mutual Fund")</f>
        <v>Mirae Asset Mutual Fund</v>
      </c>
      <c r="B1012" s="1"/>
    </row>
    <row r="1013">
      <c r="A1013" s="1"/>
      <c r="B1013" s="1"/>
    </row>
    <row r="1014">
      <c r="A1014" s="1" t="str">
        <f>IFERROR(__xludf.DUMMYFUNCTION("""COMPUTED_VALUE"""),"140769;INF769K01DR8;-;Mirae Asset Dynamic Bond Fund -Direct Plan -Growth;15.2899;25-Aug-2023")</f>
        <v>140769;INF769K01DR8;-;Mirae Asset Dynamic Bond Fund -Direct Plan -Growth;15.2899;25-Aug-2023</v>
      </c>
      <c r="B1014" s="1"/>
    </row>
    <row r="1015">
      <c r="A1015" s="1" t="str">
        <f>IFERROR(__xludf.DUMMYFUNCTION("""COMPUTED_VALUE"""),"140770;INF769K01DS6;INF769K01DT4;Mirae Asset Dynamic Bond Fund Direct IDCW;15.2873;25-Aug-2023")</f>
        <v>140770;INF769K01DS6;INF769K01DT4;Mirae Asset Dynamic Bond Fund Direct IDCW;15.2873;25-Aug-2023</v>
      </c>
      <c r="B1015" s="1"/>
    </row>
    <row r="1016">
      <c r="A1016" s="1" t="str">
        <f>IFERROR(__xludf.DUMMYFUNCTION("""COMPUTED_VALUE"""),"140772;INF769K01DP2;INF769K01DQ0;Mirae Asset Dynamic Bond Fund Regular IDCW;14.2179;25-Aug-2023")</f>
        <v>140772;INF769K01DP2;INF769K01DQ0;Mirae Asset Dynamic Bond Fund Regular IDCW;14.2179;25-Aug-2023</v>
      </c>
      <c r="B1016" s="1"/>
    </row>
    <row r="1017">
      <c r="A1017" s="1" t="str">
        <f>IFERROR(__xludf.DUMMYFUNCTION("""COMPUTED_VALUE"""),"140771;INF769K01DO5;-;Mirae Asset Dynamic Bond Fund-Regular Plan Growth;14.2180;25-Aug-2023")</f>
        <v>140771;INF769K01DO5;-;Mirae Asset Dynamic Bond Fund-Regular Plan Growth;14.2180;25-Aug-2023</v>
      </c>
      <c r="B1017" s="1"/>
    </row>
    <row r="1018">
      <c r="A1018" s="1"/>
      <c r="B1018" s="1"/>
    </row>
    <row r="1019">
      <c r="A1019" s="1" t="str">
        <f>IFERROR(__xludf.DUMMYFUNCTION("""COMPUTED_VALUE"""),"Nippon India Mutual Fund")</f>
        <v>Nippon India Mutual Fund</v>
      </c>
      <c r="B1019" s="1"/>
    </row>
    <row r="1020">
      <c r="A1020" s="1"/>
      <c r="B1020" s="1"/>
    </row>
    <row r="1021">
      <c r="A1021" s="1" t="str">
        <f>IFERROR(__xludf.DUMMYFUNCTION("""COMPUTED_VALUE"""),"118750;INF204K01A33;INF204K01A41;NIPPON INDIA DYNAMIC BOND FUND - Direct Plan - IDCW Option;24.6954;25-Aug-2023")</f>
        <v>118750;INF204K01A33;INF204K01A41;NIPPON INDIA DYNAMIC BOND FUND - Direct Plan - IDCW Option;24.6954;25-Aug-2023</v>
      </c>
      <c r="B1021" s="1"/>
    </row>
    <row r="1022">
      <c r="A1022" s="1" t="str">
        <f>IFERROR(__xludf.DUMMYFUNCTION("""COMPUTED_VALUE"""),"118749;INF204K01A58;INF204K01A66;NIPPON INDIA DYNAMIC BOND FUND - Direct Plan - QUARTERLY IDCW Option;10.3053;25-Aug-2023")</f>
        <v>118749;INF204K01A58;INF204K01A66;NIPPON INDIA DYNAMIC BOND FUND - Direct Plan - QUARTERLY IDCW Option;10.3053;25-Aug-2023</v>
      </c>
      <c r="B1022" s="1"/>
    </row>
    <row r="1023">
      <c r="A1023" s="1" t="str">
        <f>IFERROR(__xludf.DUMMYFUNCTION("""COMPUTED_VALUE"""),"118747;INF204K01A25;-;Nippon India Dynamic Bond Fund - Direct Plan Growth Plan - Growth Option;34.1815;25-Aug-2023")</f>
        <v>118747;INF204K01A25;-;Nippon India Dynamic Bond Fund - Direct Plan Growth Plan - Growth Option;34.1815;25-Aug-2023</v>
      </c>
      <c r="B1023" s="1"/>
    </row>
    <row r="1024">
      <c r="A1024" s="1" t="str">
        <f>IFERROR(__xludf.DUMMYFUNCTION("""COMPUTED_VALUE"""),"102851;INF204K01FJ8;INF204K01FK6;NIPPON INDIA DYNAMIC BOND FUND - IDCW Option;21.5859;25-Aug-2023")</f>
        <v>102851;INF204K01FJ8;INF204K01FK6;NIPPON INDIA DYNAMIC BOND FUND - IDCW Option;21.5859;25-Aug-2023</v>
      </c>
      <c r="B1024" s="1"/>
    </row>
    <row r="1025">
      <c r="A1025" s="1" t="str">
        <f>IFERROR(__xludf.DUMMYFUNCTION("""COMPUTED_VALUE"""),"117974;INF204K01XB8;INF204K01XC6;NIPPON INDIA DYNAMIC BOND FUND - QUARTERLY IDCW Option;10.2057;25-Aug-2023")</f>
        <v>117974;INF204K01XB8;INF204K01XC6;NIPPON INDIA DYNAMIC BOND FUND - QUARTERLY IDCW Option;10.2057;25-Aug-2023</v>
      </c>
      <c r="B1025" s="1"/>
    </row>
    <row r="1026">
      <c r="A1026" s="1" t="str">
        <f>IFERROR(__xludf.DUMMYFUNCTION("""COMPUTED_VALUE"""),"102849;INF204K01FI0;-;Nippon India Dynamic Bond Fund-Growth Plan-Growth Option;32.0922;25-Aug-2023")</f>
        <v>102849;INF204K01FI0;-;Nippon India Dynamic Bond Fund-Growth Plan-Growth Option;32.0922;25-Aug-2023</v>
      </c>
      <c r="B1026" s="1"/>
    </row>
    <row r="1027">
      <c r="A1027" s="1"/>
      <c r="B1027" s="1"/>
    </row>
    <row r="1028">
      <c r="A1028" s="1" t="str">
        <f>IFERROR(__xludf.DUMMYFUNCTION("""COMPUTED_VALUE"""),"PGIM India Mutual Fund")</f>
        <v>PGIM India Mutual Fund</v>
      </c>
      <c r="B1028" s="1"/>
    </row>
    <row r="1029">
      <c r="A1029" s="1"/>
      <c r="B1029" s="1"/>
    </row>
    <row r="1030">
      <c r="A1030" s="1" t="str">
        <f>IFERROR(__xludf.DUMMYFUNCTION("""COMPUTED_VALUE"""),"120084;INF663L01AD7;-;PGIM India Dynamic Bond Fund - Direct Plan-Growth Option;2528.3161;25-Aug-2023")</f>
        <v>120084;INF663L01AD7;-;PGIM India Dynamic Bond Fund - Direct Plan-Growth Option;2528.3161;25-Aug-2023</v>
      </c>
      <c r="B1030" s="1"/>
    </row>
    <row r="1031">
      <c r="A1031" s="1" t="str">
        <f>IFERROR(__xludf.DUMMYFUNCTION("""COMPUTED_VALUE"""),"120085;INF663L01AF2;INF663L01AE5;PGIM India Dynamic Bond Fund - Direct Plan-Monthly Dividend Option;1564.4811;05-Mar-2021")</f>
        <v>120085;INF663L01AF2;INF663L01AE5;PGIM India Dynamic Bond Fund - Direct Plan-Monthly Dividend Option;1564.4811;05-Mar-2021</v>
      </c>
      <c r="B1031" s="1"/>
    </row>
    <row r="1032">
      <c r="A1032" s="1" t="str">
        <f>IFERROR(__xludf.DUMMYFUNCTION("""COMPUTED_VALUE"""),"120086;INF663L01AI6;INF663L01AH8;PGIM India Dynamic Bond Fund - Direct Plan-Quarterly Dividend Option;1186.9509;25-Aug-2023")</f>
        <v>120086;INF663L01AI6;INF663L01AH8;PGIM India Dynamic Bond Fund - Direct Plan-Quarterly Dividend Option;1186.9509;25-Aug-2023</v>
      </c>
      <c r="B1032" s="1"/>
    </row>
    <row r="1033">
      <c r="A1033" s="1" t="str">
        <f>IFERROR(__xludf.DUMMYFUNCTION("""COMPUTED_VALUE"""),"116483;INF663L01492;INF663L01500;PGIM India Dynamic Bond Fund - Dividend Option - Monthly;1075.7507;05-Mar-2021")</f>
        <v>116483;INF663L01492;INF663L01500;PGIM India Dynamic Bond Fund - Dividend Option - Monthly;1075.7507;05-Mar-2021</v>
      </c>
      <c r="B1033" s="1"/>
    </row>
    <row r="1034">
      <c r="A1034" s="1" t="str">
        <f>IFERROR(__xludf.DUMMYFUNCTION("""COMPUTED_VALUE"""),"116484;INF663L01526;INF663L01534;PGIM India Dynamic Bond Fund - Dividend Option - Quarterly;1084.1466;25-Aug-2023")</f>
        <v>116484;INF663L01526;INF663L01534;PGIM India Dynamic Bond Fund - Dividend Option - Quarterly;1084.1466;25-Aug-2023</v>
      </c>
      <c r="B1034" s="1"/>
    </row>
    <row r="1035">
      <c r="A1035" s="1" t="str">
        <f>IFERROR(__xludf.DUMMYFUNCTION("""COMPUTED_VALUE"""),"116485;INF663L01484;-;PGIM India Dynamic Bond Fund - Growth Option;2278.9546;25-Aug-2023")</f>
        <v>116485;INF663L01484;-;PGIM India Dynamic Bond Fund - Growth Option;2278.9546;25-Aug-2023</v>
      </c>
      <c r="B1035" s="1"/>
    </row>
    <row r="1036">
      <c r="A1036" s="1" t="str">
        <f>IFERROR(__xludf.DUMMYFUNCTION("""COMPUTED_VALUE"""),"122260;INF663L01BF0;-;PGIM India Dynamic Bond Fund-Bonus Option;1631.8015;21-Jun-2017")</f>
        <v>122260;INF663L01BF0;-;PGIM India Dynamic Bond Fund-Bonus Option;1631.8015;21-Jun-2017</v>
      </c>
      <c r="B1036" s="1"/>
    </row>
    <row r="1037">
      <c r="A1037" s="1"/>
      <c r="B1037" s="1"/>
    </row>
    <row r="1038">
      <c r="A1038" s="1" t="str">
        <f>IFERROR(__xludf.DUMMYFUNCTION("""COMPUTED_VALUE"""),"Quantum Mutual Fund")</f>
        <v>Quantum Mutual Fund</v>
      </c>
      <c r="B1038" s="1"/>
    </row>
    <row r="1039">
      <c r="A1039" s="1"/>
      <c r="B1039" s="1"/>
    </row>
    <row r="1040">
      <c r="A1040" s="1" t="str">
        <f>IFERROR(__xludf.DUMMYFUNCTION("""COMPUTED_VALUE"""),"134494;INF082J01176;-;Quantum Dynamic Bond Fund - Direct Plan Growth Option;18.5467;25-Aug-2023")</f>
        <v>134494;INF082J01176;-;Quantum Dynamic Bond Fund - Direct Plan Growth Option;18.5467;25-Aug-2023</v>
      </c>
      <c r="B1040" s="1"/>
    </row>
    <row r="1041">
      <c r="A1041" s="1" t="str">
        <f>IFERROR(__xludf.DUMMYFUNCTION("""COMPUTED_VALUE"""),"134493;INF082J01184;INF082J01192;Quantum Dynamic Bond Fund - Direct Plan Monthly IDCW;10.2204;25-Aug-2023")</f>
        <v>134493;INF082J01184;INF082J01192;Quantum Dynamic Bond Fund - Direct Plan Monthly IDCW;10.2204;25-Aug-2023</v>
      </c>
      <c r="B1041" s="1"/>
    </row>
    <row r="1042">
      <c r="A1042" s="1" t="str">
        <f>IFERROR(__xludf.DUMMYFUNCTION("""COMPUTED_VALUE"""),"141061;INF082J01218;-;Quantum Dynamic Bond Fund - Regular Plan Growth Option;18.4070;25-Aug-2023")</f>
        <v>141061;INF082J01218;-;Quantum Dynamic Bond Fund - Regular Plan Growth Option;18.4070;25-Aug-2023</v>
      </c>
      <c r="B1042" s="1"/>
    </row>
    <row r="1043">
      <c r="A1043" s="1" t="str">
        <f>IFERROR(__xludf.DUMMYFUNCTION("""COMPUTED_VALUE"""),"141060;INF082J01226;INF082J01234;Quantum Dynamic Bond Fund - Regular Plan Monthly IDCW;10.2882;25-Aug-2023")</f>
        <v>141060;INF082J01226;INF082J01234;Quantum Dynamic Bond Fund - Regular Plan Monthly IDCW;10.2882;25-Aug-2023</v>
      </c>
      <c r="B1043" s="1"/>
    </row>
    <row r="1044">
      <c r="A1044" s="1"/>
      <c r="B1044" s="1"/>
    </row>
    <row r="1045">
      <c r="A1045" s="1" t="str">
        <f>IFERROR(__xludf.DUMMYFUNCTION("""COMPUTED_VALUE"""),"SBI Mutual Fund")</f>
        <v>SBI Mutual Fund</v>
      </c>
      <c r="B1045" s="1"/>
    </row>
    <row r="1046">
      <c r="A1046" s="1"/>
      <c r="B1046" s="1"/>
    </row>
    <row r="1047">
      <c r="A1047" s="1" t="str">
        <f>IFERROR(__xludf.DUMMYFUNCTION("""COMPUTED_VALUE"""),"119671;INF200K01RD4;-;SBI Dynamic Bond Fund - DIRECT PLAN - Growth;33.3314;25-Aug-2023")</f>
        <v>119671;INF200K01RD4;-;SBI Dynamic Bond Fund - DIRECT PLAN - Growth;33.3314;25-Aug-2023</v>
      </c>
      <c r="B1047" s="1"/>
    </row>
    <row r="1048">
      <c r="A1048" s="1" t="str">
        <f>IFERROR(__xludf.DUMMYFUNCTION("""COMPUTED_VALUE"""),"119670;INF200K01RB8;INF200K01RC6;SBI Dynamic Bond Fund - Direct Plan - Income Distribution cum Capital Withdrawal Option (IDCW);18.6176;25-Aug-2023")</f>
        <v>119670;INF200K01RB8;INF200K01RC6;SBI Dynamic Bond Fund - Direct Plan - Income Distribution cum Capital Withdrawal Option (IDCW);18.6176;25-Aug-2023</v>
      </c>
      <c r="B1048" s="1"/>
    </row>
    <row r="1049">
      <c r="A1049" s="1" t="str">
        <f>IFERROR(__xludf.DUMMYFUNCTION("""COMPUTED_VALUE"""),"102205;INF200K01958;-;SBI Dynamic Bond Fund - REGULAR PLAN - Growth;30.9310;25-Aug-2023")</f>
        <v>102205;INF200K01958;-;SBI Dynamic Bond Fund - REGULAR PLAN - Growth;30.9310;25-Aug-2023</v>
      </c>
      <c r="B1049" s="1"/>
    </row>
    <row r="1050">
      <c r="A1050" s="1" t="str">
        <f>IFERROR(__xludf.DUMMYFUNCTION("""COMPUTED_VALUE"""),"102206;INF200K01966;INF200K01974;SBI Dynamic Bond Fund - Regular Plan - Income Distribution cum Capital Withdrawal Option (IDCW);16.2157;25-Aug-2023")</f>
        <v>102206;INF200K01966;INF200K01974;SBI Dynamic Bond Fund - Regular Plan - Income Distribution cum Capital Withdrawal Option (IDCW);16.2157;25-Aug-2023</v>
      </c>
      <c r="B1050" s="1"/>
    </row>
    <row r="1051">
      <c r="A1051" s="1"/>
      <c r="B1051" s="1"/>
    </row>
    <row r="1052">
      <c r="A1052" s="1" t="str">
        <f>IFERROR(__xludf.DUMMYFUNCTION("""COMPUTED_VALUE"""),"Tata Mutual Fund")</f>
        <v>Tata Mutual Fund</v>
      </c>
      <c r="B1052" s="1"/>
    </row>
    <row r="1053">
      <c r="A1053" s="1"/>
      <c r="B1053" s="1"/>
    </row>
    <row r="1054">
      <c r="A1054" s="1" t="str">
        <f>IFERROR(__xludf.DUMMYFUNCTION("""COMPUTED_VALUE"""),"119097;INF277K01MV5;-;Tata Dynamic Bond Fund- Direct Plan-Growth Option;38.2366;23-Sep-2022")</f>
        <v>119097;INF277K01MV5;-;Tata Dynamic Bond Fund- Direct Plan-Growth Option;38.2366;23-Sep-2022</v>
      </c>
      <c r="B1054" s="1"/>
    </row>
    <row r="1055">
      <c r="A1055" s="1" t="str">
        <f>IFERROR(__xludf.DUMMYFUNCTION("""COMPUTED_VALUE"""),"101909;INF277K01360;-;Tata Dynamic Bond Fund- Regular Plan - Growth Option;34.9217;23-Sep-2022")</f>
        <v>101909;INF277K01360;-;Tata Dynamic Bond Fund- Regular Plan - Growth Option;34.9217;23-Sep-2022</v>
      </c>
      <c r="B1055" s="1"/>
    </row>
    <row r="1056">
      <c r="A1056" s="1" t="str">
        <f>IFERROR(__xludf.DUMMYFUNCTION("""COMPUTED_VALUE"""),"101224;INF277K01DE0;INF277K01352;Tata Dynamic Bond Fund- Regular Plan - Payout of IDCW Option;20.1116;23-Sep-2022")</f>
        <v>101224;INF277K01DE0;INF277K01352;Tata Dynamic Bond Fund- Regular Plan - Payout of IDCW Option;20.1116;23-Sep-2022</v>
      </c>
      <c r="B1056" s="1"/>
    </row>
    <row r="1057">
      <c r="A1057" s="1" t="str">
        <f>IFERROR(__xludf.DUMMYFUNCTION("""COMPUTED_VALUE"""),"119098;INF277K01MT9;INF277K01MU7;Tata Dynamic Bond- Direct Plan - Payout of IDCW Option;22.6907;23-Sep-2022")</f>
        <v>119098;INF277K01MT9;INF277K01MU7;Tata Dynamic Bond- Direct Plan - Payout of IDCW Option;22.6907;23-Sep-2022</v>
      </c>
      <c r="B1057" s="1"/>
    </row>
    <row r="1058">
      <c r="A1058" s="1"/>
      <c r="B1058" s="1"/>
    </row>
    <row r="1059">
      <c r="A1059" s="1" t="str">
        <f>IFERROR(__xludf.DUMMYFUNCTION("""COMPUTED_VALUE"""),"Union Mutual Fund")</f>
        <v>Union Mutual Fund</v>
      </c>
      <c r="B1059" s="1"/>
    </row>
    <row r="1060">
      <c r="A1060" s="1"/>
      <c r="B1060" s="1"/>
    </row>
    <row r="1061">
      <c r="A1061" s="1" t="str">
        <f>IFERROR(__xludf.DUMMYFUNCTION("""COMPUTED_VALUE"""),"119311;INF582M01799;-;Union Dynamic Bond Fund - Direct Plan - Growth Option;21.2935;25-Aug-2023")</f>
        <v>119311;INF582M01799;-;Union Dynamic Bond Fund - Direct Plan - Growth Option;21.2935;25-Aug-2023</v>
      </c>
      <c r="B1061" s="1"/>
    </row>
    <row r="1062">
      <c r="A1062" s="1" t="str">
        <f>IFERROR(__xludf.DUMMYFUNCTION("""COMPUTED_VALUE"""),"119310;INF582M01815;INF582M01807;Union Dynamic Bond Fund - Direct Plan - IDCW Option;14.2633;25-Aug-2023")</f>
        <v>119310;INF582M01815;INF582M01807;Union Dynamic Bond Fund - Direct Plan - IDCW Option;14.2633;25-Aug-2023</v>
      </c>
      <c r="B1062" s="1"/>
    </row>
    <row r="1063">
      <c r="A1063" s="1" t="str">
        <f>IFERROR(__xludf.DUMMYFUNCTION("""COMPUTED_VALUE"""),"116555;INF582M01336;-;Union Dynamic Bond Fund - Growth Option;20.2592;25-Aug-2023")</f>
        <v>116555;INF582M01336;-;Union Dynamic Bond Fund - Growth Option;20.2592;25-Aug-2023</v>
      </c>
      <c r="B1063" s="1"/>
    </row>
    <row r="1064">
      <c r="A1064" s="1" t="str">
        <f>IFERROR(__xludf.DUMMYFUNCTION("""COMPUTED_VALUE"""),"116556;INF582M01351;INF582M01344;Union Dynamic Bond Fund - IDCW Option;13.5070;25-Aug-2023")</f>
        <v>116556;INF582M01351;INF582M01344;Union Dynamic Bond Fund - IDCW Option;13.5070;25-Aug-2023</v>
      </c>
      <c r="B1064" s="1"/>
    </row>
    <row r="1065">
      <c r="A1065" s="1"/>
      <c r="B1065" s="1"/>
    </row>
    <row r="1066">
      <c r="A1066" s="1" t="str">
        <f>IFERROR(__xludf.DUMMYFUNCTION("""COMPUTED_VALUE"""),"UTI Mutual Fund")</f>
        <v>UTI Mutual Fund</v>
      </c>
      <c r="B1066" s="1"/>
    </row>
    <row r="1067">
      <c r="A1067" s="1"/>
      <c r="B1067" s="1"/>
    </row>
    <row r="1068">
      <c r="A1068" s="1" t="str">
        <f>IFERROR(__xludf.DUMMYFUNCTION("""COMPUTED_VALUE"""),"148118;INF789F1APX7;-;UTI - Dynamic Bond Fund (Segregated - 17022020) - Direct Plan - Growth Option;1.3473;27-Jan-2022")</f>
        <v>148118;INF789F1APX7;-;UTI - Dynamic Bond Fund (Segregated - 17022020) - Direct Plan - Growth Option;1.3473;27-Jan-2022</v>
      </c>
      <c r="B1068" s="1"/>
    </row>
    <row r="1069">
      <c r="A1069" s="1" t="str">
        <f>IFERROR(__xludf.DUMMYFUNCTION("""COMPUTED_VALUE"""),"148117;INF789F1APO6;-;UTI - Dynamic Bond Fund (Segregated - 17022020) - Regular Plan - Growth Option;1.2708;27-Jan-2022")</f>
        <v>148117;INF789F1APO6;-;UTI - Dynamic Bond Fund (Segregated - 17022020) - Regular Plan - Growth Option;1.2708;27-Jan-2022</v>
      </c>
      <c r="B1069" s="1"/>
    </row>
    <row r="1070">
      <c r="A1070" s="1" t="str">
        <f>IFERROR(__xludf.DUMMYFUNCTION("""COMPUTED_VALUE"""),"148125;INF789F1AQC9;INF789F1AQD7;UTI Dynamic Bond Fund ( Segregated - 17022020 ) - Direct Plan - Annual IDCW;0.7238;27-Jan-2022")</f>
        <v>148125;INF789F1AQC9;INF789F1AQD7;UTI Dynamic Bond Fund ( Segregated - 17022020 ) - Direct Plan - Annual IDCW;0.7238;27-Jan-2022</v>
      </c>
      <c r="B1070" s="1"/>
    </row>
    <row r="1071">
      <c r="A1071" s="1" t="str">
        <f>IFERROR(__xludf.DUMMYFUNCTION("""COMPUTED_VALUE"""),"148124;INF789F1AQE5;INF789F1AQF2;UTI Dynamic Bond Fund ( Segregated - 17022020 ) - Direct Plan - Flexi IDCW;0.7329;27-Jan-2022")</f>
        <v>148124;INF789F1AQE5;INF789F1AQF2;UTI Dynamic Bond Fund ( Segregated - 17022020 ) - Direct Plan - Flexi IDCW;0.7329;27-Jan-2022</v>
      </c>
      <c r="B1071" s="1"/>
    </row>
    <row r="1072">
      <c r="A1072" s="1" t="str">
        <f>IFERROR(__xludf.DUMMYFUNCTION("""COMPUTED_VALUE"""),"148120;INF789F1AQA3;INF789F1AQB1;UTI Dynamic Bond Fund ( Segregated - 17022020 ) - Direct Plan - Half-Yearly IDCW;0.7258;27-Jan-2022")</f>
        <v>148120;INF789F1AQA3;INF789F1AQB1;UTI Dynamic Bond Fund ( Segregated - 17022020 ) - Direct Plan - Half-Yearly IDCW;0.7258;27-Jan-2022</v>
      </c>
      <c r="B1072" s="1"/>
    </row>
    <row r="1073">
      <c r="A1073" s="1" t="str">
        <f>IFERROR(__xludf.DUMMYFUNCTION("""COMPUTED_VALUE"""),"148121;INF789F1APY5;INF789F1APZ2;UTI Dynamic Bond Fund ( Segregated - 17022020 ) - Direct Plan - Quarterly IDCW;1.0369;27-Jan-2022")</f>
        <v>148121;INF789F1APY5;INF789F1APZ2;UTI Dynamic Bond Fund ( Segregated - 17022020 ) - Direct Plan - Quarterly IDCW;1.0369;27-Jan-2022</v>
      </c>
      <c r="B1073" s="1"/>
    </row>
    <row r="1074">
      <c r="A1074" s="1" t="str">
        <f>IFERROR(__xludf.DUMMYFUNCTION("""COMPUTED_VALUE"""),"148122;INF789F1APT5;INF789F1APU3;UTI Dynamic Bond Fund ( Segregated - 17022020 ) - Regular Plan - Annual IDCW;0.6989;27-Jan-2022")</f>
        <v>148122;INF789F1APT5;INF789F1APU3;UTI Dynamic Bond Fund ( Segregated - 17022020 ) - Regular Plan - Annual IDCW;0.6989;27-Jan-2022</v>
      </c>
      <c r="B1074" s="1"/>
    </row>
    <row r="1075">
      <c r="A1075" s="1" t="str">
        <f>IFERROR(__xludf.DUMMYFUNCTION("""COMPUTED_VALUE"""),"148123;INF789F1APV1;INF789F1APW9;UTI Dynamic Bond Fund ( Segregated - 17022020 ) - Regular Plan - Flexi IDCW;0.7036;27-Jan-2022")</f>
        <v>148123;INF789F1APV1;INF789F1APW9;UTI Dynamic Bond Fund ( Segregated - 17022020 ) - Regular Plan - Flexi IDCW;0.7036;27-Jan-2022</v>
      </c>
      <c r="B1075" s="1"/>
    </row>
    <row r="1076">
      <c r="A1076" s="1" t="str">
        <f>IFERROR(__xludf.DUMMYFUNCTION("""COMPUTED_VALUE"""),"148119;INF789F1APR9;INF789F1APS7;UTI Dynamic Bond Fund ( Segregated - 17022020 ) - Regular Plan - Half-Yearly IDCW;0.6896;27-Jan-2022")</f>
        <v>148119;INF789F1APR9;INF789F1APS7;UTI Dynamic Bond Fund ( Segregated - 17022020 ) - Regular Plan - Half-Yearly IDCW;0.6896;27-Jan-2022</v>
      </c>
      <c r="B1076" s="1"/>
    </row>
    <row r="1077">
      <c r="A1077" s="1" t="str">
        <f>IFERROR(__xludf.DUMMYFUNCTION("""COMPUTED_VALUE"""),"148126;INF789F1APP3;INF789F1APQ1;UTI Dynamic Bond Fund ( Segregated - 17022020 ) - Regular Plan - Quarterly IDCW;0.7527;27-Jan-2022")</f>
        <v>148126;INF789F1APP3;INF789F1APQ1;UTI Dynamic Bond Fund ( Segregated - 17022020 ) - Regular Plan - Quarterly IDCW;0.7527;27-Jan-2022</v>
      </c>
      <c r="B1077" s="1"/>
    </row>
    <row r="1078">
      <c r="A1078" s="1" t="str">
        <f>IFERROR(__xludf.DUMMYFUNCTION("""COMPUTED_VALUE"""),"135536;INF789FA1S65;INF789FA1S73;UTI Dynamic Bond Fund - Direct Plan - Annual IDCW;13.3383;25-Aug-2023")</f>
        <v>135536;INF789FA1S65;INF789FA1S73;UTI Dynamic Bond Fund - Direct Plan - Annual IDCW;13.3383;25-Aug-2023</v>
      </c>
      <c r="B1078" s="1"/>
    </row>
    <row r="1079">
      <c r="A1079" s="1" t="str">
        <f>IFERROR(__xludf.DUMMYFUNCTION("""COMPUTED_VALUE"""),"133180;INF789FA1S81;INF789FA1S99;UTI Dynamic Bond Fund - Direct Plan - Flexi IDCW;14.4017;25-Aug-2023")</f>
        <v>133180;INF789FA1S81;INF789FA1S99;UTI Dynamic Bond Fund - Direct Plan - Flexi IDCW;14.4017;25-Aug-2023</v>
      </c>
      <c r="B1079" s="1"/>
    </row>
    <row r="1080">
      <c r="A1080" s="1" t="str">
        <f>IFERROR(__xludf.DUMMYFUNCTION("""COMPUTED_VALUE"""),"120762;INF789F01XD4;-;UTI Dynamic Bond Fund - Direct Plan - Growth Option;28.6972;25-Aug-2023")</f>
        <v>120762;INF789F01XD4;-;UTI Dynamic Bond Fund - Direct Plan - Growth Option;28.6972;25-Aug-2023</v>
      </c>
      <c r="B1080" s="1"/>
    </row>
    <row r="1081">
      <c r="A1081" s="1" t="str">
        <f>IFERROR(__xludf.DUMMYFUNCTION("""COMPUTED_VALUE"""),"134788;INF789FA1S40;INF789FA1S57;UTI Dynamic Bond Fund - Direct Plan - Half-Yearly IDCW;14.126;25-Aug-2023")</f>
        <v>134788;INF789FA1S40;INF789FA1S57;UTI Dynamic Bond Fund - Direct Plan - Half-Yearly IDCW;14.126;25-Aug-2023</v>
      </c>
      <c r="B1081" s="1"/>
    </row>
    <row r="1082">
      <c r="A1082" s="1" t="str">
        <f>IFERROR(__xludf.DUMMYFUNCTION("""COMPUTED_VALUE"""),"120763;INF789F01XB8;INF789F01XC6;UTI Dynamic Bond Fund - Direct Plan - Quarterly IDCW;22.0837;25-Aug-2023")</f>
        <v>120763;INF789F01XB8;INF789F01XC6;UTI Dynamic Bond Fund - Direct Plan - Quarterly IDCW;22.0837;25-Aug-2023</v>
      </c>
      <c r="B1082" s="1"/>
    </row>
    <row r="1083">
      <c r="A1083" s="1" t="str">
        <f>IFERROR(__xludf.DUMMYFUNCTION("""COMPUTED_VALUE"""),"133852;INF789FA1S08;INF789FA1S16;UTI Dynamic Bond Fund - Regular Plan - Annual IDCW;12.6892;25-Aug-2023")</f>
        <v>133852;INF789FA1S08;INF789FA1S16;UTI Dynamic Bond Fund - Regular Plan - Annual IDCW;12.6892;25-Aug-2023</v>
      </c>
      <c r="B1083" s="1"/>
    </row>
    <row r="1084">
      <c r="A1084" s="1" t="str">
        <f>IFERROR(__xludf.DUMMYFUNCTION("""COMPUTED_VALUE"""),"135336;INF789FA1S24;INF789FA1S32;UTI Dynamic Bond Fund - Regular Plan - Flexi IDCW;14.2205;25-Aug-2023")</f>
        <v>135336;INF789FA1S24;INF789FA1S32;UTI Dynamic Bond Fund - Regular Plan - Flexi IDCW;14.2205;25-Aug-2023</v>
      </c>
      <c r="B1084" s="1"/>
    </row>
    <row r="1085">
      <c r="A1085" s="1" t="str">
        <f>IFERROR(__xludf.DUMMYFUNCTION("""COMPUTED_VALUE"""),"113077;INF789F01JQ5;-;UTI Dynamic Bond Fund - Regular Plan - Growth Option;26.8291;25-Aug-2023")</f>
        <v>113077;INF789F01JQ5;-;UTI Dynamic Bond Fund - Regular Plan - Growth Option;26.8291;25-Aug-2023</v>
      </c>
      <c r="B1085" s="1"/>
    </row>
    <row r="1086">
      <c r="A1086" s="1" t="str">
        <f>IFERROR(__xludf.DUMMYFUNCTION("""COMPUTED_VALUE"""),"139181;INF789FA1R82;INF789FA1R90;UTI Dynamic Bond Fund - Regular Plan - Half-Yearly IDCW;13.2207;25-Aug-2023")</f>
        <v>139181;INF789FA1R82;INF789FA1R90;UTI Dynamic Bond Fund - Regular Plan - Half-Yearly IDCW;13.2207;25-Aug-2023</v>
      </c>
      <c r="B1086" s="1"/>
    </row>
    <row r="1087">
      <c r="A1087" s="1" t="str">
        <f>IFERROR(__xludf.DUMMYFUNCTION("""COMPUTED_VALUE"""),"113078;INF789F01JO0;INF789F01JP7;UTI Dynamic Bond Fund - Regular Plan - Quarterly IDCW;14.6082;25-Aug-2023")</f>
        <v>113078;INF789F01JO0;INF789F01JP7;UTI Dynamic Bond Fund - Regular Plan - Quarterly IDCW;14.6082;25-Aug-2023</v>
      </c>
      <c r="B1087" s="1"/>
    </row>
    <row r="1088">
      <c r="A1088" s="1"/>
      <c r="B1088" s="1"/>
    </row>
    <row r="1089">
      <c r="A1089" s="1" t="str">
        <f>IFERROR(__xludf.DUMMYFUNCTION("""COMPUTED_VALUE"""),"Open Ended Schemes(Debt Scheme - Floater Fund)")</f>
        <v>Open Ended Schemes(Debt Scheme - Floater Fund)</v>
      </c>
      <c r="B1089" s="1"/>
    </row>
    <row r="1090">
      <c r="A1090" s="1"/>
      <c r="B1090" s="1"/>
    </row>
    <row r="1091">
      <c r="A1091" s="1" t="str">
        <f>IFERROR(__xludf.DUMMYFUNCTION("""COMPUTED_VALUE"""),"Aditya Birla Sun Life Mutual Fund")</f>
        <v>Aditya Birla Sun Life Mutual Fund</v>
      </c>
      <c r="B1091" s="1"/>
    </row>
    <row r="1092">
      <c r="A1092" s="1"/>
      <c r="B1092" s="1"/>
    </row>
    <row r="1093">
      <c r="A1093" s="1" t="str">
        <f>IFERROR(__xludf.DUMMYFUNCTION("""COMPUTED_VALUE"""),"122645;INF209K01UW9;-;Aditya Birla Sun Life Floating Rate Fund-Direct - daily IDCW;100.4091;25-Aug-2023")</f>
        <v>122645;INF209K01UW9;-;Aditya Birla Sun Life Floating Rate Fund-Direct - daily IDCW;100.4091;25-Aug-2023</v>
      </c>
      <c r="B1093" s="1"/>
    </row>
    <row r="1094">
      <c r="A1094" s="1" t="str">
        <f>IFERROR(__xludf.DUMMYFUNCTION("""COMPUTED_VALUE"""),"122648;INF209K01UY5;-;Aditya Birla Sun Life Floating Rate Fund-Direct - weekly IDCW;100.4719;25-Aug-2023")</f>
        <v>122648;INF209K01UY5;-;Aditya Birla Sun Life Floating Rate Fund-Direct - weekly IDCW;100.4719;25-Aug-2023</v>
      </c>
      <c r="B1094" s="1"/>
    </row>
    <row r="1095">
      <c r="A1095" s="1" t="str">
        <f>IFERROR(__xludf.DUMMYFUNCTION("""COMPUTED_VALUE"""),"122646;INF209K01UX7;-;Aditya Birla Sun Life Floating Rate Fund-Direct Plan-Growth;309.3652;25-Aug-2023")</f>
        <v>122646;INF209K01UX7;-;Aditya Birla Sun Life Floating Rate Fund-Direct Plan-Growth;309.3652;25-Aug-2023</v>
      </c>
      <c r="B1095" s="1"/>
    </row>
    <row r="1096">
      <c r="A1096" s="1" t="str">
        <f>IFERROR(__xludf.DUMMYFUNCTION("""COMPUTED_VALUE"""),"122643;-;INF209KA1LN1;Aditya Birla Sun Life Floating Rate Fund-Regular - DAILY IDCW;100.4091;25-Aug-2023")</f>
        <v>122643;-;INF209KA1LN1;Aditya Birla Sun Life Floating Rate Fund-Regular - DAILY IDCW;100.4091;25-Aug-2023</v>
      </c>
      <c r="B1096" s="1"/>
    </row>
    <row r="1097">
      <c r="A1097" s="1" t="str">
        <f>IFERROR(__xludf.DUMMYFUNCTION("""COMPUTED_VALUE"""),"122647;-;INF209K01MH7;Aditya Birla Sun Life Floating Rate Fund-REGULAR - WEEKLY IDCW;100.4651;25-Aug-2023")</f>
        <v>122647;-;INF209K01MH7;Aditya Birla Sun Life Floating Rate Fund-REGULAR - WEEKLY IDCW;100.4651;25-Aug-2023</v>
      </c>
      <c r="B1097" s="1"/>
    </row>
    <row r="1098">
      <c r="A1098" s="1" t="str">
        <f>IFERROR(__xludf.DUMMYFUNCTION("""COMPUTED_VALUE"""),"122644;INF209K01MG9;-;Aditya Birla Sun Life Floating Rate Fund-Regular Plan-Growth;302.233;25-Aug-2023")</f>
        <v>122644;INF209K01MG9;-;Aditya Birla Sun Life Floating Rate Fund-Regular Plan-Growth;302.233;25-Aug-2023</v>
      </c>
      <c r="B1098" s="1"/>
    </row>
    <row r="1099">
      <c r="A1099" s="1" t="str">
        <f>IFERROR(__xludf.DUMMYFUNCTION("""COMPUTED_VALUE"""),"122649;-;INF209K01MI5;Aditya Birla Sun Life Floating Rate Fund-RETAIL - WEEKLY IDCW;100.5096;25-Aug-2023")</f>
        <v>122649;-;INF209K01MI5;Aditya Birla Sun Life Floating Rate Fund-RETAIL - WEEKLY IDCW;100.5096;25-Aug-2023</v>
      </c>
      <c r="B1099" s="1"/>
    </row>
    <row r="1100">
      <c r="A1100" s="1" t="str">
        <f>IFERROR(__xludf.DUMMYFUNCTION("""COMPUTED_VALUE"""),"122650;INF209K01MF1;-;Aditya Birla Sun Life Floating Rate Fund-Retail Plan-Growth;437.1407;25-Aug-2023")</f>
        <v>122650;INF209K01MF1;-;Aditya Birla Sun Life Floating Rate Fund-Retail Plan-Growth;437.1407;25-Aug-2023</v>
      </c>
      <c r="B1100" s="1"/>
    </row>
    <row r="1101">
      <c r="A1101" s="1"/>
      <c r="B1101" s="1"/>
    </row>
    <row r="1102">
      <c r="A1102" s="1" t="str">
        <f>IFERROR(__xludf.DUMMYFUNCTION("""COMPUTED_VALUE"""),"Axis Mutual Fund")</f>
        <v>Axis Mutual Fund</v>
      </c>
      <c r="B1102" s="1"/>
    </row>
    <row r="1103">
      <c r="A1103" s="1"/>
      <c r="B1103" s="1"/>
    </row>
    <row r="1104">
      <c r="A1104" s="1" t="str">
        <f>IFERROR(__xludf.DUMMYFUNCTION("""COMPUTED_VALUE"""),"149055;INF846K016A1;INF846K015A3;Axis Floater Fund - Direct Plan - Annual IDCW;1104.0754;25-Aug-2023")</f>
        <v>149055;INF846K016A1;INF846K015A3;Axis Floater Fund - Direct Plan - Annual IDCW;1104.0754;25-Aug-2023</v>
      </c>
      <c r="B1104" s="1"/>
    </row>
    <row r="1105">
      <c r="A1105" s="1" t="str">
        <f>IFERROR(__xludf.DUMMYFUNCTION("""COMPUTED_VALUE"""),"149050;-;INF846K011B0;Axis Floater Fund - Direct Plan - Daily IDCW;1002.0173;25-Aug-2023")</f>
        <v>149050;-;INF846K011B0;Axis Floater Fund - Direct Plan - Daily IDCW;1002.0173;25-Aug-2023</v>
      </c>
      <c r="B1105" s="1"/>
    </row>
    <row r="1106">
      <c r="A1106" s="1" t="str">
        <f>IFERROR(__xludf.DUMMYFUNCTION("""COMPUTED_VALUE"""),"149049;INF846K014A6;-;Axis Floater Fund - Direct Plan - Growth;1117.3325;25-Aug-2023")</f>
        <v>149049;INF846K014A6;-;Axis Floater Fund - Direct Plan - Growth;1117.3325;25-Aug-2023</v>
      </c>
      <c r="B1106" s="1"/>
    </row>
    <row r="1107">
      <c r="A1107" s="1" t="str">
        <f>IFERROR(__xludf.DUMMYFUNCTION("""COMPUTED_VALUE"""),"149051;INF846K018A7;INF846K017A9;Axis Floater Fund - Direct Plan - Monthly IDCW;1001.0000;25-Aug-2023")</f>
        <v>149051;INF846K018A7;INF846K017A9;Axis Floater Fund - Direct Plan - Monthly IDCW;1001.0000;25-Aug-2023</v>
      </c>
      <c r="B1107" s="1"/>
    </row>
    <row r="1108">
      <c r="A1108" s="1" t="str">
        <f>IFERROR(__xludf.DUMMYFUNCTION("""COMPUTED_VALUE"""),"149052;INF846K019A5;INF846K010B2;Axis Floater Fund - Direct Plan - Quarterly IDCW;1086.7839;25-Aug-2023")</f>
        <v>149052;INF846K019A5;INF846K010B2;Axis Floater Fund - Direct Plan - Quarterly IDCW;1086.7839;25-Aug-2023</v>
      </c>
      <c r="B1108" s="1"/>
    </row>
    <row r="1109">
      <c r="A1109" s="1" t="str">
        <f>IFERROR(__xludf.DUMMYFUNCTION("""COMPUTED_VALUE"""),"149047;INF846K014B4;INF846K013B6;Axis Floater Fund - Regular Plan - Annual IDCW;1095.3130;25-Aug-2023")</f>
        <v>149047;INF846K014B4;INF846K013B6;Axis Floater Fund - Regular Plan - Annual IDCW;1095.3130;25-Aug-2023</v>
      </c>
      <c r="B1109" s="1"/>
    </row>
    <row r="1110">
      <c r="A1110" s="1" t="str">
        <f>IFERROR(__xludf.DUMMYFUNCTION("""COMPUTED_VALUE"""),"149054;-;INF846K019B3;Axis Floater Fund - Regular Plan - Daily IDCW;1002.0796;25-Aug-2023")</f>
        <v>149054;-;INF846K019B3;Axis Floater Fund - Regular Plan - Daily IDCW;1002.0796;25-Aug-2023</v>
      </c>
      <c r="B1110" s="1"/>
    </row>
    <row r="1111">
      <c r="A1111" s="1" t="str">
        <f>IFERROR(__xludf.DUMMYFUNCTION("""COMPUTED_VALUE"""),"149048;INF846K012B8;-;Axis Floater Fund - Regular Plan - Growth;1107.9910;25-Aug-2023")</f>
        <v>149048;INF846K012B8;-;Axis Floater Fund - Regular Plan - Growth;1107.9910;25-Aug-2023</v>
      </c>
      <c r="B1111" s="1"/>
    </row>
    <row r="1112">
      <c r="A1112" s="1" t="str">
        <f>IFERROR(__xludf.DUMMYFUNCTION("""COMPUTED_VALUE"""),"149053;INF846K016B9;INF846K015B1;Axis Floater Fund - Regular Plan - Monthly IDCW;1001.0000;25-Aug-2023")</f>
        <v>149053;INF846K016B9;INF846K015B1;Axis Floater Fund - Regular Plan - Monthly IDCW;1001.0000;25-Aug-2023</v>
      </c>
      <c r="B1112" s="1"/>
    </row>
    <row r="1113">
      <c r="A1113" s="1" t="str">
        <f>IFERROR(__xludf.DUMMYFUNCTION("""COMPUTED_VALUE"""),"149046;INF846K018B5;INF846K017B7;Axis Floater Fund - Regular Plan - Quarterly IDCW;1078.0874;25-Aug-2023")</f>
        <v>149046;INF846K018B5;INF846K017B7;Axis Floater Fund - Regular Plan - Quarterly IDCW;1078.0874;25-Aug-2023</v>
      </c>
      <c r="B1113" s="1"/>
    </row>
    <row r="1114">
      <c r="A1114" s="1"/>
      <c r="B1114" s="1"/>
    </row>
    <row r="1115">
      <c r="A1115" s="1" t="str">
        <f>IFERROR(__xludf.DUMMYFUNCTION("""COMPUTED_VALUE"""),"Bandhan Mutual Fund")</f>
        <v>Bandhan Mutual Fund</v>
      </c>
      <c r="B1115" s="1"/>
    </row>
    <row r="1116">
      <c r="A1116" s="1"/>
      <c r="B1116" s="1"/>
    </row>
    <row r="1117">
      <c r="A1117" s="1" t="str">
        <f>IFERROR(__xludf.DUMMYFUNCTION("""COMPUTED_VALUE"""),"148717;INF194KB1BJ6;INF194KB1BK4;BANDHAN FLOATING RATE FUND  - DIRECT PLAN ANNUAL IDCW;10.3652;25-Aug-2023")</f>
        <v>148717;INF194KB1BJ6;INF194KB1BK4;BANDHAN FLOATING RATE FUND  - DIRECT PLAN ANNUAL IDCW;10.3652;25-Aug-2023</v>
      </c>
      <c r="B1117" s="1"/>
    </row>
    <row r="1118">
      <c r="A1118" s="1" t="str">
        <f>IFERROR(__xludf.DUMMYFUNCTION("""COMPUTED_VALUE"""),"148714;-;INF194KB1BB3;BANDHAN FLOATING RATE FUND  - DIRECT PLAN DAILY IDCW;10.0258;25-Aug-2023")</f>
        <v>148714;-;INF194KB1BB3;BANDHAN FLOATING RATE FUND  - DIRECT PLAN DAILY IDCW;10.0258;25-Aug-2023</v>
      </c>
      <c r="B1118" s="1"/>
    </row>
    <row r="1119">
      <c r="A1119" s="1" t="str">
        <f>IFERROR(__xludf.DUMMYFUNCTION("""COMPUTED_VALUE"""),"148711;INF194KB1BA5;-;BANDHAN FLOATING RATE FUND  - DIRECT PLAN GROWTH;11.3104;25-Aug-2023")</f>
        <v>148711;INF194KB1BA5;-;BANDHAN FLOATING RATE FUND  - DIRECT PLAN GROWTH;11.3104;25-Aug-2023</v>
      </c>
      <c r="B1119" s="1"/>
    </row>
    <row r="1120">
      <c r="A1120" s="1" t="str">
        <f>IFERROR(__xludf.DUMMYFUNCTION("""COMPUTED_VALUE"""),"148713;INF194KB1BD9;INF194KB1BE7;BANDHAN FLOATING RATE FUND  - DIRECT PLAN MONTHLY IDCW;10.0906;25-Aug-2023")</f>
        <v>148713;INF194KB1BD9;INF194KB1BE7;BANDHAN FLOATING RATE FUND  - DIRECT PLAN MONTHLY IDCW;10.0906;25-Aug-2023</v>
      </c>
      <c r="B1120" s="1"/>
    </row>
    <row r="1121">
      <c r="A1121" s="1" t="str">
        <f>IFERROR(__xludf.DUMMYFUNCTION("""COMPUTED_VALUE"""),"148715;INF194KB1BH0;INF194KB1BI8;BANDHAN FLOATING RATE FUND  - DIRECT PLAN PERIODIC IDCW;11.2116;25-Aug-2023")</f>
        <v>148715;INF194KB1BH0;INF194KB1BI8;BANDHAN FLOATING RATE FUND  - DIRECT PLAN PERIODIC IDCW;11.2116;25-Aug-2023</v>
      </c>
      <c r="B1121" s="1"/>
    </row>
    <row r="1122">
      <c r="A1122" s="1" t="str">
        <f>IFERROR(__xludf.DUMMYFUNCTION("""COMPUTED_VALUE"""),"148712;INF194KB1BF4;INF194KB1BG2;BANDHAN FLOATING RATE FUND  - DIRECT PLAN QUARTERLY IDCW;10.2184;25-Aug-2023")</f>
        <v>148712;INF194KB1BF4;INF194KB1BG2;BANDHAN FLOATING RATE FUND  - DIRECT PLAN QUARTERLY IDCW;10.2184;25-Aug-2023</v>
      </c>
      <c r="B1122" s="1"/>
    </row>
    <row r="1123">
      <c r="A1123" s="1" t="str">
        <f>IFERROR(__xludf.DUMMYFUNCTION("""COMPUTED_VALUE"""),"148716;-;INF194KB1BC1;BANDHAN FLOATING RATE FUND  - DIRECT PLAN WEEKLY IDCW;10.0405;25-Aug-2023")</f>
        <v>148716;-;INF194KB1BC1;BANDHAN FLOATING RATE FUND  - DIRECT PLAN WEEKLY IDCW;10.0405;25-Aug-2023</v>
      </c>
      <c r="B1123" s="1"/>
    </row>
    <row r="1124">
      <c r="A1124" s="1" t="str">
        <f>IFERROR(__xludf.DUMMYFUNCTION("""COMPUTED_VALUE"""),"148718;INF194KB1AY7;INF194KB1AZ4;BANDHAN FLOATING RATE FUND  - REGULAR PLAN ANNUAL IDCW;10.3407;25-Aug-2023")</f>
        <v>148718;INF194KB1AY7;INF194KB1AZ4;BANDHAN FLOATING RATE FUND  - REGULAR PLAN ANNUAL IDCW;10.3407;25-Aug-2023</v>
      </c>
      <c r="B1124" s="1"/>
    </row>
    <row r="1125">
      <c r="A1125" s="1" t="str">
        <f>IFERROR(__xludf.DUMMYFUNCTION("""COMPUTED_VALUE"""),"148710;-;INF194KB1AQ3;BANDHAN FLOATING RATE FUND  - REGULAR PLAN DAILY IDCW;10.0258;25-Aug-2023")</f>
        <v>148710;-;INF194KB1AQ3;BANDHAN FLOATING RATE FUND  - REGULAR PLAN DAILY IDCW;10.0258;25-Aug-2023</v>
      </c>
      <c r="B1125" s="1"/>
    </row>
    <row r="1126">
      <c r="A1126" s="1" t="str">
        <f>IFERROR(__xludf.DUMMYFUNCTION("""COMPUTED_VALUE"""),"148705;INF194KB1AP5;-;BANDHAN FLOATING RATE FUND  - REGULAR PLAN GROWTH;11.1736;25-Aug-2023")</f>
        <v>148705;INF194KB1AP5;-;BANDHAN FLOATING RATE FUND  - REGULAR PLAN GROWTH;11.1736;25-Aug-2023</v>
      </c>
      <c r="B1126" s="1"/>
    </row>
    <row r="1127">
      <c r="A1127" s="1" t="str">
        <f>IFERROR(__xludf.DUMMYFUNCTION("""COMPUTED_VALUE"""),"148707;INF194KB1AS9;INF194KB1AT7;BANDHAN FLOATING RATE FUND  - REGULAR PLAN MONTHLY IDCW;10.0683;25-Aug-2023")</f>
        <v>148707;INF194KB1AS9;INF194KB1AT7;BANDHAN FLOATING RATE FUND  - REGULAR PLAN MONTHLY IDCW;10.0683;25-Aug-2023</v>
      </c>
      <c r="B1127" s="1"/>
    </row>
    <row r="1128">
      <c r="A1128" s="1" t="str">
        <f>IFERROR(__xludf.DUMMYFUNCTION("""COMPUTED_VALUE"""),"148709;INF194KB1AW1;INF194KB1AX9;BANDHAN FLOATING RATE FUND  - REGULAR PLAN PERIODIC IDCW;11.1738;25-Aug-2023")</f>
        <v>148709;INF194KB1AW1;INF194KB1AX9;BANDHAN FLOATING RATE FUND  - REGULAR PLAN PERIODIC IDCW;11.1738;25-Aug-2023</v>
      </c>
      <c r="B1128" s="1"/>
    </row>
    <row r="1129">
      <c r="A1129" s="1" t="str">
        <f>IFERROR(__xludf.DUMMYFUNCTION("""COMPUTED_VALUE"""),"148706;INF194KB1AU5;INF194KB1AV3;BANDHAN FLOATING RATE FUND  - REGULAR PLAN QUARTERLY IDCW;10.1860;25-Aug-2023")</f>
        <v>148706;INF194KB1AU5;INF194KB1AV3;BANDHAN FLOATING RATE FUND  - REGULAR PLAN QUARTERLY IDCW;10.1860;25-Aug-2023</v>
      </c>
      <c r="B1129" s="1"/>
    </row>
    <row r="1130">
      <c r="A1130" s="1" t="str">
        <f>IFERROR(__xludf.DUMMYFUNCTION("""COMPUTED_VALUE"""),"148708;-;INF194KB1AR1;BANDHAN FLOATING RATE FUND  - REGULAR PLAN WEEKLY IDCW;10.0394;25-Aug-2023")</f>
        <v>148708;-;INF194KB1AR1;BANDHAN FLOATING RATE FUND  - REGULAR PLAN WEEKLY IDCW;10.0394;25-Aug-2023</v>
      </c>
      <c r="B1130" s="1"/>
    </row>
    <row r="1131">
      <c r="A1131" s="1"/>
      <c r="B1131" s="1"/>
    </row>
    <row r="1132">
      <c r="A1132" s="1" t="str">
        <f>IFERROR(__xludf.DUMMYFUNCTION("""COMPUTED_VALUE"""),"Baroda BNP Paribas Mutual Fund")</f>
        <v>Baroda BNP Paribas Mutual Fund</v>
      </c>
      <c r="B1132" s="1"/>
    </row>
    <row r="1133">
      <c r="A1133" s="1"/>
      <c r="B1133" s="1"/>
    </row>
    <row r="1134">
      <c r="A1134" s="1" t="str">
        <f>IFERROR(__xludf.DUMMYFUNCTION("""COMPUTED_VALUE"""),"151735;INF251K01RX5;-;Baroda BNP Paribas Floater Fund - Direct Plan - Growth Option;10.3059;25-Aug-2023")</f>
        <v>151735;INF251K01RX5;-;Baroda BNP Paribas Floater Fund - Direct Plan - Growth Option;10.3059;25-Aug-2023</v>
      </c>
      <c r="B1134" s="1"/>
    </row>
    <row r="1135">
      <c r="A1135" s="1" t="str">
        <f>IFERROR(__xludf.DUMMYFUNCTION("""COMPUTED_VALUE"""),"151736;INF251K01RY3;INF251K01RZ0;Baroda BNP Paribas Floater Fund - Direct Plan - Weekly IDCW Option;10.0305;25-Aug-2023")</f>
        <v>151736;INF251K01RY3;INF251K01RZ0;Baroda BNP Paribas Floater Fund - Direct Plan - Weekly IDCW Option;10.0305;25-Aug-2023</v>
      </c>
      <c r="B1135" s="1"/>
    </row>
    <row r="1136">
      <c r="A1136" s="1" t="str">
        <f>IFERROR(__xludf.DUMMYFUNCTION("""COMPUTED_VALUE"""),"151734;INF251K01RU1;-;Baroda BNP Paribas Floater Fund - Regular Plan - Growth option;10.2922;25-Aug-2023")</f>
        <v>151734;INF251K01RU1;-;Baroda BNP Paribas Floater Fund - Regular Plan - Growth option;10.2922;25-Aug-2023</v>
      </c>
      <c r="B1136" s="1"/>
    </row>
    <row r="1137">
      <c r="A1137" s="1" t="str">
        <f>IFERROR(__xludf.DUMMYFUNCTION("""COMPUTED_VALUE"""),"151733;INF251K01RV9;INF251K01RW7;Baroda BNP Paribas Floater Fund - Regular Plan - Weekly IDCW option;10.0349;25-Aug-2023")</f>
        <v>151733;INF251K01RV9;INF251K01RW7;Baroda BNP Paribas Floater Fund - Regular Plan - Weekly IDCW option;10.0349;25-Aug-2023</v>
      </c>
      <c r="B1137" s="1"/>
    </row>
    <row r="1138">
      <c r="A1138" s="1"/>
      <c r="B1138" s="1"/>
    </row>
    <row r="1139">
      <c r="A1139" s="1" t="str">
        <f>IFERROR(__xludf.DUMMYFUNCTION("""COMPUTED_VALUE"""),"DSP Mutual Fund")</f>
        <v>DSP Mutual Fund</v>
      </c>
      <c r="B1139" s="1"/>
    </row>
    <row r="1140">
      <c r="A1140" s="1"/>
      <c r="B1140" s="1"/>
    </row>
    <row r="1141">
      <c r="A1141" s="1" t="str">
        <f>IFERROR(__xludf.DUMMYFUNCTION("""COMPUTED_VALUE"""),"148771;INF740KA1PV1;-;DSP Floater Fund - Direct Plan - Growth;11.3948;25-Aug-2023")</f>
        <v>148771;INF740KA1PV1;-;DSP Floater Fund - Direct Plan - Growth;11.3948;25-Aug-2023</v>
      </c>
      <c r="B1141" s="1"/>
    </row>
    <row r="1142">
      <c r="A1142" s="1" t="str">
        <f>IFERROR(__xludf.DUMMYFUNCTION("""COMPUTED_VALUE"""),"148769;INF740KA1PW9;INF740KA1PX7;DSP Floater Fund - Direct Plan - IDCW;11.3948;25-Aug-2023")</f>
        <v>148769;INF740KA1PW9;INF740KA1PX7;DSP Floater Fund - Direct Plan - IDCW;11.3948;25-Aug-2023</v>
      </c>
      <c r="B1142" s="1"/>
    </row>
    <row r="1143">
      <c r="A1143" s="1" t="str">
        <f>IFERROR(__xludf.DUMMYFUNCTION("""COMPUTED_VALUE"""),"148768;INF740KA1PS7;-;DSP Floater Fund - Regular Plan - Growth;11.3200;25-Aug-2023")</f>
        <v>148768;INF740KA1PS7;-;DSP Floater Fund - Regular Plan - Growth;11.3200;25-Aug-2023</v>
      </c>
      <c r="B1143" s="1"/>
    </row>
    <row r="1144">
      <c r="A1144" s="1" t="str">
        <f>IFERROR(__xludf.DUMMYFUNCTION("""COMPUTED_VALUE"""),"148770;INF740KA1PT5;INF740KA1PU3;DSP Floater Fund - Regular Plan - IDCW;11.3200;25-Aug-2023")</f>
        <v>148770;INF740KA1PT5;INF740KA1PU3;DSP Floater Fund - Regular Plan - IDCW;11.3200;25-Aug-2023</v>
      </c>
      <c r="B1144" s="1"/>
    </row>
    <row r="1145">
      <c r="A1145" s="1"/>
      <c r="B1145" s="1"/>
    </row>
    <row r="1146">
      <c r="A1146" s="1" t="str">
        <f>IFERROR(__xludf.DUMMYFUNCTION("""COMPUTED_VALUE"""),"Franklin Templeton Mutual Fund")</f>
        <v>Franklin Templeton Mutual Fund</v>
      </c>
      <c r="B1146" s="1"/>
    </row>
    <row r="1147">
      <c r="A1147" s="1"/>
      <c r="B1147" s="1"/>
    </row>
    <row r="1148">
      <c r="A1148" s="1" t="str">
        <f>IFERROR(__xludf.DUMMYFUNCTION("""COMPUTED_VALUE"""),"118508;INF090I01LK1;-;Franklin India Floating Rate Fund - Direct - Growth;37.9434;25-Aug-2023")</f>
        <v>118508;INF090I01LK1;-;Franklin India Floating Rate Fund - Direct - Growth;37.9434;25-Aug-2023</v>
      </c>
      <c r="B1148" s="1"/>
    </row>
    <row r="1149">
      <c r="A1149" s="1" t="str">
        <f>IFERROR(__xludf.DUMMYFUNCTION("""COMPUTED_VALUE"""),"118507;-;INF090I01LL9;Franklin India Floating Rate Fund - Direct - IDCW ;10.0851;25-Aug-2023")</f>
        <v>118507;-;INF090I01LL9;Franklin India Floating Rate Fund - Direct - IDCW ;10.0851;25-Aug-2023</v>
      </c>
      <c r="B1149" s="1"/>
    </row>
    <row r="1150">
      <c r="A1150" s="1" t="str">
        <f>IFERROR(__xludf.DUMMYFUNCTION("""COMPUTED_VALUE"""),"101048;INF090I01LM7;-;Franklin India Floating Rate Fund - Growth Plan;35.2223;25-Aug-2023")</f>
        <v>101048;INF090I01LM7;-;Franklin India Floating Rate Fund - Growth Plan;35.2223;25-Aug-2023</v>
      </c>
      <c r="B1150" s="1"/>
    </row>
    <row r="1151">
      <c r="A1151" s="1" t="str">
        <f>IFERROR(__xludf.DUMMYFUNCTION("""COMPUTED_VALUE"""),"101044;-;INF090I01LN5;Franklin India Floating Rate Fund - IDCW ;10.1876;25-Aug-2023")</f>
        <v>101044;-;INF090I01LN5;Franklin India Floating Rate Fund - IDCW ;10.1876;25-Aug-2023</v>
      </c>
      <c r="B1151" s="1"/>
    </row>
    <row r="1152">
      <c r="A1152" s="1"/>
      <c r="B1152" s="1"/>
    </row>
    <row r="1153">
      <c r="A1153" s="1" t="str">
        <f>IFERROR(__xludf.DUMMYFUNCTION("""COMPUTED_VALUE"""),"HDFC Mutual Fund")</f>
        <v>HDFC Mutual Fund</v>
      </c>
      <c r="B1153" s="1"/>
    </row>
    <row r="1154">
      <c r="A1154" s="1"/>
      <c r="B1154" s="1"/>
    </row>
    <row r="1155">
      <c r="A1155" s="1" t="str">
        <f>IFERROR(__xludf.DUMMYFUNCTION("""COMPUTED_VALUE"""),"106838;-;INF179K01699;HDFC Floating Rate Debt Fund - Daily IDCW Option;10.0809;25-Aug-2023")</f>
        <v>106838;-;INF179K01699;HDFC Floating Rate Debt Fund - Daily IDCW Option;10.0809;25-Aug-2023</v>
      </c>
      <c r="B1155" s="1"/>
    </row>
    <row r="1156">
      <c r="A1156" s="1" t="str">
        <f>IFERROR(__xludf.DUMMYFUNCTION("""COMPUTED_VALUE"""),"118959;-;-;HDFC Floating Rate Debt Fund - Direct Plan - Daily IDCW;10.0809;25-Aug-2023")</f>
        <v>118959;-;-;HDFC Floating Rate Debt Fund - Direct Plan - Daily IDCW;10.0809;25-Aug-2023</v>
      </c>
      <c r="B1156" s="1"/>
    </row>
    <row r="1157">
      <c r="A1157" s="1" t="str">
        <f>IFERROR(__xludf.DUMMYFUNCTION("""COMPUTED_VALUE"""),"118961;INF179K01VQ4;-;HDFC Floating Rate Debt Fund - Direct Plan - Growth Option;43.8671;25-Aug-2023")</f>
        <v>118961;INF179K01VQ4;-;HDFC Floating Rate Debt Fund - Direct Plan - Growth Option;43.8671;25-Aug-2023</v>
      </c>
      <c r="B1157" s="1"/>
    </row>
    <row r="1158">
      <c r="A1158" s="1" t="str">
        <f>IFERROR(__xludf.DUMMYFUNCTION("""COMPUTED_VALUE"""),"118960;INF179K01VO9;INF179K01VP6;HDFC Floating Rate Debt Fund - Direct Plan - Monthly IDCW;10.2067;25-Aug-2023")</f>
        <v>118960;INF179K01VO9;INF179K01VP6;HDFC Floating Rate Debt Fund - Direct Plan - Monthly IDCW;10.2067;25-Aug-2023</v>
      </c>
      <c r="B1158" s="1"/>
    </row>
    <row r="1159">
      <c r="A1159" s="1" t="str">
        <f>IFERROR(__xludf.DUMMYFUNCTION("""COMPUTED_VALUE"""),"118962;-;-;HDFC Floating Rate Debt Fund - Direct Plan - Weekly IDCW;10.0523;25-Aug-2023")</f>
        <v>118962;-;-;HDFC Floating Rate Debt Fund - Direct Plan - Weekly IDCW;10.0523;25-Aug-2023</v>
      </c>
      <c r="B1159" s="1"/>
    </row>
    <row r="1160">
      <c r="A1160" s="1" t="str">
        <f>IFERROR(__xludf.DUMMYFUNCTION("""COMPUTED_VALUE"""),"106841;INF179K01707;-;HDFC Floating Rate Debt Fund - Growth Option;43.1889;25-Aug-2023")</f>
        <v>106841;INF179K01707;-;HDFC Floating Rate Debt Fund - Growth Option;43.1889;25-Aug-2023</v>
      </c>
      <c r="B1160" s="1"/>
    </row>
    <row r="1161">
      <c r="A1161" s="1" t="str">
        <f>IFERROR(__xludf.DUMMYFUNCTION("""COMPUTED_VALUE"""),"106839;INF179K01715;INF179K01723;HDFC Floating Rate Debt Fund - Monthly IDCW Option;10.2051;25-Aug-2023")</f>
        <v>106839;INF179K01715;INF179K01723;HDFC Floating Rate Debt Fund - Monthly IDCW Option;10.2051;25-Aug-2023</v>
      </c>
      <c r="B1161" s="1"/>
    </row>
    <row r="1162">
      <c r="A1162" s="1" t="str">
        <f>IFERROR(__xludf.DUMMYFUNCTION("""COMPUTED_VALUE"""),"106840;INF179K01731;INF179K01749;HDFC Floating Rate Debt Fund - Weekly IDCW Option;10.0521;25-Aug-2023")</f>
        <v>106840;INF179K01731;INF179K01749;HDFC Floating Rate Debt Fund - Weekly IDCW Option;10.0521;25-Aug-2023</v>
      </c>
      <c r="B1162" s="1"/>
    </row>
    <row r="1163">
      <c r="A1163" s="1"/>
      <c r="B1163" s="1"/>
    </row>
    <row r="1164">
      <c r="A1164" s="1" t="str">
        <f>IFERROR(__xludf.DUMMYFUNCTION("""COMPUTED_VALUE"""),"ICICI Prudential Mutual Fund")</f>
        <v>ICICI Prudential Mutual Fund</v>
      </c>
      <c r="B1164" s="1"/>
    </row>
    <row r="1165">
      <c r="A1165" s="1"/>
      <c r="B1165" s="1"/>
    </row>
    <row r="1166">
      <c r="A1166" s="1" t="str">
        <f>IFERROR(__xludf.DUMMYFUNCTION("""COMPUTED_VALUE"""),"130899;INF109KA1I43;-;ICICI Prudential Floating Interest Fund - Bonus;151.7062;24-Apr-2020")</f>
        <v>130899;INF109KA1I43;-;ICICI Prudential Floating Interest Fund - Bonus;151.7062;24-Apr-2020</v>
      </c>
      <c r="B1166" s="1"/>
    </row>
    <row r="1167">
      <c r="A1167" s="1" t="str">
        <f>IFERROR(__xludf.DUMMYFUNCTION("""COMPUTED_VALUE"""),"101804;INF109K01AW3;-;ICICI Prudential Floating Interest Fund - Daily IDCW;101.1519;25-Aug-2023")</f>
        <v>101804;INF109K01AW3;-;ICICI Prudential Floating Interest Fund - Daily IDCW;101.1519;25-Aug-2023</v>
      </c>
      <c r="B1167" s="1"/>
    </row>
    <row r="1168">
      <c r="A1168" s="1" t="str">
        <f>IFERROR(__xludf.DUMMYFUNCTION("""COMPUTED_VALUE"""),"120423;-;INF109K01P24;ICICI Prudential Floating Interest Fund - Direct Plan - Daily IDCW;101.1519;25-Aug-2023")</f>
        <v>120423;-;INF109K01P24;ICICI Prudential Floating Interest Fund - Direct Plan - Daily IDCW;101.1519;25-Aug-2023</v>
      </c>
      <c r="B1168" s="1"/>
    </row>
    <row r="1169">
      <c r="A1169" s="1" t="str">
        <f>IFERROR(__xludf.DUMMYFUNCTION("""COMPUTED_VALUE"""),"120427;INF109K01P40;-;ICICI Prudential Floating Interest Fund - Direct Plan - Fortnightly IDCW;101.9935;16-Sep-2022")</f>
        <v>120427;INF109K01P40;-;ICICI Prudential Floating Interest Fund - Direct Plan - Fortnightly IDCW;101.9935;16-Sep-2022</v>
      </c>
      <c r="B1169" s="1"/>
    </row>
    <row r="1170">
      <c r="A1170" s="1" t="str">
        <f>IFERROR(__xludf.DUMMYFUNCTION("""COMPUTED_VALUE"""),"120425;INF109K01P57;-;ICICI Prudential Floating Interest Fund - Direct Plan - Growth;398.3800;25-Aug-2023")</f>
        <v>120425;INF109K01P57;-;ICICI Prudential Floating Interest Fund - Direct Plan - Growth;398.3800;25-Aug-2023</v>
      </c>
      <c r="B1170" s="1"/>
    </row>
    <row r="1171">
      <c r="A1171" s="1" t="str">
        <f>IFERROR(__xludf.DUMMYFUNCTION("""COMPUTED_VALUE"""),"120426;INF109K01P65;INF109K01P32;ICICI Prudential Floating Interest Fund - Direct Plan - IDCW Others;170.3210;25-Aug-2023")</f>
        <v>120426;INF109K01P65;INF109K01P32;ICICI Prudential Floating Interest Fund - Direct Plan - IDCW Others;170.3210;25-Aug-2023</v>
      </c>
      <c r="B1171" s="1"/>
    </row>
    <row r="1172">
      <c r="A1172" s="1" t="str">
        <f>IFERROR(__xludf.DUMMYFUNCTION("""COMPUTED_VALUE"""),"122607;INF109K018Z6;INF109K017Z8;ICICI Prudential Floating Interest Fund - Direct Plan - Monthly IDCW;102.6565;16-Sep-2022")</f>
        <v>122607;INF109K018Z6;INF109K017Z8;ICICI Prudential Floating Interest Fund - Direct Plan - Monthly IDCW;102.6565;16-Sep-2022</v>
      </c>
      <c r="B1172" s="1"/>
    </row>
    <row r="1173">
      <c r="A1173" s="1" t="str">
        <f>IFERROR(__xludf.DUMMYFUNCTION("""COMPUTED_VALUE"""),"125216;INF109KA1012;INF109K019Z4;ICICI Prudential Floating Interest Fund - Direct Plan - Quarterly IDCW;108.6397;16-Sep-2022")</f>
        <v>125216;INF109KA1012;INF109K019Z4;ICICI Prudential Floating Interest Fund - Direct Plan - Quarterly IDCW;108.6397;16-Sep-2022</v>
      </c>
      <c r="B1173" s="1"/>
    </row>
    <row r="1174">
      <c r="A1174" s="1" t="str">
        <f>IFERROR(__xludf.DUMMYFUNCTION("""COMPUTED_VALUE"""),"120424;INF109K01P73;INF109K01P81;ICICI Prudential Floating Interest Fund - Direct Plan - Weekly IDCW;102.1101;25-Aug-2023")</f>
        <v>120424;INF109K01P73;INF109K01P81;ICICI Prudential Floating Interest Fund - Direct Plan - Weekly IDCW;102.1101;25-Aug-2023</v>
      </c>
      <c r="B1174" s="1"/>
    </row>
    <row r="1175">
      <c r="A1175" s="1" t="str">
        <f>IFERROR(__xludf.DUMMYFUNCTION("""COMPUTED_VALUE"""),"101803;INF109K01AZ6;-;ICICI Prudential Floating Interest Fund - Fortnightly IDCW;101.9908;16-Sep-2022")</f>
        <v>101803;INF109K01AZ6;-;ICICI Prudential Floating Interest Fund - Fortnightly IDCW;101.9908;16-Sep-2022</v>
      </c>
      <c r="B1175" s="1"/>
    </row>
    <row r="1176">
      <c r="A1176" s="1" t="str">
        <f>IFERROR(__xludf.DUMMYFUNCTION("""COMPUTED_VALUE"""),"101802;INF109K01AX1;-;ICICI Prudential Floating Interest Fund - Growth;369.0665;25-Aug-2023")</f>
        <v>101802;INF109K01AX1;-;ICICI Prudential Floating Interest Fund - Growth;369.0665;25-Aug-2023</v>
      </c>
      <c r="B1176" s="1"/>
    </row>
    <row r="1177">
      <c r="A1177" s="1" t="str">
        <f>IFERROR(__xludf.DUMMYFUNCTION("""COMPUTED_VALUE"""),"115510;INF109K01WQ9;INF109K01WP1;ICICI Prudential Floating Interest Fund - IDCW Others;162.9156;25-Aug-2023")</f>
        <v>115510;INF109K01WQ9;INF109K01WP1;ICICI Prudential Floating Interest Fund - IDCW Others;162.9156;25-Aug-2023</v>
      </c>
      <c r="B1177" s="1"/>
    </row>
    <row r="1178">
      <c r="A1178" s="1" t="str">
        <f>IFERROR(__xludf.DUMMYFUNCTION("""COMPUTED_VALUE"""),"122606;INF109KA1038;INF109KA1020;ICICI Prudential Floating Interest Fund - Monthly IDCW;103.1015;16-Sep-2022")</f>
        <v>122606;INF109KA1038;INF109KA1020;ICICI Prudential Floating Interest Fund - Monthly IDCW;103.1015;16-Sep-2022</v>
      </c>
      <c r="B1178" s="1"/>
    </row>
    <row r="1179">
      <c r="A1179" s="1" t="str">
        <f>IFERROR(__xludf.DUMMYFUNCTION("""COMPUTED_VALUE"""),"122891;INF109KA1053;INF109KA1046;ICICI Prudential Floating Interest Fund - Quarterly IDCW;107.1895;16-Sep-2022")</f>
        <v>122891;INF109KA1053;INF109KA1046;ICICI Prudential Floating Interest Fund - Quarterly IDCW;107.1895;16-Sep-2022</v>
      </c>
      <c r="B1179" s="1"/>
    </row>
    <row r="1180">
      <c r="A1180" s="1" t="str">
        <f>IFERROR(__xludf.DUMMYFUNCTION("""COMPUTED_VALUE"""),"111545;INF109K01EN4;INF109K01AY9;ICICI Prudential Floating Interest Fund - Weekly IDCW;102.1024;25-Aug-2023")</f>
        <v>111545;INF109K01EN4;INF109K01AY9;ICICI Prudential Floating Interest Fund - Weekly IDCW;102.1024;25-Aug-2023</v>
      </c>
      <c r="B1180" s="1"/>
    </row>
    <row r="1181">
      <c r="A1181" s="1" t="str">
        <f>IFERROR(__xludf.DUMMYFUNCTION("""COMPUTED_VALUE"""),"101800;INF109K01928;-;ICICI Prudential Floating Interest Fund Plan A - Dividend Daily;100.0251;24-Apr-2020")</f>
        <v>101800;INF109K01928;-;ICICI Prudential Floating Interest Fund Plan A - Dividend Daily;100.0251;24-Apr-2020</v>
      </c>
      <c r="B1181" s="1"/>
    </row>
    <row r="1182">
      <c r="A1182" s="1" t="str">
        <f>IFERROR(__xludf.DUMMYFUNCTION("""COMPUTED_VALUE"""),"101796;INF109K01910;-;ICICI Prudential Floating Interest Fund Plan A - Fortnightly Dividend;101.3988;24-Apr-2020")</f>
        <v>101796;INF109K01910;-;ICICI Prudential Floating Interest Fund Plan A - Fortnightly Dividend;101.3988;24-Apr-2020</v>
      </c>
      <c r="B1182" s="1"/>
    </row>
    <row r="1183">
      <c r="A1183" s="1" t="str">
        <f>IFERROR(__xludf.DUMMYFUNCTION("""COMPUTED_VALUE"""),"101795;INF109K01936;-;ICICI Prudential Floating Interest Fund Plan A - Growth;300.7518;24-Apr-2020")</f>
        <v>101795;INF109K01936;-;ICICI Prudential Floating Interest Fund Plan A - Growth;300.7518;24-Apr-2020</v>
      </c>
      <c r="B1183" s="1"/>
    </row>
    <row r="1184">
      <c r="A1184" s="1" t="str">
        <f>IFERROR(__xludf.DUMMYFUNCTION("""COMPUTED_VALUE"""),"111544;INF109K01EK0;INF109K01944;ICICI Prudential Floating Interest Fund Plan A - Weekly Dividend Option;101.1821;24-Apr-2020")</f>
        <v>111544;INF109K01EK0;INF109K01944;ICICI Prudential Floating Interest Fund Plan A - Weekly Dividend Option;101.1821;24-Apr-2020</v>
      </c>
      <c r="B1184" s="1"/>
    </row>
    <row r="1185">
      <c r="A1185" s="1" t="str">
        <f>IFERROR(__xludf.DUMMYFUNCTION("""COMPUTED_VALUE"""),"101799;INF109K01951;-;ICICI Prudential Floating Interest Fund Plan B - Dividend Daily;100.025;24-Apr-2020")</f>
        <v>101799;INF109K01951;-;ICICI Prudential Floating Interest Fund Plan B - Dividend Daily;100.025;24-Apr-2020</v>
      </c>
      <c r="B1185" s="1"/>
    </row>
    <row r="1186">
      <c r="A1186" s="1" t="str">
        <f>IFERROR(__xludf.DUMMYFUNCTION("""COMPUTED_VALUE"""),"101794;INF109K01969;-;ICICI Prudential Floating Interest Fund Plan B - Fortnightly Dividend;101.397;24-Apr-2020")</f>
        <v>101794;INF109K01969;-;ICICI Prudential Floating Interest Fund Plan B - Fortnightly Dividend;101.397;24-Apr-2020</v>
      </c>
      <c r="B1186" s="1"/>
    </row>
    <row r="1187">
      <c r="A1187" s="1" t="str">
        <f>IFERROR(__xludf.DUMMYFUNCTION("""COMPUTED_VALUE"""),"101793;INF109K01977;-;ICICI Prudential Floating Interest Fund Plan B - Growth;324.7401;24-Apr-2020")</f>
        <v>101793;INF109K01977;-;ICICI Prudential Floating Interest Fund Plan B - Growth;324.7401;24-Apr-2020</v>
      </c>
      <c r="B1187" s="1"/>
    </row>
    <row r="1188">
      <c r="A1188" s="1" t="str">
        <f>IFERROR(__xludf.DUMMYFUNCTION("""COMPUTED_VALUE"""),"111543;INF109K01EL8;INF109K01985;ICICI Prudential Floating Interest Fund Plan B - Weekly Dividend Option;101.1822;24-Apr-2020")</f>
        <v>111543;INF109K01EL8;INF109K01985;ICICI Prudential Floating Interest Fund Plan B - Weekly Dividend Option;101.1822;24-Apr-2020</v>
      </c>
      <c r="B1188" s="1"/>
    </row>
    <row r="1189">
      <c r="A1189" s="1" t="str">
        <f>IFERROR(__xludf.DUMMYFUNCTION("""COMPUTED_VALUE"""),"101801;INF109K01AA9;-;ICICI Prudential Floating Interest Fund Plan C - Dividend Daily;100.9403;27-Feb-2020")</f>
        <v>101801;INF109K01AA9;-;ICICI Prudential Floating Interest Fund Plan C - Dividend Daily;100.9403;27-Feb-2020</v>
      </c>
      <c r="B1189" s="1"/>
    </row>
    <row r="1190">
      <c r="A1190" s="1" t="str">
        <f>IFERROR(__xludf.DUMMYFUNCTION("""COMPUTED_VALUE"""),"101798;INF109K01993;-;ICICI Prudential Floating Interest Fund Plan C - Fortnightly Dividend;101.3966;24-Apr-2020")</f>
        <v>101798;INF109K01993;-;ICICI Prudential Floating Interest Fund Plan C - Fortnightly Dividend;101.3966;24-Apr-2020</v>
      </c>
      <c r="B1190" s="1"/>
    </row>
    <row r="1191">
      <c r="A1191" s="1" t="str">
        <f>IFERROR(__xludf.DUMMYFUNCTION("""COMPUTED_VALUE"""),"101797;INF109K01AB7;-;ICICI Prudential Savings Fund Plan C - Growth;218.1632;15-Jun-2015")</f>
        <v>101797;INF109K01AB7;-;ICICI Prudential Savings Fund Plan C - Growth;218.1632;15-Jun-2015</v>
      </c>
      <c r="B1191" s="1"/>
    </row>
    <row r="1192">
      <c r="A1192" s="1" t="str">
        <f>IFERROR(__xludf.DUMMYFUNCTION("""COMPUTED_VALUE"""),"111546;INF109K01EM6;INF109K01AC5;ICICI Prudential Savings Fund Plan C - Weekly Dividend Option;101.3043;15-Feb-2017")</f>
        <v>111546;INF109K01EM6;INF109K01AC5;ICICI Prudential Savings Fund Plan C - Weekly Dividend Option;101.3043;15-Feb-2017</v>
      </c>
      <c r="B1192" s="1"/>
    </row>
    <row r="1193">
      <c r="A1193" s="1"/>
      <c r="B1193" s="1"/>
    </row>
    <row r="1194">
      <c r="A1194" s="1" t="str">
        <f>IFERROR(__xludf.DUMMYFUNCTION("""COMPUTED_VALUE"""),"Kotak Mahindra Mutual Fund")</f>
        <v>Kotak Mahindra Mutual Fund</v>
      </c>
      <c r="B1194" s="1"/>
    </row>
    <row r="1195">
      <c r="A1195" s="1"/>
      <c r="B1195" s="1"/>
    </row>
    <row r="1196">
      <c r="A1196" s="1" t="str">
        <f>IFERROR(__xludf.DUMMYFUNCTION("""COMPUTED_VALUE"""),"147269;INF174KA1EC0;-;KOTAK FLOATING RATE FUND-DIRECT PLAN-GROWTH OPTION;1327.1992;25-Aug-2023")</f>
        <v>147269;INF174KA1EC0;-;KOTAK FLOATING RATE FUND-DIRECT PLAN-GROWTH OPTION;1327.1992;25-Aug-2023</v>
      </c>
      <c r="B1196" s="1"/>
    </row>
    <row r="1197">
      <c r="A1197" s="1" t="str">
        <f>IFERROR(__xludf.DUMMYFUNCTION("""COMPUTED_VALUE"""),"147267;-;INF174KA1EF3;KOTAK FLOATING RATE FUND-DIRECT PLAN-Standard Reinvestment of Income Distribution cum capital withdrawal option;1156.1929;25-Aug-2023")</f>
        <v>147267;-;INF174KA1EF3;KOTAK FLOATING RATE FUND-DIRECT PLAN-Standard Reinvestment of Income Distribution cum capital withdrawal option;1156.1929;25-Aug-2023</v>
      </c>
      <c r="B1197" s="1"/>
    </row>
    <row r="1198">
      <c r="A1198" s="1" t="str">
        <f>IFERROR(__xludf.DUMMYFUNCTION("""COMPUTED_VALUE"""),"147266;INF174KA1DY6;-;KOTAK FLOATING RATE FUND-REGULAR PLAN-GROWTH OPTION;1306.2403;25-Aug-2023")</f>
        <v>147266;INF174KA1DY6;-;KOTAK FLOATING RATE FUND-REGULAR PLAN-GROWTH OPTION;1306.2403;25-Aug-2023</v>
      </c>
      <c r="B1198" s="1"/>
    </row>
    <row r="1199">
      <c r="A1199" s="1" t="str">
        <f>IFERROR(__xludf.DUMMYFUNCTION("""COMPUTED_VALUE"""),"147265;-;INF174KA1EB2;KOTAK FLOATING RATE FUND-REGULAR PLAN-STANDARD Reinvestment of Income Distribution cum capital withdrawal option;1162.5412;25-Aug-2023")</f>
        <v>147265;-;INF174KA1EB2;KOTAK FLOATING RATE FUND-REGULAR PLAN-STANDARD Reinvestment of Income Distribution cum capital withdrawal option;1162.5412;25-Aug-2023</v>
      </c>
      <c r="B1199" s="1"/>
    </row>
    <row r="1200">
      <c r="A1200" s="1"/>
      <c r="B1200" s="1"/>
    </row>
    <row r="1201">
      <c r="A1201" s="1" t="str">
        <f>IFERROR(__xludf.DUMMYFUNCTION("""COMPUTED_VALUE"""),"Nippon India Mutual Fund")</f>
        <v>Nippon India Mutual Fund</v>
      </c>
      <c r="B1201" s="1"/>
    </row>
    <row r="1202">
      <c r="A1202" s="1"/>
      <c r="B1202" s="1"/>
    </row>
    <row r="1203">
      <c r="A1203" s="1" t="str">
        <f>IFERROR(__xludf.DUMMYFUNCTION("""COMPUTED_VALUE"""),"118656;INF204K01E05;-;Nippon India Floating Rate Fund  - Direct Plan Growth Plan - Growth Option;40.8793;25-Aug-2023")</f>
        <v>118656;INF204K01E05;-;Nippon India Floating Rate Fund  - Direct Plan Growth Plan - Growth Option;40.8793;25-Aug-2023</v>
      </c>
      <c r="B1203" s="1"/>
    </row>
    <row r="1204">
      <c r="A1204" s="1" t="str">
        <f>IFERROR(__xludf.DUMMYFUNCTION("""COMPUTED_VALUE"""),"102676;-;INF204K01CI7;NIPPON INDIA FLOATING RATE FUND - DAILY IDCW REINVESTMENT Option;10.2546;25-Aug-2023")</f>
        <v>102676;-;INF204K01CI7;NIPPON INDIA FLOATING RATE FUND - DAILY IDCW REINVESTMENT Option;10.2546;25-Aug-2023</v>
      </c>
      <c r="B1204" s="1"/>
    </row>
    <row r="1205">
      <c r="A1205" s="1" t="str">
        <f>IFERROR(__xludf.DUMMYFUNCTION("""COMPUTED_VALUE"""),"118654;-;INF204K01D71;NIPPON INDIA FLOATING RATE FUND - DIRECT Plan - DAILY IDCW Option;10.2760;25-Aug-2023")</f>
        <v>118654;-;INF204K01D71;NIPPON INDIA FLOATING RATE FUND - DIRECT Plan - DAILY IDCW Option;10.2760;25-Aug-2023</v>
      </c>
      <c r="B1205" s="1"/>
    </row>
    <row r="1206">
      <c r="A1206" s="1" t="str">
        <f>IFERROR(__xludf.DUMMYFUNCTION("""COMPUTED_VALUE"""),"124590;INF204KA1DU8;INF204KA1DV6;NIPPON INDIA FLOATING RATE FUND - DIRECT Plan - IDCW Option;18.2403;25-Aug-2023")</f>
        <v>124590;INF204KA1DU8;INF204KA1DV6;NIPPON INDIA FLOATING RATE FUND - DIRECT Plan - IDCW Option;18.2403;25-Aug-2023</v>
      </c>
      <c r="B1206" s="1"/>
    </row>
    <row r="1207">
      <c r="A1207" s="1" t="str">
        <f>IFERROR(__xludf.DUMMYFUNCTION("""COMPUTED_VALUE"""),"118655;INF204K01D89;INF204K01D97;NIPPON INDIA FLOATING RATE FUND - DIRECT Plan - MONTHLY IDCW Option;11.2430;25-Aug-2023")</f>
        <v>118655;INF204K01D89;INF204K01D97;NIPPON INDIA FLOATING RATE FUND - DIRECT Plan - MONTHLY IDCW Option;11.2430;25-Aug-2023</v>
      </c>
      <c r="B1207" s="1"/>
    </row>
    <row r="1208">
      <c r="A1208" s="1" t="str">
        <f>IFERROR(__xludf.DUMMYFUNCTION("""COMPUTED_VALUE"""),"118661;INF204K01C98;INF204K01D06;NIPPON INDIA FLOATING RATE FUND - DIRECT Plan - QUARTERLY IDCW Option;10.8002;25-Aug-2023")</f>
        <v>118661;INF204K01C98;INF204K01D06;NIPPON INDIA FLOATING RATE FUND - DIRECT Plan - QUARTERLY IDCW Option;10.8002;25-Aug-2023</v>
      </c>
      <c r="B1208" s="1"/>
    </row>
    <row r="1209">
      <c r="A1209" s="1" t="str">
        <f>IFERROR(__xludf.DUMMYFUNCTION("""COMPUTED_VALUE"""),"118660;INF204K01D14;INF204K01E13;NIPPON INDIA FLOATING RATE FUND - DIRECT Plan - WEEKLY IDCW Option;10.2663;25-Aug-2023")</f>
        <v>118660;INF204K01D14;INF204K01E13;NIPPON INDIA FLOATING RATE FUND - DIRECT Plan - WEEKLY IDCW Option;10.2663;25-Aug-2023</v>
      </c>
      <c r="B1209" s="1"/>
    </row>
    <row r="1210">
      <c r="A1210" s="1" t="str">
        <f>IFERROR(__xludf.DUMMYFUNCTION("""COMPUTED_VALUE"""),"102673;INF204K01CG1;-;Nippon India Floating Rate Fund - Growth Plan-Growth Option;39.0604;25-Aug-2023")</f>
        <v>102673;INF204K01CG1;-;Nippon India Floating Rate Fund - Growth Plan-Growth Option;39.0604;25-Aug-2023</v>
      </c>
      <c r="B1210" s="1"/>
    </row>
    <row r="1211">
      <c r="A1211" s="1" t="str">
        <f>IFERROR(__xludf.DUMMYFUNCTION("""COMPUTED_VALUE"""),"124589;INF204KA1DS2;INF204KA1DT0;NIPPON INDIA FLOATING RATE FUND - IDCW Option;17.6368;25-Aug-2023")</f>
        <v>124589;INF204KA1DS2;INF204KA1DT0;NIPPON INDIA FLOATING RATE FUND - IDCW Option;17.6368;25-Aug-2023</v>
      </c>
      <c r="B1211" s="1"/>
    </row>
    <row r="1212">
      <c r="A1212" s="1" t="str">
        <f>IFERROR(__xludf.DUMMYFUNCTION("""COMPUTED_VALUE"""),"102675;INF204K01CH9;INF204K01CK3;NIPPON INDIA FLOATING RATE FUND - MONTHLY IDCW Option;11.0481;25-Aug-2023")</f>
        <v>102675;INF204K01CH9;INF204K01CK3;NIPPON INDIA FLOATING RATE FUND - MONTHLY IDCW Option;11.0481;25-Aug-2023</v>
      </c>
      <c r="B1212" s="1"/>
    </row>
    <row r="1213">
      <c r="A1213" s="1" t="str">
        <f>IFERROR(__xludf.DUMMYFUNCTION("""COMPUTED_VALUE"""),"112942;INF204K01HK2;INF204K01HL0;NIPPON INDIA FLOATING RATE FUND - QUARTERLY IDCW Option;10.9073;25-Aug-2023")</f>
        <v>112942;INF204K01HK2;INF204K01HL0;NIPPON INDIA FLOATING RATE FUND - QUARTERLY IDCW Option;10.9073;25-Aug-2023</v>
      </c>
      <c r="B1213" s="1"/>
    </row>
    <row r="1214">
      <c r="A1214" s="1" t="str">
        <f>IFERROR(__xludf.DUMMYFUNCTION("""COMPUTED_VALUE"""),"102677;INF204K01OQ5;INF204K01CJ5;NIPPON INDIA FLOATING RATE FUND - WEEKLY IDCW Option;10.2627;25-Aug-2023")</f>
        <v>102677;INF204K01OQ5;INF204K01CJ5;NIPPON INDIA FLOATING RATE FUND - WEEKLY IDCW Option;10.2627;25-Aug-2023</v>
      </c>
      <c r="B1214" s="1"/>
    </row>
    <row r="1215">
      <c r="A1215" s="1"/>
      <c r="B1215" s="1"/>
    </row>
    <row r="1216">
      <c r="A1216" s="1" t="str">
        <f>IFERROR(__xludf.DUMMYFUNCTION("""COMPUTED_VALUE"""),"SBI Mutual Fund")</f>
        <v>SBI Mutual Fund</v>
      </c>
      <c r="B1216" s="1"/>
    </row>
    <row r="1217">
      <c r="A1217" s="1"/>
      <c r="B1217" s="1"/>
    </row>
    <row r="1218">
      <c r="A1218" s="1" t="str">
        <f>IFERROR(__xludf.DUMMYFUNCTION("""COMPUTED_VALUE"""),"148550;INF200KA1R64;-;SBI Floating Rate Debt Fund - Direct Plan - Growth;11.5838;25-Aug-2023")</f>
        <v>148550;INF200KA1R64;-;SBI Floating Rate Debt Fund - Direct Plan - Growth;11.5838;25-Aug-2023</v>
      </c>
      <c r="B1218" s="1"/>
    </row>
    <row r="1219">
      <c r="A1219" s="1" t="str">
        <f>IFERROR(__xludf.DUMMYFUNCTION("""COMPUTED_VALUE"""),"148551;INF200KA1R72;INF200KA1R80;SBI Floating Rate DEBT Fund - Direct Plan - Monthly Income Distribution cum Capital Withdrawal Option (IDCW);11.5831;25-Aug-2023")</f>
        <v>148551;INF200KA1R72;INF200KA1R80;SBI Floating Rate DEBT Fund - Direct Plan - Monthly Income Distribution cum Capital Withdrawal Option (IDCW);11.5831;25-Aug-2023</v>
      </c>
      <c r="B1219" s="1"/>
    </row>
    <row r="1220">
      <c r="A1220" s="1" t="str">
        <f>IFERROR(__xludf.DUMMYFUNCTION("""COMPUTED_VALUE"""),"148549;INF200KA1R98;INF200KA1S06;SBI Floating Rate DEBT Fund - Direct Plan - Quarterly Income Distribution cum Capital Withdrawal Option (IDCW);11.5839;25-Aug-2023")</f>
        <v>148549;INF200KA1R98;INF200KA1S06;SBI Floating Rate DEBT Fund - Direct Plan - Quarterly Income Distribution cum Capital Withdrawal Option (IDCW);11.5839;25-Aug-2023</v>
      </c>
      <c r="B1220" s="1"/>
    </row>
    <row r="1221">
      <c r="A1221" s="1" t="str">
        <f>IFERROR(__xludf.DUMMYFUNCTION("""COMPUTED_VALUE"""),"148543;INF200KA1R15;-;SBI Floating Rate Debt Fund - Regular Plan - Growth;11.5177;25-Aug-2023")</f>
        <v>148543;INF200KA1R15;-;SBI Floating Rate Debt Fund - Regular Plan - Growth;11.5177;25-Aug-2023</v>
      </c>
      <c r="B1221" s="1"/>
    </row>
    <row r="1222">
      <c r="A1222" s="1" t="str">
        <f>IFERROR(__xludf.DUMMYFUNCTION("""COMPUTED_VALUE"""),"148544;INF200KA1R23;INF200KA1R31;SBI Floating Rate DEBT Fund - Regular Plan - Monthly Income Distribution cum Capital Withdrawal Option (IDCW);11.5184;25-Aug-2023")</f>
        <v>148544;INF200KA1R23;INF200KA1R31;SBI Floating Rate DEBT Fund - Regular Plan - Monthly Income Distribution cum Capital Withdrawal Option (IDCW);11.5184;25-Aug-2023</v>
      </c>
      <c r="B1222" s="1"/>
    </row>
    <row r="1223">
      <c r="A1223" s="1" t="str">
        <f>IFERROR(__xludf.DUMMYFUNCTION("""COMPUTED_VALUE"""),"148546;INF200KA1R49;INF200KA1R56;SBI Floating Rate DEBT Fund - Regular Plan - Quarterly Income Distribution cum Capital Withdrawal Option (IDCW);11.5185;25-Aug-2023")</f>
        <v>148546;INF200KA1R49;INF200KA1R56;SBI Floating Rate DEBT Fund - Regular Plan - Quarterly Income Distribution cum Capital Withdrawal Option (IDCW);11.5185;25-Aug-2023</v>
      </c>
      <c r="B1223" s="1"/>
    </row>
    <row r="1224">
      <c r="A1224" s="1"/>
      <c r="B1224" s="1"/>
    </row>
    <row r="1225">
      <c r="A1225" s="1" t="str">
        <f>IFERROR(__xludf.DUMMYFUNCTION("""COMPUTED_VALUE"""),"Tata Mutual Fund")</f>
        <v>Tata Mutual Fund</v>
      </c>
      <c r="B1225" s="1"/>
    </row>
    <row r="1226">
      <c r="A1226" s="1"/>
      <c r="B1226" s="1"/>
    </row>
    <row r="1227">
      <c r="A1227" s="1" t="str">
        <f>IFERROR(__xludf.DUMMYFUNCTION("""COMPUTED_VALUE"""),"149007;INF277KA1026;-;Tata Floating Rate Fund -Direct Plan-Growth;11.2167;25-Aug-2023")</f>
        <v>149007;INF277KA1026;-;Tata Floating Rate Fund -Direct Plan-Growth;11.2167;25-Aug-2023</v>
      </c>
      <c r="B1227" s="1"/>
    </row>
    <row r="1228">
      <c r="A1228" s="1" t="str">
        <f>IFERROR(__xludf.DUMMYFUNCTION("""COMPUTED_VALUE"""),"149037;-;INF277KA1075;Tata Floating Rate Fund-Direct Plan-IDCW Monthly Dividend Reinvestment;11.2167;25-Aug-2023")</f>
        <v>149037;-;INF277KA1075;Tata Floating Rate Fund-Direct Plan-IDCW Monthly Dividend Reinvestment;11.2167;25-Aug-2023</v>
      </c>
      <c r="B1228" s="1"/>
    </row>
    <row r="1229">
      <c r="A1229" s="1" t="str">
        <f>IFERROR(__xludf.DUMMYFUNCTION("""COMPUTED_VALUE"""),"149000;INF277KA1042;-;Tata Floating Rate Fund-Direct Plan-IDCW Monthly Payout;11.2167;25-Aug-2023")</f>
        <v>149000;INF277KA1042;-;Tata Floating Rate Fund-Direct Plan-IDCW Monthly Payout;11.2167;25-Aug-2023</v>
      </c>
      <c r="B1229" s="1"/>
    </row>
    <row r="1230">
      <c r="A1230" s="1" t="str">
        <f>IFERROR(__xludf.DUMMYFUNCTION("""COMPUTED_VALUE"""),"149033;-;INF277KA1067;Tata Floating Rate Fund-Direct Plan-IDCW Periodic Dividend Reinvestment;11.2167;25-Aug-2023")</f>
        <v>149033;-;INF277KA1067;Tata Floating Rate Fund-Direct Plan-IDCW Periodic Dividend Reinvestment;11.2167;25-Aug-2023</v>
      </c>
      <c r="B1230" s="1"/>
    </row>
    <row r="1231">
      <c r="A1231" s="1" t="str">
        <f>IFERROR(__xludf.DUMMYFUNCTION("""COMPUTED_VALUE"""),"149002;INF277KA1034;-;Tata Floating Rate Fund-Direct Plan-IDCW Periodic Payout;11.2167;25-Aug-2023")</f>
        <v>149002;INF277KA1034;-;Tata Floating Rate Fund-Direct Plan-IDCW Periodic Payout;11.2167;25-Aug-2023</v>
      </c>
      <c r="B1231" s="1"/>
    </row>
    <row r="1232">
      <c r="A1232" s="1" t="str">
        <f>IFERROR(__xludf.DUMMYFUNCTION("""COMPUTED_VALUE"""),"149034;-;INF277KA1083;Tata Floating Rate Fund-Direct Plan-IDCW Quarterly Dividend Reinvestment;11.2167;25-Aug-2023")</f>
        <v>149034;-;INF277KA1083;Tata Floating Rate Fund-Direct Plan-IDCW Quarterly Dividend Reinvestment;11.2167;25-Aug-2023</v>
      </c>
      <c r="B1232" s="1"/>
    </row>
    <row r="1233">
      <c r="A1233" s="1" t="str">
        <f>IFERROR(__xludf.DUMMYFUNCTION("""COMPUTED_VALUE"""),"149001;INF277KA1059;-;Tata Floating Rate Fund-Direct Plan-IDCW Quarterly Payout;11.2167;25-Aug-2023")</f>
        <v>149001;INF277KA1059;-;Tata Floating Rate Fund-Direct Plan-IDCW Quarterly Payout;11.2167;25-Aug-2023</v>
      </c>
      <c r="B1233" s="1"/>
    </row>
    <row r="1234">
      <c r="A1234" s="1" t="str">
        <f>IFERROR(__xludf.DUMMYFUNCTION("""COMPUTED_VALUE"""),"149003;INF277KA1091;-;Tata Floating Rate Fund-Regular Plan-Growth;11.1114;25-Aug-2023")</f>
        <v>149003;INF277KA1091;-;Tata Floating Rate Fund-Regular Plan-Growth;11.1114;25-Aug-2023</v>
      </c>
      <c r="B1234" s="1"/>
    </row>
    <row r="1235">
      <c r="A1235" s="1" t="str">
        <f>IFERROR(__xludf.DUMMYFUNCTION("""COMPUTED_VALUE"""),"149035;-;INF277KA1141;Tata Floating Rate Fund-Regular Plan-IDCW Monthly Dividend Reinvestment;11.1114;25-Aug-2023")</f>
        <v>149035;-;INF277KA1141;Tata Floating Rate Fund-Regular Plan-IDCW Monthly Dividend Reinvestment;11.1114;25-Aug-2023</v>
      </c>
      <c r="B1235" s="1"/>
    </row>
    <row r="1236">
      <c r="A1236" s="1" t="str">
        <f>IFERROR(__xludf.DUMMYFUNCTION("""COMPUTED_VALUE"""),"149004;INF277KA1117;-;Tata Floating Rate Fund-Regular Plan-IDCW Monthly Payout;11.1114;25-Aug-2023")</f>
        <v>149004;INF277KA1117;-;Tata Floating Rate Fund-Regular Plan-IDCW Monthly Payout;11.1114;25-Aug-2023</v>
      </c>
      <c r="B1236" s="1"/>
    </row>
    <row r="1237">
      <c r="A1237" s="1" t="str">
        <f>IFERROR(__xludf.DUMMYFUNCTION("""COMPUTED_VALUE"""),"149036;-;INF277KA1133;Tata Floating Rate Fund-Regular Plan-IDCW Periodic Dividend Reinvestment;11.1114;25-Aug-2023")</f>
        <v>149036;-;INF277KA1133;Tata Floating Rate Fund-Regular Plan-IDCW Periodic Dividend Reinvestment;11.1114;25-Aug-2023</v>
      </c>
      <c r="B1237" s="1"/>
    </row>
    <row r="1238">
      <c r="A1238" s="1" t="str">
        <f>IFERROR(__xludf.DUMMYFUNCTION("""COMPUTED_VALUE"""),"149006;INF277KA1109;-;Tata Floating Rate Fund-Regular Plan-IDCW Periodic Payout;11.1114;25-Aug-2023")</f>
        <v>149006;INF277KA1109;-;Tata Floating Rate Fund-Regular Plan-IDCW Periodic Payout;11.1114;25-Aug-2023</v>
      </c>
      <c r="B1238" s="1"/>
    </row>
    <row r="1239">
      <c r="A1239" s="1" t="str">
        <f>IFERROR(__xludf.DUMMYFUNCTION("""COMPUTED_VALUE"""),"149038;-;INF277KA1158;Tata Floating Rate Fund-Regular Plan-IDCW Quarterly Dividend Reinvestment;11.1114;25-Aug-2023")</f>
        <v>149038;-;INF277KA1158;Tata Floating Rate Fund-Regular Plan-IDCW Quarterly Dividend Reinvestment;11.1114;25-Aug-2023</v>
      </c>
      <c r="B1239" s="1"/>
    </row>
    <row r="1240">
      <c r="A1240" s="1" t="str">
        <f>IFERROR(__xludf.DUMMYFUNCTION("""COMPUTED_VALUE"""),"149005;INF277KA1125;-;Tata Floating Rate Fund-Regular Plan-IDCW Quarterly Payout;11.1114;25-Aug-2023")</f>
        <v>149005;INF277KA1125;-;Tata Floating Rate Fund-Regular Plan-IDCW Quarterly Payout;11.1114;25-Aug-2023</v>
      </c>
      <c r="B1240" s="1"/>
    </row>
    <row r="1241">
      <c r="A1241" s="1"/>
      <c r="B1241" s="1"/>
    </row>
    <row r="1242">
      <c r="A1242" s="1" t="str">
        <f>IFERROR(__xludf.DUMMYFUNCTION("""COMPUTED_VALUE"""),"UTI Mutual Fund")</f>
        <v>UTI Mutual Fund</v>
      </c>
      <c r="B1242" s="1"/>
    </row>
    <row r="1243">
      <c r="A1243" s="1"/>
      <c r="B1243" s="1"/>
    </row>
    <row r="1244">
      <c r="A1244" s="1" t="str">
        <f>IFERROR(__xludf.DUMMYFUNCTION("""COMPUTED_VALUE"""),"145295;INF789F1ACX5;-;UTI - Floater Fund - Direct Plan - Growth Option;1365.1822;25-Aug-2023")</f>
        <v>145295;INF789F1ACX5;-;UTI - Floater Fund - Direct Plan - Growth Option;1365.1822;25-Aug-2023</v>
      </c>
      <c r="B1244" s="1"/>
    </row>
    <row r="1245">
      <c r="A1245" s="1" t="str">
        <f>IFERROR(__xludf.DUMMYFUNCTION("""COMPUTED_VALUE"""),"145287;INF789F1ACO4;-;UTI - Floater Fund - Regular Plan  - Growth Option;1315.649;25-Aug-2023")</f>
        <v>145287;INF789F1ACO4;-;UTI - Floater Fund - Regular Plan  - Growth Option;1315.649;25-Aug-2023</v>
      </c>
      <c r="B1245" s="1"/>
    </row>
    <row r="1246">
      <c r="A1246" s="1" t="str">
        <f>IFERROR(__xludf.DUMMYFUNCTION("""COMPUTED_VALUE"""),"145293;INF789F1ADA1;INF789F1ADB9;UTI Floater Fund - Direct Plan - Annual IDCW;1249.7141;25-Aug-2023")</f>
        <v>145293;INF789F1ADA1;INF789F1ADB9;UTI Floater Fund - Direct Plan - Annual IDCW;1249.7141;25-Aug-2023</v>
      </c>
      <c r="B1246" s="1"/>
    </row>
    <row r="1247">
      <c r="A1247" s="1" t="str">
        <f>IFERROR(__xludf.DUMMYFUNCTION("""COMPUTED_VALUE"""),"145291;INF789F1ADE3;INF789F1ADF0;UTI Floater Fund - Direct Plan - Flexi IDCW;1286.1039;25-Aug-2023")</f>
        <v>145291;INF789F1ADE3;INF789F1ADF0;UTI Floater Fund - Direct Plan - Flexi IDCW;1286.1039;25-Aug-2023</v>
      </c>
      <c r="B1247" s="1"/>
    </row>
    <row r="1248">
      <c r="A1248" s="1" t="str">
        <f>IFERROR(__xludf.DUMMYFUNCTION("""COMPUTED_VALUE"""),"145296;INF789F1ADC7;INF789F1ADD5;UTI Floater Fund - Direct Plan - Half-Yearly IDCW;1244.394;25-Aug-2023")</f>
        <v>145296;INF789F1ADC7;INF789F1ADD5;UTI Floater Fund - Direct Plan - Half-Yearly IDCW;1244.394;25-Aug-2023</v>
      </c>
      <c r="B1248" s="1"/>
    </row>
    <row r="1249">
      <c r="A1249" s="1" t="str">
        <f>IFERROR(__xludf.DUMMYFUNCTION("""COMPUTED_VALUE"""),"145290;INF789F1ACY3;INF789F1ACZ0;UTI Floater Fund - Direct Plan - Quarterly IDCW;1249.4582;25-Aug-2023")</f>
        <v>145290;INF789F1ACY3;INF789F1ACZ0;UTI Floater Fund - Direct Plan - Quarterly IDCW;1249.4582;25-Aug-2023</v>
      </c>
      <c r="B1249" s="1"/>
    </row>
    <row r="1250">
      <c r="A1250" s="1" t="str">
        <f>IFERROR(__xludf.DUMMYFUNCTION("""COMPUTED_VALUE"""),"145289;INF789F1ACR7;INF789F1ACS5;UTI Floater Fund - Regular Plan - Annual IDCW;1249.461;25-Aug-2023")</f>
        <v>145289;INF789F1ACR7;INF789F1ACS5;UTI Floater Fund - Regular Plan - Annual IDCW;1249.461;25-Aug-2023</v>
      </c>
      <c r="B1250" s="1"/>
    </row>
    <row r="1251">
      <c r="A1251" s="1" t="str">
        <f>IFERROR(__xludf.DUMMYFUNCTION("""COMPUTED_VALUE"""),"145292;INF789F1ACV9;INF789F1ACW7;UTI Floater Fund - Regular Plan - Flexi IDCW;1202.7368;25-Aug-2023")</f>
        <v>145292;INF789F1ACV9;INF789F1ACW7;UTI Floater Fund - Regular Plan - Flexi IDCW;1202.7368;25-Aug-2023</v>
      </c>
      <c r="B1251" s="1"/>
    </row>
    <row r="1252">
      <c r="A1252" s="1" t="str">
        <f>IFERROR(__xludf.DUMMYFUNCTION("""COMPUTED_VALUE"""),"145288;INF789F1ACT3;INF789F1ACU1;UTI Floater Fund - Regular Plan - Half-Yearly IDCW;1161.9206;25-Aug-2023")</f>
        <v>145288;INF789F1ACT3;INF789F1ACU1;UTI Floater Fund - Regular Plan - Half-Yearly IDCW;1161.9206;25-Aug-2023</v>
      </c>
      <c r="B1252" s="1"/>
    </row>
    <row r="1253">
      <c r="A1253" s="1" t="str">
        <f>IFERROR(__xludf.DUMMYFUNCTION("""COMPUTED_VALUE"""),"145294;INF789F1ACP1;INF789F1ACQ9;UTI Floater Fund - Regular Plan - Quarterly IDCW;1153.0657;25-Aug-2023")</f>
        <v>145294;INF789F1ACP1;INF789F1ACQ9;UTI Floater Fund - Regular Plan - Quarterly IDCW;1153.0657;25-Aug-2023</v>
      </c>
      <c r="B1253" s="1"/>
    </row>
    <row r="1254">
      <c r="A1254" s="1"/>
      <c r="B1254" s="1"/>
    </row>
    <row r="1255">
      <c r="A1255" s="1" t="str">
        <f>IFERROR(__xludf.DUMMYFUNCTION("""COMPUTED_VALUE"""),"Open Ended Schemes(Debt Scheme - Gilt Fund)")</f>
        <v>Open Ended Schemes(Debt Scheme - Gilt Fund)</v>
      </c>
      <c r="B1255" s="1"/>
    </row>
    <row r="1256">
      <c r="A1256" s="1"/>
      <c r="B1256" s="1"/>
    </row>
    <row r="1257">
      <c r="A1257" s="1" t="str">
        <f>IFERROR(__xludf.DUMMYFUNCTION("""COMPUTED_VALUE"""),"Aditya Birla Sun Life Mutual Fund")</f>
        <v>Aditya Birla Sun Life Mutual Fund</v>
      </c>
      <c r="B1257" s="1"/>
    </row>
    <row r="1258">
      <c r="A1258" s="1"/>
      <c r="B1258" s="1"/>
    </row>
    <row r="1259">
      <c r="A1259" s="1" t="str">
        <f>IFERROR(__xludf.DUMMYFUNCTION("""COMPUTED_VALUE"""),"119606;INF209KA1LC4;-;Aditya Birla Sun Life Govenment Securities Fund -DIRECT - Quarterly IDCW;11.7584;25-Aug-2023")</f>
        <v>119606;INF209KA1LC4;-;Aditya Birla Sun Life Govenment Securities Fund -DIRECT - Quarterly IDCW;11.7584;25-Aug-2023</v>
      </c>
      <c r="B1259" s="1"/>
    </row>
    <row r="1260">
      <c r="A1260" s="1" t="str">
        <f>IFERROR(__xludf.DUMMYFUNCTION("""COMPUTED_VALUE"""),"100057;INF209K01AF6;INF209K01DP9;Aditya Birla Sun Life Govenment Securities Fund -Regular - Quarterly IDCW;11.1646;25-Aug-2023")</f>
        <v>100057;INF209K01AF6;INF209K01DP9;Aditya Birla Sun Life Govenment Securities Fund -Regular - Quarterly IDCW;11.1646;25-Aug-2023</v>
      </c>
      <c r="B1260" s="1"/>
    </row>
    <row r="1261">
      <c r="A1261" s="1" t="str">
        <f>IFERROR(__xludf.DUMMYFUNCTION("""COMPUTED_VALUE"""),"100058;INF209K01AC3;INF209K01AD1;Aditya Birla Sun Life Government Securities Fund  - Growth - Regular Plan;70.162;25-Aug-2023")</f>
        <v>100058;INF209K01AC3;INF209K01AD1;Aditya Birla Sun Life Government Securities Fund  - Growth - Regular Plan;70.162;25-Aug-2023</v>
      </c>
      <c r="B1261" s="1"/>
    </row>
    <row r="1262">
      <c r="A1262" s="1" t="str">
        <f>IFERROR(__xludf.DUMMYFUNCTION("""COMPUTED_VALUE"""),"119605;INF209K01XP7;-;Aditya Birla Sun Life Government Securities Fund - Growth - Direct Plan;74.4884;25-Aug-2023")</f>
        <v>119605;INF209K01XP7;-;Aditya Birla Sun Life Government Securities Fund - Growth - Direct Plan;74.4884;25-Aug-2023</v>
      </c>
      <c r="B1262" s="1"/>
    </row>
    <row r="1263">
      <c r="A1263" s="1"/>
      <c r="B1263" s="1"/>
    </row>
    <row r="1264">
      <c r="A1264" s="1" t="str">
        <f>IFERROR(__xludf.DUMMYFUNCTION("""COMPUTED_VALUE"""),"Axis Mutual Fund")</f>
        <v>Axis Mutual Fund</v>
      </c>
      <c r="B1264" s="1"/>
    </row>
    <row r="1265">
      <c r="A1265" s="1"/>
      <c r="B1265" s="1"/>
    </row>
    <row r="1266">
      <c r="A1266" s="1" t="str">
        <f>IFERROR(__xludf.DUMMYFUNCTION("""COMPUTED_VALUE"""),"151436;INF846K013O9;INF846K014O7;AXIS CRISIL IBX 50:50 Gilt Plus SDL September 2027 Index Fund- DIRECT PLAN- IDCW;10.4198;25-Aug-2023")</f>
        <v>151436;INF846K013O9;INF846K014O7;AXIS CRISIL IBX 50:50 Gilt Plus SDL September 2027 Index Fund- DIRECT PLAN- IDCW;10.4198;25-Aug-2023</v>
      </c>
      <c r="B1266" s="1"/>
    </row>
    <row r="1267">
      <c r="A1267" s="1" t="str">
        <f>IFERROR(__xludf.DUMMYFUNCTION("""COMPUTED_VALUE"""),"151435;INF846K012O1;-;AXIS CRISIL IBX 50:50 Gilt Plus SDL September 2027 Index Fund- DIRECT PLAN-GROWTH;10.4198;25-Aug-2023")</f>
        <v>151435;INF846K012O1;-;AXIS CRISIL IBX 50:50 Gilt Plus SDL September 2027 Index Fund- DIRECT PLAN-GROWTH;10.4198;25-Aug-2023</v>
      </c>
      <c r="B1267" s="1"/>
    </row>
    <row r="1268">
      <c r="A1268" s="1" t="str">
        <f>IFERROR(__xludf.DUMMYFUNCTION("""COMPUTED_VALUE"""),"151433;INF846K015O4;-;AXIS CRISIL IBX 50:50 Gilt Plus SDL September 2027 Index Fund- REGULAR PLAN-GROWTH;10.4070;25-Aug-2023")</f>
        <v>151433;INF846K015O4;-;AXIS CRISIL IBX 50:50 Gilt Plus SDL September 2027 Index Fund- REGULAR PLAN-GROWTH;10.4070;25-Aug-2023</v>
      </c>
      <c r="B1268" s="1"/>
    </row>
    <row r="1269">
      <c r="A1269" s="1" t="str">
        <f>IFERROR(__xludf.DUMMYFUNCTION("""COMPUTED_VALUE"""),"151434;INF846K016O2;INF846K017O0;AXIS CRISIL IBX 50:50 Gilt Plus SDL September 2027 Index Fund- REGULAR PLAN-IDCW;10.4069;25-Aug-2023")</f>
        <v>151434;INF846K016O2;INF846K017O0;AXIS CRISIL IBX 50:50 Gilt Plus SDL September 2027 Index Fund- REGULAR PLAN-IDCW;10.4069;25-Aug-2023</v>
      </c>
      <c r="B1269" s="1"/>
    </row>
    <row r="1270">
      <c r="A1270" s="1" t="str">
        <f>IFERROR(__xludf.DUMMYFUNCTION("""COMPUTED_VALUE"""),"128957;INF846K01NJ0;-;Axis Gilt Fund - Direct Plan - Bonus Option;14.7352;06-Oct-2016")</f>
        <v>128957;INF846K01NJ0;-;Axis Gilt Fund - Direct Plan - Bonus Option;14.7352;06-Oct-2016</v>
      </c>
      <c r="B1270" s="1"/>
    </row>
    <row r="1271">
      <c r="A1271" s="1" t="str">
        <f>IFERROR(__xludf.DUMMYFUNCTION("""COMPUTED_VALUE"""),"120447;INF846K01DD4;-;Axis Gilt Fund - Direct Plan - Growth Option;23.0043;25-Aug-2023")</f>
        <v>120447;INF846K01DD4;-;Axis Gilt Fund - Direct Plan - Growth Option;23.0043;25-Aug-2023</v>
      </c>
      <c r="B1271" s="1"/>
    </row>
    <row r="1272">
      <c r="A1272" s="1" t="str">
        <f>IFERROR(__xludf.DUMMYFUNCTION("""COMPUTED_VALUE"""),"120448;INF846K01DF9;INF846K01DE2;Axis Gilt Fund - Direct Plan - Half Yearly IDCW;10.7142;25-Aug-2023")</f>
        <v>120448;INF846K01DF9;INF846K01DE2;Axis Gilt Fund - Direct Plan - Half Yearly IDCW;10.7142;25-Aug-2023</v>
      </c>
      <c r="B1272" s="1"/>
    </row>
    <row r="1273">
      <c r="A1273" s="1" t="str">
        <f>IFERROR(__xludf.DUMMYFUNCTION("""COMPUTED_VALUE"""),"120449;INF846K01DG7;INF846K01DH5;Axis Gilt Fund - Direct Plan - Regular IDCW;10.0038;25-Aug-2023")</f>
        <v>120449;INF846K01DG7;INF846K01DH5;Axis Gilt Fund - Direct Plan - Regular IDCW;10.0038;25-Aug-2023</v>
      </c>
      <c r="B1273" s="1"/>
    </row>
    <row r="1274">
      <c r="A1274" s="1" t="str">
        <f>IFERROR(__xludf.DUMMYFUNCTION("""COMPUTED_VALUE"""),"116471;INF846K01AX8;-;Axis Gilt Fund - Regular Plan - Growth Option;21.7391;25-Aug-2023")</f>
        <v>116471;INF846K01AX8;-;Axis Gilt Fund - Regular Plan - Growth Option;21.7391;25-Aug-2023</v>
      </c>
      <c r="B1274" s="1"/>
    </row>
    <row r="1275">
      <c r="A1275" s="1" t="str">
        <f>IFERROR(__xludf.DUMMYFUNCTION("""COMPUTED_VALUE"""),"116472;INF846K01AZ3;INF846K01BB2;Axis Gilt Fund - Regular Plan - Half Yearly IDCW;10.3790;25-Aug-2023")</f>
        <v>116472;INF846K01AZ3;INF846K01BB2;Axis Gilt Fund - Regular Plan - Half Yearly IDCW;10.3790;25-Aug-2023</v>
      </c>
      <c r="B1275" s="1"/>
    </row>
    <row r="1276">
      <c r="A1276" s="1" t="str">
        <f>IFERROR(__xludf.DUMMYFUNCTION("""COMPUTED_VALUE"""),"116470;INF846K01CK1;INF846K01CL9;Axis Gilt Fund - Regular Plan - Regular IDCW;10.0025;25-Aug-2023")</f>
        <v>116470;INF846K01CK1;INF846K01CL9;Axis Gilt Fund - Regular Plan - Regular IDCW;10.0025;25-Aug-2023</v>
      </c>
      <c r="B1276" s="1"/>
    </row>
    <row r="1277">
      <c r="A1277" s="1"/>
      <c r="B1277" s="1"/>
    </row>
    <row r="1278">
      <c r="A1278" s="1" t="str">
        <f>IFERROR(__xludf.DUMMYFUNCTION("""COMPUTED_VALUE"""),"Bandhan Mutual Fund")</f>
        <v>Bandhan Mutual Fund</v>
      </c>
      <c r="B1278" s="1"/>
    </row>
    <row r="1279">
      <c r="A1279" s="1"/>
      <c r="B1279" s="1"/>
    </row>
    <row r="1280">
      <c r="A1280" s="1" t="str">
        <f>IFERROR(__xludf.DUMMYFUNCTION("""COMPUTED_VALUE"""),"108558;INF194K01EB1;INF194K01EA3;BANDHAN Government Securities Fund - IP - Regular - Plan B - Half Yearly IDCW;11.1688;25-Aug-2023")</f>
        <v>108558;INF194K01EB1;INF194K01EA3;BANDHAN Government Securities Fund - IP - Regular - Plan B - Half Yearly IDCW;11.1688;25-Aug-2023</v>
      </c>
      <c r="B1280" s="1"/>
    </row>
    <row r="1281">
      <c r="A1281" s="1" t="str">
        <f>IFERROR(__xludf.DUMMYFUNCTION("""COMPUTED_VALUE"""),"108559;INF194K01EE5;INF194K01ED7;BANDHAN Government Securities Fund - IP - Regular Plan - Annual IDCW;11.1170;25-Aug-2023")</f>
        <v>108559;INF194K01EE5;INF194K01ED7;BANDHAN Government Securities Fund - IP - Regular Plan - Annual IDCW;11.1170;25-Aug-2023</v>
      </c>
      <c r="B1281" s="1"/>
    </row>
    <row r="1282">
      <c r="A1282" s="1" t="str">
        <f>IFERROR(__xludf.DUMMYFUNCTION("""COMPUTED_VALUE"""),"108557;INF194K01EH8;INF194K01EG0;BANDHAN Government Securities Fund - IP - Regular Plan - Quarterly IDCW;11.5606;25-Aug-2023")</f>
        <v>108557;INF194K01EH8;INF194K01EG0;BANDHAN Government Securities Fund - IP - Regular Plan - Quarterly IDCW;11.5606;25-Aug-2023</v>
      </c>
      <c r="B1282" s="1"/>
    </row>
    <row r="1283">
      <c r="A1283" s="1" t="str">
        <f>IFERROR(__xludf.DUMMYFUNCTION("""COMPUTED_VALUE"""),"131395;INF194KA1RW6;INF194KA1RX4;BANDHAN Government Securities Fund - IP - Regular -Plan B - Periodic IDCW;14.1936;25-Aug-2023")</f>
        <v>131395;INF194KA1RW6;INF194KA1RX4;BANDHAN Government Securities Fund - IP - Regular -Plan B - Periodic IDCW;14.1936;25-Aug-2023</v>
      </c>
      <c r="B1283" s="1"/>
    </row>
    <row r="1284">
      <c r="A1284" s="1" t="str">
        <f>IFERROR(__xludf.DUMMYFUNCTION("""COMPUTED_VALUE"""),"111525;INF194K01DZ2;-;BANDHAN Government Securities Fund - IP - Regular Plan - Growth;30.2178;25-Aug-2023")</f>
        <v>111525;INF194K01DZ2;-;BANDHAN Government Securities Fund - IP - Regular Plan - Growth;30.2178;25-Aug-2023</v>
      </c>
      <c r="B1284" s="1"/>
    </row>
    <row r="1285">
      <c r="A1285" s="1" t="str">
        <f>IFERROR(__xludf.DUMMYFUNCTION("""COMPUTED_VALUE"""),"111527;INF194K01EK2;INF194K01EJ4;BANDHAN Government Securities Fund - IP - Regular Plan - IDCW;11.3872;25-Aug-2023")</f>
        <v>111527;INF194K01EK2;INF194K01EJ4;BANDHAN Government Securities Fund - IP - Regular Plan - IDCW;11.3872;25-Aug-2023</v>
      </c>
      <c r="B1285" s="1"/>
    </row>
    <row r="1286">
      <c r="A1286" s="1" t="str">
        <f>IFERROR(__xludf.DUMMYFUNCTION("""COMPUTED_VALUE"""),"118467;INF194K01Q78;INF194K01Q60;BANDHAN Government Securities Fund-  Investment Plan-Direct Plan-Annual IDCW;12.1949;25-Aug-2023")</f>
        <v>118467;INF194K01Q78;INF194K01Q60;BANDHAN Government Securities Fund-  Investment Plan-Direct Plan-Annual IDCW;12.1949;25-Aug-2023</v>
      </c>
      <c r="B1286" s="1"/>
    </row>
    <row r="1287">
      <c r="A1287" s="1" t="str">
        <f>IFERROR(__xludf.DUMMYFUNCTION("""COMPUTED_VALUE"""),"118464;INF194K01Q29;-;BANDHAN Government Securities Fund-  Investment Plan-Direct Plan-Growth;32.2917;25-Aug-2023")</f>
        <v>118464;INF194K01Q29;-;BANDHAN Government Securities Fund-  Investment Plan-Direct Plan-Growth;32.2917;25-Aug-2023</v>
      </c>
      <c r="B1287" s="1"/>
    </row>
    <row r="1288">
      <c r="A1288" s="1" t="str">
        <f>IFERROR(__xludf.DUMMYFUNCTION("""COMPUTED_VALUE"""),"118465;INF194K01Q45;INF194K01Q37;BANDHAN Government Securities Fund-  Investment Plan-Direct Plan-Half Yearly IDCW;12.1229;25-Aug-2023")</f>
        <v>118465;INF194K01Q45;INF194K01Q37;BANDHAN Government Securities Fund-  Investment Plan-Direct Plan-Half Yearly IDCW;12.1229;25-Aug-2023</v>
      </c>
      <c r="B1288" s="1"/>
    </row>
    <row r="1289">
      <c r="A1289" s="1" t="str">
        <f>IFERROR(__xludf.DUMMYFUNCTION("""COMPUTED_VALUE"""),"118463;INF194K01R36;INF194K01R28;BANDHAN Government Securities Fund-  Investment Plan-Direct Plan-IDCW;12.4507;25-Aug-2023")</f>
        <v>118463;INF194K01R36;INF194K01R28;BANDHAN Government Securities Fund-  Investment Plan-Direct Plan-IDCW;12.4507;25-Aug-2023</v>
      </c>
      <c r="B1289" s="1"/>
    </row>
    <row r="1290">
      <c r="A1290" s="1" t="str">
        <f>IFERROR(__xludf.DUMMYFUNCTION("""COMPUTED_VALUE"""),"131394;INF194KA1RZ9;INF194KA1SA0;BANDHAN Government Securities Fund-  Investment Plan-Direct Plan-Periodic IDCW;15.2845;25-Aug-2023")</f>
        <v>131394;INF194KA1RZ9;INF194KA1SA0;BANDHAN Government Securities Fund-  Investment Plan-Direct Plan-Periodic IDCW;15.2845;25-Aug-2023</v>
      </c>
      <c r="B1290" s="1"/>
    </row>
    <row r="1291">
      <c r="A1291" s="1" t="str">
        <f>IFERROR(__xludf.DUMMYFUNCTION("""COMPUTED_VALUE"""),"118466;INF194K01R02;INF194K01Q94;BANDHAN Government Securities Fund-  Investment Plan-Direct Plan-Quarterly IDCW;11.2520;25-Aug-2023")</f>
        <v>118466;INF194K01R02;INF194K01Q94;BANDHAN Government Securities Fund-  Investment Plan-Direct Plan-Quarterly IDCW;11.2520;25-Aug-2023</v>
      </c>
      <c r="B1291" s="1"/>
    </row>
    <row r="1292">
      <c r="A1292" s="1"/>
      <c r="B1292" s="1"/>
    </row>
    <row r="1293">
      <c r="A1293" s="1" t="str">
        <f>IFERROR(__xludf.DUMMYFUNCTION("""COMPUTED_VALUE"""),"Baroda BNP Paribas Mutual Fund")</f>
        <v>Baroda BNP Paribas Mutual Fund</v>
      </c>
      <c r="B1293" s="1"/>
    </row>
    <row r="1294">
      <c r="A1294" s="1"/>
      <c r="B1294" s="1"/>
    </row>
    <row r="1295">
      <c r="A1295" s="1" t="str">
        <f>IFERROR(__xludf.DUMMYFUNCTION("""COMPUTED_VALUE"""),"119341;INF955L01AD7;-;Baroda BNP Paribas GILT FUND - Direct Plan - Growth Option;39.7825;25-Aug-2023")</f>
        <v>119341;INF955L01AD7;-;Baroda BNP Paribas GILT FUND - Direct Plan - Growth Option;39.7825;25-Aug-2023</v>
      </c>
      <c r="B1295" s="1"/>
    </row>
    <row r="1296">
      <c r="A1296" s="1" t="str">
        <f>IFERROR(__xludf.DUMMYFUNCTION("""COMPUTED_VALUE"""),"119340;INF955L01AB1;INF955L01AC9;Baroda BNP Paribas GILT FUND - Direct Plan - IDCW Option;31.3923;25-Aug-2023")</f>
        <v>119340;INF955L01AB1;INF955L01AC9;Baroda BNP Paribas GILT FUND - Direct Plan - IDCW Option;31.3923;25-Aug-2023</v>
      </c>
      <c r="B1296" s="1"/>
    </row>
    <row r="1297">
      <c r="A1297" s="1" t="str">
        <f>IFERROR(__xludf.DUMMYFUNCTION("""COMPUTED_VALUE"""),"101187;INF955L01450;-;Baroda BNP Paribas GILT FUND - Regular Plan - Growth Option;36.4657;25-Aug-2023")</f>
        <v>101187;INF955L01450;-;Baroda BNP Paribas GILT FUND - Regular Plan - Growth Option;36.4657;25-Aug-2023</v>
      </c>
      <c r="B1297" s="1"/>
    </row>
    <row r="1298">
      <c r="A1298" s="1" t="str">
        <f>IFERROR(__xludf.DUMMYFUNCTION("""COMPUTED_VALUE"""),"101188;INF955L01435;INF955L01443;Baroda BNP Paribas GILT FUND - Regular Plan - IDCW Option;23.2656;25-Aug-2023")</f>
        <v>101188;INF955L01435;INF955L01443;Baroda BNP Paribas GILT FUND - Regular Plan - IDCW Option;23.2656;25-Aug-2023</v>
      </c>
      <c r="B1298" s="1"/>
    </row>
    <row r="1299">
      <c r="A1299" s="1"/>
      <c r="B1299" s="1"/>
    </row>
    <row r="1300">
      <c r="A1300" s="1" t="str">
        <f>IFERROR(__xludf.DUMMYFUNCTION("""COMPUTED_VALUE"""),"Canara Robeco Mutual Fund")</f>
        <v>Canara Robeco Mutual Fund</v>
      </c>
      <c r="B1300" s="1"/>
    </row>
    <row r="1301">
      <c r="A1301" s="1"/>
      <c r="B1301" s="1"/>
    </row>
    <row r="1302">
      <c r="A1302" s="1" t="str">
        <f>IFERROR(__xludf.DUMMYFUNCTION("""COMPUTED_VALUE"""),"118299;INF760K01FC4;-;CANARA ROBECO GILT FUND - DIRECT PLAN - GROWTH OPTION;69.8254;25-Aug-2023")</f>
        <v>118299;INF760K01FC4;-;CANARA ROBECO GILT FUND - DIRECT PLAN - GROWTH OPTION;69.8254;25-Aug-2023</v>
      </c>
      <c r="B1302" s="1"/>
    </row>
    <row r="1303">
      <c r="A1303" s="1" t="str">
        <f>IFERROR(__xludf.DUMMYFUNCTION("""COMPUTED_VALUE"""),"118298;INF760K01FA8;INF760K01FB6;CANARA ROBECO GILT FUND - DIRECT PLAN - IDCW (Payout/Reinvestment);15.7983;25-Aug-2023")</f>
        <v>118298;INF760K01FA8;INF760K01FB6;CANARA ROBECO GILT FUND - DIRECT PLAN - IDCW (Payout/Reinvestment);15.7983;25-Aug-2023</v>
      </c>
      <c r="B1303" s="1"/>
    </row>
    <row r="1304">
      <c r="A1304" s="1" t="str">
        <f>IFERROR(__xludf.DUMMYFUNCTION("""COMPUTED_VALUE"""),"100597;INF760K01AE1;-;CANARA ROBECO GILT FUND - REGULAR PLAN - GROWTH OPTION;65.7067;25-Aug-2023")</f>
        <v>100597;INF760K01AE1;-;CANARA ROBECO GILT FUND - REGULAR PLAN - GROWTH OPTION;65.7067;25-Aug-2023</v>
      </c>
      <c r="B1304" s="1"/>
    </row>
    <row r="1305">
      <c r="A1305" s="1" t="str">
        <f>IFERROR(__xludf.DUMMYFUNCTION("""COMPUTED_VALUE"""),"100596;INF760K01AB7;INF760K01AC5;CANARA ROBECO GILT FUND - REGULAR PLAN - IDCW (Payout/Reinvestment);14.6893;25-Aug-2023")</f>
        <v>100596;INF760K01AB7;INF760K01AC5;CANARA ROBECO GILT FUND - REGULAR PLAN - IDCW (Payout/Reinvestment);14.6893;25-Aug-2023</v>
      </c>
      <c r="B1305" s="1"/>
    </row>
    <row r="1306">
      <c r="A1306" s="1"/>
      <c r="B1306" s="1"/>
    </row>
    <row r="1307">
      <c r="A1307" s="1" t="str">
        <f>IFERROR(__xludf.DUMMYFUNCTION("""COMPUTED_VALUE"""),"DSP Mutual Fund")</f>
        <v>DSP Mutual Fund</v>
      </c>
      <c r="B1307" s="1"/>
    </row>
    <row r="1308">
      <c r="A1308" s="1"/>
      <c r="B1308" s="1"/>
    </row>
    <row r="1309">
      <c r="A1309" s="1" t="str">
        <f>IFERROR(__xludf.DUMMYFUNCTION("""COMPUTED_VALUE"""),"119099;INF740K01NF3;-;DSP Government Securities Fund - Direct Plan - Growth;86.7742;25-Aug-2023")</f>
        <v>119099;INF740K01NF3;-;DSP Government Securities Fund - Direct Plan - Growth;86.7742;25-Aug-2023</v>
      </c>
      <c r="B1309" s="1"/>
    </row>
    <row r="1310">
      <c r="A1310" s="1" t="str">
        <f>IFERROR(__xludf.DUMMYFUNCTION("""COMPUTED_VALUE"""),"119101;INF740K01NG1;INF740K01NI7;DSP Government Securities Fund - Direct Plan - IDCW;12.8119;25-Aug-2023")</f>
        <v>119101;INF740K01NG1;INF740K01NI7;DSP Government Securities Fund - Direct Plan - IDCW;12.8119;25-Aug-2023</v>
      </c>
      <c r="B1310" s="1"/>
    </row>
    <row r="1311">
      <c r="A1311" s="1" t="str">
        <f>IFERROR(__xludf.DUMMYFUNCTION("""COMPUTED_VALUE"""),"119100;INF740K01NE6;INF740K01NH9;DSP Government Securities Fund - Direct Plan - IDCW - Monthly;10.8244;25-Aug-2023")</f>
        <v>119100;INF740K01NE6;INF740K01NH9;DSP Government Securities Fund - Direct Plan - IDCW - Monthly;10.8244;25-Aug-2023</v>
      </c>
      <c r="B1311" s="1"/>
    </row>
    <row r="1312">
      <c r="A1312" s="1" t="str">
        <f>IFERROR(__xludf.DUMMYFUNCTION("""COMPUTED_VALUE"""),"100084;INF740K01615;-;DSP Government Securities Fund - Regular Plan - Growth;82.3400;25-Aug-2023")</f>
        <v>100084;INF740K01615;-;DSP Government Securities Fund - Regular Plan - Growth;82.3400;25-Aug-2023</v>
      </c>
      <c r="B1312" s="1"/>
    </row>
    <row r="1313">
      <c r="A1313" s="1" t="str">
        <f>IFERROR(__xludf.DUMMYFUNCTION("""COMPUTED_VALUE"""),"100085;INF740K01607;INF740K01AD5;DSP Government Securities Fund - Regular Plan - IDCW;12.6786;25-Aug-2023")</f>
        <v>100085;INF740K01607;INF740K01AD5;DSP Government Securities Fund - Regular Plan - IDCW;12.6786;25-Aug-2023</v>
      </c>
      <c r="B1313" s="1"/>
    </row>
    <row r="1314">
      <c r="A1314" s="1" t="str">
        <f>IFERROR(__xludf.DUMMYFUNCTION("""COMPUTED_VALUE"""),"100086;INF740K01623;INF740K01AE3;DSP Government Securities Fund - Regular Plan - IDCW - Monthly;10.7701;25-Aug-2023")</f>
        <v>100086;INF740K01623;INF740K01AE3;DSP Government Securities Fund - Regular Plan - IDCW - Monthly;10.7701;25-Aug-2023</v>
      </c>
      <c r="B1314" s="1"/>
    </row>
    <row r="1315">
      <c r="A1315" s="1"/>
      <c r="B1315" s="1"/>
    </row>
    <row r="1316">
      <c r="A1316" s="1" t="str">
        <f>IFERROR(__xludf.DUMMYFUNCTION("""COMPUTED_VALUE"""),"Edelweiss Mutual Fund")</f>
        <v>Edelweiss Mutual Fund</v>
      </c>
      <c r="B1316" s="1"/>
    </row>
    <row r="1317">
      <c r="A1317" s="1"/>
      <c r="B1317" s="1"/>
    </row>
    <row r="1318">
      <c r="A1318" s="1" t="str">
        <f>IFERROR(__xludf.DUMMYFUNCTION("""COMPUTED_VALUE"""),"140298;INF843K01GS2;-;Edelweiss Government Securities Fund - Direct Plan - Growth Option;22.2023;25-Aug-2023")</f>
        <v>140298;INF843K01GS2;-;Edelweiss Government Securities Fund - Direct Plan - Growth Option;22.2023;25-Aug-2023</v>
      </c>
      <c r="B1318" s="1"/>
    </row>
    <row r="1319">
      <c r="A1319" s="1" t="str">
        <f>IFERROR(__xludf.DUMMYFUNCTION("""COMPUTED_VALUE"""),"140302;INF843K01GU8;INF843K01GV6;Edelweiss Government Securities Fund - Direct Plan - IDCW Option;22.1139;25-Aug-2023")</f>
        <v>140302;INF843K01GU8;INF843K01GV6;Edelweiss Government Securities Fund - Direct Plan - IDCW Option;22.1139;25-Aug-2023</v>
      </c>
      <c r="B1319" s="1"/>
    </row>
    <row r="1320">
      <c r="A1320" s="1" t="str">
        <f>IFERROR(__xludf.DUMMYFUNCTION("""COMPUTED_VALUE"""),"140306;INF843K01GX2;-;Edelweiss Government Securities Fund - Direct Plan Fortnightly - IDCW Option;20.0855;02-Dec-2022")</f>
        <v>140306;INF843K01GX2;-;Edelweiss Government Securities Fund - Direct Plan Fortnightly - IDCW Option;20.0855;02-Dec-2022</v>
      </c>
      <c r="B1320" s="1"/>
    </row>
    <row r="1321">
      <c r="A1321" s="1" t="str">
        <f>IFERROR(__xludf.DUMMYFUNCTION("""COMPUTED_VALUE"""),"140308;INF843K01GZ7;INF843K01GY0;Edelweiss Government Securities Fund - Direct Plan Monthly - IDCW Option;16.6496;25-Aug-2023")</f>
        <v>140308;INF843K01GZ7;INF843K01GY0;Edelweiss Government Securities Fund - Direct Plan Monthly - IDCW Option;16.6496;25-Aug-2023</v>
      </c>
      <c r="B1321" s="1"/>
    </row>
    <row r="1322">
      <c r="A1322" s="1" t="str">
        <f>IFERROR(__xludf.DUMMYFUNCTION("""COMPUTED_VALUE"""),"140304;INF843K01GW4;-;Edelweiss Government Securities Fund - Direct Plan weekly - IDCW Option;15.8577;25-Aug-2023")</f>
        <v>140304;INF843K01GW4;-;Edelweiss Government Securities Fund - Direct Plan weekly - IDCW Option;15.8577;25-Aug-2023</v>
      </c>
      <c r="B1322" s="1"/>
    </row>
    <row r="1323">
      <c r="A1323" s="1" t="str">
        <f>IFERROR(__xludf.DUMMYFUNCTION("""COMPUTED_VALUE"""),"140310;INF843K01HL5;INF843K01HK7;Edelweiss Government Securities Fund - Regular Plan - Annual - IDCW Option;21.134;25-Aug-2023")</f>
        <v>140310;INF843K01HL5;INF843K01HK7;Edelweiss Government Securities Fund - Regular Plan - Annual - IDCW Option;21.134;25-Aug-2023</v>
      </c>
      <c r="B1323" s="1"/>
    </row>
    <row r="1324">
      <c r="A1324" s="1" t="str">
        <f>IFERROR(__xludf.DUMMYFUNCTION("""COMPUTED_VALUE"""),"140297;INF843K01HC4;-;Edelweiss Government Securities Fund - Regular Plan - Growth Option;21.1246;25-Aug-2023")</f>
        <v>140297;INF843K01HC4;-;Edelweiss Government Securities Fund - Regular Plan - Growth Option;21.1246;25-Aug-2023</v>
      </c>
      <c r="B1324" s="1"/>
    </row>
    <row r="1325">
      <c r="A1325" s="1" t="str">
        <f>IFERROR(__xludf.DUMMYFUNCTION("""COMPUTED_VALUE"""),"140301;INF843K01HE0;INF843K01HF7;Edelweiss Government Securities Fund - Regular Plan - IDCW Option;21.1386;25-Aug-2023")</f>
        <v>140301;INF843K01HE0;INF843K01HF7;Edelweiss Government Securities Fund - Regular Plan - IDCW Option;21.1386;25-Aug-2023</v>
      </c>
      <c r="B1325" s="1"/>
    </row>
    <row r="1326">
      <c r="A1326" s="1" t="str">
        <f>IFERROR(__xludf.DUMMYFUNCTION("""COMPUTED_VALUE"""),"140305;INF843K01HH3;-;Edelweiss Government Securities Fund - Regular Plan Fortnightly - IDCW Option;19.4394;02-Mar-2023")</f>
        <v>140305;INF843K01HH3;-;Edelweiss Government Securities Fund - Regular Plan Fortnightly - IDCW Option;19.4394;02-Mar-2023</v>
      </c>
      <c r="B1326" s="1"/>
    </row>
    <row r="1327">
      <c r="A1327" s="1" t="str">
        <f>IFERROR(__xludf.DUMMYFUNCTION("""COMPUTED_VALUE"""),"140307;INF843K01HJ9;INF843K01HI1;Edelweiss Government Securities Fund - Regular Plan Monthly - IDCW Option;10.3757;25-Aug-2023")</f>
        <v>140307;INF843K01HJ9;INF843K01HI1;Edelweiss Government Securities Fund - Regular Plan Monthly - IDCW Option;10.3757;25-Aug-2023</v>
      </c>
      <c r="B1327" s="1"/>
    </row>
    <row r="1328">
      <c r="A1328" s="1" t="str">
        <f>IFERROR(__xludf.DUMMYFUNCTION("""COMPUTED_VALUE"""),"140303;INF843K01HG5;-;Edelweiss Government Securities Fund - Regular Plan Weekly - IDCW Option;10.2947;25-Aug-2023")</f>
        <v>140303;INF843K01HG5;-;Edelweiss Government Securities Fund - Regular Plan Weekly - IDCW Option;10.2947;25-Aug-2023</v>
      </c>
      <c r="B1328" s="1"/>
    </row>
    <row r="1329">
      <c r="A1329" s="1"/>
      <c r="B1329" s="1"/>
    </row>
    <row r="1330">
      <c r="A1330" s="1" t="str">
        <f>IFERROR(__xludf.DUMMYFUNCTION("""COMPUTED_VALUE"""),"Franklin Templeton Mutual Fund")</f>
        <v>Franklin Templeton Mutual Fund</v>
      </c>
      <c r="B1330" s="1"/>
    </row>
    <row r="1331">
      <c r="A1331" s="1"/>
      <c r="B1331" s="1"/>
    </row>
    <row r="1332">
      <c r="A1332" s="1" t="str">
        <f>IFERROR(__xludf.DUMMYFUNCTION("""COMPUTED_VALUE"""),"118498;INF090I01HS2;-;Franklin India Government Securities Fund - Direct - Growth;55.9374;25-Aug-2023")</f>
        <v>118498;INF090I01HS2;-;Franklin India Government Securities Fund - Direct - Growth;55.9374;25-Aug-2023</v>
      </c>
      <c r="B1332" s="1"/>
    </row>
    <row r="1333">
      <c r="A1333" s="1" t="str">
        <f>IFERROR(__xludf.DUMMYFUNCTION("""COMPUTED_VALUE"""),"118497;INF090I01HQ6;INF090I01HR4;Franklin India Government Securities Fund - Direct - IDCW ;11.5523;25-Aug-2023")</f>
        <v>118497;INF090I01HQ6;INF090I01HR4;Franklin India Government Securities Fund - Direct - IDCW ;11.5523;25-Aug-2023</v>
      </c>
      <c r="B1333" s="1"/>
    </row>
    <row r="1334">
      <c r="A1334" s="1" t="str">
        <f>IFERROR(__xludf.DUMMYFUNCTION("""COMPUTED_VALUE"""),"100493;INF090I01CU9;-;Franklin India Government Securities Fund - Growth;51.5391;25-Aug-2023")</f>
        <v>100493;INF090I01CU9;-;Franklin India Government Securities Fund - Growth;51.5391;25-Aug-2023</v>
      </c>
      <c r="B1334" s="1"/>
    </row>
    <row r="1335">
      <c r="A1335" s="1" t="str">
        <f>IFERROR(__xludf.DUMMYFUNCTION("""COMPUTED_VALUE"""),"100494;INF090I01CS3;INF090I01CT1;Franklin India Government Securities Fund - IDCW ;10.2413;25-Aug-2023")</f>
        <v>100494;INF090I01CS3;INF090I01CT1;Franklin India Government Securities Fund - IDCW ;10.2413;25-Aug-2023</v>
      </c>
      <c r="B1335" s="1"/>
    </row>
    <row r="1336">
      <c r="A1336" s="1"/>
      <c r="B1336" s="1"/>
    </row>
    <row r="1337">
      <c r="A1337" s="1" t="str">
        <f>IFERROR(__xludf.DUMMYFUNCTION("""COMPUTED_VALUE"""),"HDFC Mutual Fund")</f>
        <v>HDFC Mutual Fund</v>
      </c>
      <c r="B1337" s="1"/>
    </row>
    <row r="1338">
      <c r="A1338" s="1"/>
      <c r="B1338" s="1"/>
    </row>
    <row r="1339">
      <c r="A1339" s="1" t="str">
        <f>IFERROR(__xludf.DUMMYFUNCTION("""COMPUTED_VALUE"""),"119116;INF179K01VS0;-;HDFC Gilt Fund - Growth Option - Direct Plan;49.8612;25-Aug-2023")</f>
        <v>119116;INF179K01VS0;-;HDFC Gilt Fund - Growth Option - Direct Plan;49.8612;25-Aug-2023</v>
      </c>
      <c r="B1339" s="1"/>
    </row>
    <row r="1340">
      <c r="A1340" s="1" t="str">
        <f>IFERROR(__xludf.DUMMYFUNCTION("""COMPUTED_VALUE"""),"101083;INF179K01756;-;HDFC Gilt Fund - Growth Plan;47.7482;25-Aug-2023")</f>
        <v>101083;INF179K01756;-;HDFC Gilt Fund - Growth Plan;47.7482;25-Aug-2023</v>
      </c>
      <c r="B1340" s="1"/>
    </row>
    <row r="1341">
      <c r="A1341" s="1" t="str">
        <f>IFERROR(__xludf.DUMMYFUNCTION("""COMPUTED_VALUE"""),"119115;INF179K01VR2;INF179K01VT8;HDFC Gilt Fund - IDCW Option - Direct Plan;12.4113;25-Aug-2023")</f>
        <v>119115;INF179K01VR2;INF179K01VT8;HDFC Gilt Fund - IDCW Option - Direct Plan;12.4113;25-Aug-2023</v>
      </c>
      <c r="B1341" s="1"/>
    </row>
    <row r="1342">
      <c r="A1342" s="1" t="str">
        <f>IFERROR(__xludf.DUMMYFUNCTION("""COMPUTED_VALUE"""),"101084;INF179K01772;INF179K01764;HDFC Gilt Fund - IDCW Plan;11.7045;25-Aug-2023")</f>
        <v>101084;INF179K01772;INF179K01764;HDFC Gilt Fund - IDCW Plan;11.7045;25-Aug-2023</v>
      </c>
      <c r="B1342" s="1"/>
    </row>
    <row r="1343">
      <c r="A1343" s="1"/>
      <c r="B1343" s="1"/>
    </row>
    <row r="1344">
      <c r="A1344" s="1" t="str">
        <f>IFERROR(__xludf.DUMMYFUNCTION("""COMPUTED_VALUE"""),"HSBC Mutual Fund")</f>
        <v>HSBC Mutual Fund</v>
      </c>
      <c r="B1344" s="1"/>
    </row>
    <row r="1345">
      <c r="A1345" s="1"/>
      <c r="B1345" s="1"/>
    </row>
    <row r="1346">
      <c r="A1346" s="1" t="str">
        <f>IFERROR(__xludf.DUMMYFUNCTION("""COMPUTED_VALUE"""),"151014;INF917K01FI7;-;HSBC Gilt Fund - Direct Growth;64.8019;25-Aug-2023")</f>
        <v>151014;INF917K01FI7;-;HSBC Gilt Fund - Direct Growth;64.8019;25-Aug-2023</v>
      </c>
      <c r="B1346" s="1"/>
    </row>
    <row r="1347">
      <c r="A1347" s="1" t="str">
        <f>IFERROR(__xludf.DUMMYFUNCTION("""COMPUTED_VALUE"""),"151015;INF917K01FK3;INF917K01FJ5;HSBC Gilt Fund - Direct Quarterly IDCW;12.4825;25-Aug-2023")</f>
        <v>151015;INF917K01FK3;INF917K01FJ5;HSBC Gilt Fund - Direct Quarterly IDCW;12.4825;25-Aug-2023</v>
      </c>
      <c r="B1347" s="1"/>
    </row>
    <row r="1348">
      <c r="A1348" s="1" t="str">
        <f>IFERROR(__xludf.DUMMYFUNCTION("""COMPUTED_VALUE"""),"151013;INF917K01BP1;-;HSBC Gilt Fund - Regular Growth;57.7945;25-Aug-2023")</f>
        <v>151013;INF917K01BP1;-;HSBC Gilt Fund - Regular Growth;57.7945;25-Aug-2023</v>
      </c>
      <c r="B1348" s="1"/>
    </row>
    <row r="1349">
      <c r="A1349" s="1" t="str">
        <f>IFERROR(__xludf.DUMMYFUNCTION("""COMPUTED_VALUE"""),"151012;INF917K01BN6;INF917K01BO4;HSBC Gilt Fund - Regular Quarterly IDCW;11.0288;25-Aug-2023")</f>
        <v>151012;INF917K01BN6;INF917K01BO4;HSBC Gilt Fund - Regular Quarterly IDCW;11.0288;25-Aug-2023</v>
      </c>
      <c r="B1349" s="1"/>
    </row>
    <row r="1350">
      <c r="A1350" s="1"/>
      <c r="B1350" s="1"/>
    </row>
    <row r="1351">
      <c r="A1351" s="1" t="str">
        <f>IFERROR(__xludf.DUMMYFUNCTION("""COMPUTED_VALUE"""),"ICICI Prudential Mutual Fund")</f>
        <v>ICICI Prudential Mutual Fund</v>
      </c>
      <c r="B1351" s="1"/>
    </row>
    <row r="1352">
      <c r="A1352" s="1"/>
      <c r="B1352" s="1"/>
    </row>
    <row r="1353">
      <c r="A1353" s="1" t="str">
        <f>IFERROR(__xludf.DUMMYFUNCTION("""COMPUTED_VALUE"""),"130903;INF109KA1H10;-;ICICI Prudential Gilt Fund - Bonus;12.8414;18-Aug-2016")</f>
        <v>130903;INF109KA1H10;-;ICICI Prudential Gilt Fund - Bonus;12.8414;18-Aug-2016</v>
      </c>
      <c r="B1353" s="1"/>
    </row>
    <row r="1354">
      <c r="A1354" s="1" t="str">
        <f>IFERROR(__xludf.DUMMYFUNCTION("""COMPUTED_VALUE"""),"120590;INF109K018C5;-;ICICI Prudential Gilt Fund - Direct Plan - Growth;94.5384;25-Aug-2023")</f>
        <v>120590;INF109K018C5;-;ICICI Prudential Gilt Fund - Direct Plan - Growth;94.5384;25-Aug-2023</v>
      </c>
      <c r="B1354" s="1"/>
    </row>
    <row r="1355">
      <c r="A1355" s="1" t="str">
        <f>IFERROR(__xludf.DUMMYFUNCTION("""COMPUTED_VALUE"""),"120589;INF109K016C9;INF109K017C7;ICICI Prudential Gilt Fund - Direct Plan - IDCW;17.8336;25-Aug-2023")</f>
        <v>120589;INF109K016C9;INF109K017C7;ICICI Prudential Gilt Fund - Direct Plan - IDCW;17.8336;25-Aug-2023</v>
      </c>
      <c r="B1355" s="1"/>
    </row>
    <row r="1356">
      <c r="A1356" s="1" t="str">
        <f>IFERROR(__xludf.DUMMYFUNCTION("""COMPUTED_VALUE"""),"130955;INF109KA1H02;-;ICICI Prudential Gilt Fund - Direct Plan Bonus;18.0717;24-Apr-2020")</f>
        <v>130955;INF109KA1H02;-;ICICI Prudential Gilt Fund - Direct Plan Bonus;18.0717;24-Apr-2020</v>
      </c>
      <c r="B1356" s="1"/>
    </row>
    <row r="1357">
      <c r="A1357" s="1" t="str">
        <f>IFERROR(__xludf.DUMMYFUNCTION("""COMPUTED_VALUE"""),"100369;INF109K01JR4;-;ICICI Prudential Gilt Fund - Growth;88.5927;25-Aug-2023")</f>
        <v>100369;INF109K01JR4;-;ICICI Prudential Gilt Fund - Growth;88.5927;25-Aug-2023</v>
      </c>
      <c r="B1357" s="1"/>
    </row>
    <row r="1358">
      <c r="A1358" s="1" t="str">
        <f>IFERROR(__xludf.DUMMYFUNCTION("""COMPUTED_VALUE"""),"100368;INF109K01JQ6;INF109K01JP8;ICICI Prudential Gilt Fund - IDCW;16.9811;25-Aug-2023")</f>
        <v>100368;INF109K01JQ6;INF109K01JP8;ICICI Prudential Gilt Fund - IDCW;16.9811;25-Aug-2023</v>
      </c>
      <c r="B1358" s="1"/>
    </row>
    <row r="1359">
      <c r="A1359" s="1" t="str">
        <f>IFERROR(__xludf.DUMMYFUNCTION("""COMPUTED_VALUE"""),"130902;INF109KA1I68;-;ICICI Prudential Short Term Gilt Fund - Bonus;10.0481;12-May-2015")</f>
        <v>130902;INF109KA1I68;-;ICICI Prudential Short Term Gilt Fund - Bonus;10.0481;12-May-2015</v>
      </c>
      <c r="B1359" s="1"/>
    </row>
    <row r="1360">
      <c r="A1360" s="1" t="str">
        <f>IFERROR(__xludf.DUMMYFUNCTION("""COMPUTED_VALUE"""),"120607;INF109K012D6;INF109K013D4;ICICI Prudential Short Term Gilt Fund - Direct Plan -  Dividend;12.2962;25-May-2018")</f>
        <v>120607;INF109K012D6;INF109K013D4;ICICI Prudential Short Term Gilt Fund - Direct Plan -  Dividend;12.2962;25-May-2018</v>
      </c>
      <c r="B1360" s="1"/>
    </row>
    <row r="1361">
      <c r="A1361" s="1" t="str">
        <f>IFERROR(__xludf.DUMMYFUNCTION("""COMPUTED_VALUE"""),"120608;INF109K014D2;-;ICICI Prudential Short Term Gilt Fund - Direct Plan -  Growth;44.6880;25-May-2018")</f>
        <v>120608;INF109K014D2;-;ICICI Prudential Short Term Gilt Fund - Direct Plan -  Growth;44.6880;25-May-2018</v>
      </c>
      <c r="B1361" s="1"/>
    </row>
    <row r="1362">
      <c r="A1362" s="1" t="str">
        <f>IFERROR(__xludf.DUMMYFUNCTION("""COMPUTED_VALUE"""),"120609;INF109K015D9;INF109K016D7;ICICI Prudential Short Term Gilt Fund - Direct Plan -  Half Yearly Dividend;10.7239;06-Oct-2017")</f>
        <v>120609;INF109K015D9;INF109K016D7;ICICI Prudential Short Term Gilt Fund - Direct Plan -  Half Yearly Dividend;10.7239;06-Oct-2017</v>
      </c>
      <c r="B1362" s="1"/>
    </row>
    <row r="1363">
      <c r="A1363" s="1" t="str">
        <f>IFERROR(__xludf.DUMMYFUNCTION("""COMPUTED_VALUE"""),"130956;INF109KA1I50;-;ICICI Prudential Short Term Gilt Fund - Direct Plan Bonus;12.8615;27-Mar-2018")</f>
        <v>130956;INF109KA1I50;-;ICICI Prudential Short Term Gilt Fund - Direct Plan Bonus;12.8615;27-Mar-2018</v>
      </c>
      <c r="B1363" s="1"/>
    </row>
    <row r="1364">
      <c r="A1364" s="1" t="str">
        <f>IFERROR(__xludf.DUMMYFUNCTION("""COMPUTED_VALUE"""),"100370;INF109K01JW4;INF109K01JV6;ICICI Prudential Short Term Gilt Fund - Dividend;12.1349;25-May-2018")</f>
        <v>100370;INF109K01JW4;INF109K01JV6;ICICI Prudential Short Term Gilt Fund - Dividend;12.1349;25-May-2018</v>
      </c>
      <c r="B1364" s="1"/>
    </row>
    <row r="1365">
      <c r="A1365" s="1" t="str">
        <f>IFERROR(__xludf.DUMMYFUNCTION("""COMPUTED_VALUE"""),"100371;INF109K01JX2;-;ICICI Prudential Short Term Gilt Fund - Growth;43.6350;25-May-2018")</f>
        <v>100371;INF109K01JX2;-;ICICI Prudential Short Term Gilt Fund - Growth;43.6350;25-May-2018</v>
      </c>
      <c r="B1365" s="1"/>
    </row>
    <row r="1366">
      <c r="A1366" s="1" t="str">
        <f>IFERROR(__xludf.DUMMYFUNCTION("""COMPUTED_VALUE"""),"100372;INF109K01JZ7;INF109K01JY0;ICICI Prudential Short Term Gilt Fund - Half Yearly Dividend;11.2589;25-May-2018")</f>
        <v>100372;INF109K01JZ7;INF109K01JY0;ICICI Prudential Short Term Gilt Fund - Half Yearly Dividend;11.2589;25-May-2018</v>
      </c>
      <c r="B1366" s="1"/>
    </row>
    <row r="1367">
      <c r="A1367" s="1"/>
      <c r="B1367" s="1"/>
    </row>
    <row r="1368">
      <c r="A1368" s="1" t="str">
        <f>IFERROR(__xludf.DUMMYFUNCTION("""COMPUTED_VALUE"""),"Invesco Mutual Fund")</f>
        <v>Invesco Mutual Fund</v>
      </c>
      <c r="B1368" s="1"/>
    </row>
    <row r="1369">
      <c r="A1369" s="1"/>
      <c r="B1369" s="1"/>
    </row>
    <row r="1370">
      <c r="A1370" s="1" t="str">
        <f>IFERROR(__xludf.DUMMYFUNCTION("""COMPUTED_VALUE"""),"107476;INF205K01SJ8;INF205K01SK6;Invesco India Gilt Fund - Annual IDCW (Payout / Reinvestment);1169.4883;25-Aug-2023")</f>
        <v>107476;INF205K01SJ8;INF205K01SK6;Invesco India Gilt Fund - Annual IDCW (Payout / Reinvestment);1169.4883;25-Aug-2023</v>
      </c>
      <c r="B1370" s="1"/>
    </row>
    <row r="1371">
      <c r="A1371" s="1" t="str">
        <f>IFERROR(__xludf.DUMMYFUNCTION("""COMPUTED_VALUE"""),"120520;INF205K01SN0;-;Invesco India Gilt Fund - Direct  Plan - Growth;2654.7968;25-Aug-2023")</f>
        <v>120520;INF205K01SN0;-;Invesco India Gilt Fund - Direct  Plan - Growth;2654.7968;25-Aug-2023</v>
      </c>
      <c r="B1371" s="1"/>
    </row>
    <row r="1372">
      <c r="A1372" s="1" t="str">
        <f>IFERROR(__xludf.DUMMYFUNCTION("""COMPUTED_VALUE"""),"120519;INF205K01SL4;INF205K01SM2;Invesco India Gilt Fund - Direct Plan - Annual IDCW (Payout / Reinvestment);1394.0495;25-Aug-2023")</f>
        <v>120519;INF205K01SL4;INF205K01SM2;Invesco India Gilt Fund - Direct Plan - Annual IDCW (Payout / Reinvestment);1394.0495;25-Aug-2023</v>
      </c>
      <c r="B1372" s="1"/>
    </row>
    <row r="1373">
      <c r="A1373" s="1" t="str">
        <f>IFERROR(__xludf.DUMMYFUNCTION("""COMPUTED_VALUE"""),"120521;-;INF205K01SO8;Invesco India Gilt Fund - Direct Plan - Monthly IDCW (Reinvestment);2071.7186;25-Aug-2023")</f>
        <v>120521;-;INF205K01SO8;Invesco India Gilt Fund - Direct Plan - Monthly IDCW (Reinvestment);2071.7186;25-Aug-2023</v>
      </c>
      <c r="B1373" s="1"/>
    </row>
    <row r="1374">
      <c r="A1374" s="1" t="str">
        <f>IFERROR(__xludf.DUMMYFUNCTION("""COMPUTED_VALUE"""),"120522;INF205K01SP5;INF205K01SQ3;Invesco India Gilt Fund - Direct Plan - Quarterly IDCW (Payout / Reinvestment);1026.4778;25-Aug-2023")</f>
        <v>120522;INF205K01SP5;INF205K01SQ3;Invesco India Gilt Fund - Direct Plan - Quarterly IDCW (Payout / Reinvestment);1026.4778;25-Aug-2023</v>
      </c>
      <c r="B1374" s="1"/>
    </row>
    <row r="1375">
      <c r="A1375" s="1" t="str">
        <f>IFERROR(__xludf.DUMMYFUNCTION("""COMPUTED_VALUE"""),"107477;INF205K01SR1;-;Invesco India Gilt Fund - Growth;2434.1082;25-Aug-2023")</f>
        <v>107477;INF205K01SR1;-;Invesco India Gilt Fund - Growth;2434.1082;25-Aug-2023</v>
      </c>
      <c r="B1375" s="1"/>
    </row>
    <row r="1376">
      <c r="A1376" s="1" t="str">
        <f>IFERROR(__xludf.DUMMYFUNCTION("""COMPUTED_VALUE"""),"107471;-;INF205K01SS9;Invesco India Gilt Fund - Monthly IDCW (Reinvestment);1370.9965;25-Aug-2023")</f>
        <v>107471;-;INF205K01SS9;Invesco India Gilt Fund - Monthly IDCW (Reinvestment);1370.9965;25-Aug-2023</v>
      </c>
      <c r="B1376" s="1"/>
    </row>
    <row r="1377">
      <c r="A1377" s="1" t="str">
        <f>IFERROR(__xludf.DUMMYFUNCTION("""COMPUTED_VALUE"""),"107472;INF205K01ST7;INF205K01SU5;Invesco India Gilt Fund - Quarterly IDCW (Payout / Reinvestment);1109.7161;25-Aug-2023")</f>
        <v>107472;INF205K01ST7;INF205K01SU5;Invesco India Gilt Fund - Quarterly IDCW (Payout / Reinvestment);1109.7161;25-Aug-2023</v>
      </c>
      <c r="B1377" s="1"/>
    </row>
    <row r="1378">
      <c r="A1378" s="1"/>
      <c r="B1378" s="1"/>
    </row>
    <row r="1379">
      <c r="A1379" s="1" t="str">
        <f>IFERROR(__xludf.DUMMYFUNCTION("""COMPUTED_VALUE"""),"Kotak Mahindra Mutual Fund")</f>
        <v>Kotak Mahindra Mutual Fund</v>
      </c>
      <c r="B1379" s="1"/>
    </row>
    <row r="1380">
      <c r="A1380" s="1"/>
      <c r="B1380" s="1"/>
    </row>
    <row r="1381">
      <c r="A1381" s="1" t="str">
        <f>IFERROR(__xludf.DUMMYFUNCTION("""COMPUTED_VALUE"""),"100281;INF174K01FL9;-;Kotak Gilt-Investment  Provident Fund and Trust-Growth;86.0183;25-Aug-2023")</f>
        <v>100281;INF174K01FL9;-;Kotak Gilt-Investment  Provident Fund and Trust-Growth;86.0183;25-Aug-2023</v>
      </c>
      <c r="B1381" s="1"/>
    </row>
    <row r="1382">
      <c r="A1382" s="1" t="str">
        <f>IFERROR(__xludf.DUMMYFUNCTION("""COMPUTED_VALUE"""),"119757;INF174K01KM7;-;Kotak Gilt-Investment  Provident Fund and Trust-Growth - Direct;95.8897;25-Aug-2023")</f>
        <v>119757;INF174K01KM7;-;Kotak Gilt-Investment  Provident Fund and Trust-Growth - Direct;95.8897;25-Aug-2023</v>
      </c>
      <c r="B1382" s="1"/>
    </row>
    <row r="1383">
      <c r="A1383" s="1" t="str">
        <f>IFERROR(__xludf.DUMMYFUNCTION("""COMPUTED_VALUE"""),"100280;INF174K01FM7;-;Kotak Gilt-Investment  Provident Fund and Trust-Payout of Income Distribution cum capital withdrawal option;11.8447;25-Aug-2023")</f>
        <v>100280;INF174K01FM7;-;Kotak Gilt-Investment  Provident Fund and Trust-Payout of Income Distribution cum capital withdrawal option;11.8447;25-Aug-2023</v>
      </c>
      <c r="B1383" s="1"/>
    </row>
    <row r="1384">
      <c r="A1384" s="1" t="str">
        <f>IFERROR(__xludf.DUMMYFUNCTION("""COMPUTED_VALUE"""),"100265;INF174K01FI5;-;Kotak Gilt-Investment Regular-Growth;84.0792;25-Aug-2023")</f>
        <v>100265;INF174K01FI5;-;Kotak Gilt-Investment Regular-Growth;84.0792;25-Aug-2023</v>
      </c>
      <c r="B1384" s="1"/>
    </row>
    <row r="1385">
      <c r="A1385" s="1" t="str">
        <f>IFERROR(__xludf.DUMMYFUNCTION("""COMPUTED_VALUE"""),"119759;INF174K01KE4;-;Kotak Gilt-Investment Regular-Growth - Direct;93.6391;25-Aug-2023")</f>
        <v>119759;INF174K01KE4;-;Kotak Gilt-Investment Regular-Growth - Direct;93.6391;25-Aug-2023</v>
      </c>
      <c r="B1385" s="1"/>
    </row>
    <row r="1386">
      <c r="A1386" s="1" t="str">
        <f>IFERROR(__xludf.DUMMYFUNCTION("""COMPUTED_VALUE"""),"100264;INF174K01FK1;INF174K01FJ3;Kotak Gilt-Investment Regular-Payout of Income Distribution cum capital withdrawal option;16.4292;25-Aug-2023")</f>
        <v>100264;INF174K01FK1;INF174K01FJ3;Kotak Gilt-Investment Regular-Payout of Income Distribution cum capital withdrawal option;16.4292;25-Aug-2023</v>
      </c>
      <c r="B1386" s="1"/>
    </row>
    <row r="1387">
      <c r="A1387" s="1" t="str">
        <f>IFERROR(__xludf.DUMMYFUNCTION("""COMPUTED_VALUE"""),"119758;INF174K01KF1;-;Kotak Gilt-Investment Regular-Payout of Income Distribution cum capital withdrawal option - Direct;21.1479;25-Aug-2023")</f>
        <v>119758;INF174K01KF1;-;Kotak Gilt-Investment Regular-Payout of Income Distribution cum capital withdrawal option - Direct;21.1479;25-Aug-2023</v>
      </c>
      <c r="B1387" s="1"/>
    </row>
    <row r="1388">
      <c r="A1388" s="1"/>
      <c r="B1388" s="1"/>
    </row>
    <row r="1389">
      <c r="A1389" s="1" t="str">
        <f>IFERROR(__xludf.DUMMYFUNCTION("""COMPUTED_VALUE"""),"LIC Mutual Fund")</f>
        <v>LIC Mutual Fund</v>
      </c>
      <c r="B1389" s="1"/>
    </row>
    <row r="1390">
      <c r="A1390" s="1"/>
      <c r="B1390" s="1"/>
    </row>
    <row r="1391">
      <c r="A1391" s="1" t="str">
        <f>IFERROR(__xludf.DUMMYFUNCTION("""COMPUTED_VALUE"""),"120282;INF767K01EZ3;-;LIC MF Gilt Fund-Direct Plan-Growth;56.6555;25-Aug-2023")</f>
        <v>120282;INF767K01EZ3;-;LIC MF Gilt Fund-Direct Plan-Growth;56.6555;25-Aug-2023</v>
      </c>
      <c r="B1391" s="1"/>
    </row>
    <row r="1392">
      <c r="A1392" s="1" t="str">
        <f>IFERROR(__xludf.DUMMYFUNCTION("""COMPUTED_VALUE"""),"120283;INF767K01EY6;INF767K01FA3;LIC MF Gilt Fund-Direct Plan-IDCW;16.3297;25-Aug-2023")</f>
        <v>120283;INF767K01EY6;INF767K01FA3;LIC MF Gilt Fund-Direct Plan-IDCW;16.3297;25-Aug-2023</v>
      </c>
      <c r="B1392" s="1"/>
    </row>
    <row r="1393">
      <c r="A1393" s="1" t="str">
        <f>IFERROR(__xludf.DUMMYFUNCTION("""COMPUTED_VALUE"""),"100319;INF767K01733;-;LIC MF Gilt Fund-PF Plan-Growth;30.1017;25-Aug-2023")</f>
        <v>100319;INF767K01733;-;LIC MF Gilt Fund-PF Plan-Growth;30.1017;25-Aug-2023</v>
      </c>
      <c r="B1393" s="1"/>
    </row>
    <row r="1394">
      <c r="A1394" s="1" t="str">
        <f>IFERROR(__xludf.DUMMYFUNCTION("""COMPUTED_VALUE"""),"100318;INF767K01717;INF767K01725;LIC MF Gilt Fund-PF Plan-IDCW;19.4789;25-Aug-2023")</f>
        <v>100318;INF767K01717;INF767K01725;LIC MF Gilt Fund-PF Plan-IDCW;19.4789;25-Aug-2023</v>
      </c>
      <c r="B1394" s="1"/>
    </row>
    <row r="1395">
      <c r="A1395" s="1" t="str">
        <f>IFERROR(__xludf.DUMMYFUNCTION("""COMPUTED_VALUE"""),"100317;INF767K01709;-;LIC MF Gilt Fund-Regular Plan-Growth;52.1185;25-Aug-2023")</f>
        <v>100317;INF767K01709;-;LIC MF Gilt Fund-Regular Plan-Growth;52.1185;25-Aug-2023</v>
      </c>
      <c r="B1395" s="1"/>
    </row>
    <row r="1396">
      <c r="A1396" s="1" t="str">
        <f>IFERROR(__xludf.DUMMYFUNCTION("""COMPUTED_VALUE"""),"100316;INF767K01683;INF767K01691;LIC MF Gilt Fund-Regular Plan-IDCW;15.0231;25-Aug-2023")</f>
        <v>100316;INF767K01683;INF767K01691;LIC MF Gilt Fund-Regular Plan-IDCW;15.0231;25-Aug-2023</v>
      </c>
      <c r="B1396" s="1"/>
    </row>
    <row r="1397">
      <c r="A1397" s="1"/>
      <c r="B1397" s="1"/>
    </row>
    <row r="1398">
      <c r="A1398" s="1" t="str">
        <f>IFERROR(__xludf.DUMMYFUNCTION("""COMPUTED_VALUE"""),"Nippon India Mutual Fund")</f>
        <v>Nippon India Mutual Fund</v>
      </c>
      <c r="B1398" s="1"/>
    </row>
    <row r="1399">
      <c r="A1399" s="1"/>
      <c r="B1399" s="1"/>
    </row>
    <row r="1400">
      <c r="A1400" s="1" t="str">
        <f>IFERROR(__xludf.DUMMYFUNCTION("""COMPUTED_VALUE"""),"118670;INF204K01XQ6;INF204K01XR4;NIPPON INDIA GILT SECURITIES FUND - Direct Plan - MONTHLY IDCW Option;11.6221;25-Aug-2023")</f>
        <v>118670;INF204K01XQ6;INF204K01XR4;NIPPON INDIA GILT SECURITIES FUND - Direct Plan - MONTHLY IDCW Option;11.6221;25-Aug-2023</v>
      </c>
      <c r="B1400" s="1"/>
    </row>
    <row r="1401">
      <c r="A1401" s="1" t="str">
        <f>IFERROR(__xludf.DUMMYFUNCTION("""COMPUTED_VALUE"""),"118674;-;INF204K01E62;Nippon India Gilt Securities Fund - Direct Plan - P F Option - Automatic Annual Reinvest Option;19.8436;25-Aug-2023")</f>
        <v>118674;-;INF204K01E62;Nippon India Gilt Securities Fund - Direct Plan - P F Option - Automatic Annual Reinvest Option;19.8436;25-Aug-2023</v>
      </c>
      <c r="B1401" s="1"/>
    </row>
    <row r="1402">
      <c r="A1402" s="1" t="str">
        <f>IFERROR(__xludf.DUMMYFUNCTION("""COMPUTED_VALUE"""),"118669;INF204K01E70;-;Nippon India Gilt Securities Fund - Direct Plan - P F Option - Automatic Capital Appreciation Payout Option;36.5661;25-Aug-2023")</f>
        <v>118669;INF204K01E70;-;Nippon India Gilt Securities Fund - Direct Plan - P F Option - Automatic Capital Appreciation Payout Option;36.5661;25-Aug-2023</v>
      </c>
      <c r="B1402" s="1"/>
    </row>
    <row r="1403">
      <c r="A1403" s="1" t="str">
        <f>IFERROR(__xludf.DUMMYFUNCTION("""COMPUTED_VALUE"""),"118673;INF204K01E88;-;Nippon India Gilt Securities Fund - Direct Plan - P F Option - Defined Maturity Date Option;36.7603;25-Aug-2023")</f>
        <v>118673;INF204K01E88;-;Nippon India Gilt Securities Fund - Direct Plan - P F Option - Defined Maturity Date Option;36.7603;25-Aug-2023</v>
      </c>
      <c r="B1403" s="1"/>
    </row>
    <row r="1404">
      <c r="A1404" s="1" t="str">
        <f>IFERROR(__xludf.DUMMYFUNCTION("""COMPUTED_VALUE"""),"118672;INF204K01XP8;-;Nippon India Gilt Securities Fund - Direct Plan Growth Plan - Growth Option;36.6613;25-Aug-2023")</f>
        <v>118672;INF204K01XP8;-;Nippon India Gilt Securities Fund - Direct Plan Growth Plan - Growth Option;36.6613;25-Aug-2023</v>
      </c>
      <c r="B1404" s="1"/>
    </row>
    <row r="1405">
      <c r="A1405" s="1" t="str">
        <f>IFERROR(__xludf.DUMMYFUNCTION("""COMPUTED_VALUE"""),"109717;INF204K01BX8;-;Nippon India Gilt Securities Fund - Institutional Plan-Growth Plan -Growth Option;33.5187;25-Aug-2023")</f>
        <v>109717;INF204K01BX8;-;Nippon India Gilt Securities Fund - Institutional Plan-Growth Plan -Growth Option;33.5187;25-Aug-2023</v>
      </c>
      <c r="B1405" s="1"/>
    </row>
    <row r="1406">
      <c r="A1406" s="1" t="str">
        <f>IFERROR(__xludf.DUMMYFUNCTION("""COMPUTED_VALUE"""),"109723;INF204K01BV2;INF204K01BW0;NIPPON INDIA GILT SECURITIES FUND - MONTHLY IDCW Option;10.5345;25-Aug-2023")</f>
        <v>109723;INF204K01BV2;INF204K01BW0;NIPPON INDIA GILT SECURITIES FUND - MONTHLY IDCW Option;10.5345;25-Aug-2023</v>
      </c>
      <c r="B1406" s="1"/>
    </row>
    <row r="1407">
      <c r="A1407" s="1" t="str">
        <f>IFERROR(__xludf.DUMMYFUNCTION("""COMPUTED_VALUE"""),"109720;INF204K01BU4;-;Nippon India Gilt Securities Fund -Growth Plan - Growth Option;32.9881;25-Aug-2023")</f>
        <v>109720;INF204K01BU4;-;Nippon India Gilt Securities Fund -Growth Plan - Growth Option;32.9881;25-Aug-2023</v>
      </c>
      <c r="B1407" s="1"/>
    </row>
    <row r="1408">
      <c r="A1408" s="1" t="str">
        <f>IFERROR(__xludf.DUMMYFUNCTION("""COMPUTED_VALUE"""),"109716;INF204K01CA4;-;Nippon India Gilt Securities Fund -P F Option-Automatic Annual Reinvest Option;27.6611;25-Aug-2023")</f>
        <v>109716;INF204K01CA4;-;Nippon India Gilt Securities Fund -P F Option-Automatic Annual Reinvest Option;27.6611;25-Aug-2023</v>
      </c>
      <c r="B1408" s="1"/>
    </row>
    <row r="1409">
      <c r="A1409" s="1" t="str">
        <f>IFERROR(__xludf.DUMMYFUNCTION("""COMPUTED_VALUE"""),"109721;INF204K01CB2;-;Nippon India Gilt Securities Fund -P F Option-Defined Maturity Date Option;32.9881;25-Aug-2023")</f>
        <v>109721;INF204K01CB2;-;Nippon India Gilt Securities Fund -P F Option-Defined Maturity Date Option;32.9881;25-Aug-2023</v>
      </c>
      <c r="B1409" s="1"/>
    </row>
    <row r="1410">
      <c r="A1410" s="1" t="str">
        <f>IFERROR(__xludf.DUMMYFUNCTION("""COMPUTED_VALUE"""),"133265;INF204KA1YV2;-;Nippon India Gilt Securities Fund- Direct Plan- Growth Plan- Bonus Option;20.4901;25-Aug-2023")</f>
        <v>133265;INF204KA1YV2;-;Nippon India Gilt Securities Fund- Direct Plan- Growth Plan- Bonus Option;20.4901;25-Aug-2023</v>
      </c>
      <c r="B1410" s="1"/>
    </row>
    <row r="1411">
      <c r="A1411" s="1" t="str">
        <f>IFERROR(__xludf.DUMMYFUNCTION("""COMPUTED_VALUE"""),"133264;INF204KA1YU4;-;Nippon India Gilt Securities Fund- Growth Plan- Bonus Option;13.0522;02-Jul-2018")</f>
        <v>133264;INF204KA1YU4;-;Nippon India Gilt Securities Fund- Growth Plan- Bonus Option;13.0522;02-Jul-2018</v>
      </c>
      <c r="B1411" s="1"/>
    </row>
    <row r="1412">
      <c r="A1412" s="1" t="str">
        <f>IFERROR(__xludf.DUMMYFUNCTION("""COMPUTED_VALUE"""),"109718;INF204K01CD8;-;Nippon India Gilt Securities Fund-Institutional Plan-P F Option-Automatic Capital Appreciation Payout Option;23.0785;31-Jul-2017")</f>
        <v>109718;INF204K01CD8;-;Nippon India Gilt Securities Fund-Institutional Plan-P F Option-Automatic Capital Appreciation Payout Option;23.0785;31-Jul-2017</v>
      </c>
      <c r="B1412" s="1"/>
    </row>
    <row r="1413">
      <c r="A1413" s="1" t="str">
        <f>IFERROR(__xludf.DUMMYFUNCTION("""COMPUTED_VALUE"""),"109724;INF204K01CC0;-;Nippon India Gilt Securities Fund-P F Option-Automatic Capital Appreciation Payout Option;32.9881;25-Aug-2023")</f>
        <v>109724;INF204K01CC0;-;Nippon India Gilt Securities Fund-P F Option-Automatic Capital Appreciation Payout Option;32.9881;25-Aug-2023</v>
      </c>
      <c r="B1413" s="1"/>
    </row>
    <row r="1414">
      <c r="A1414" s="1"/>
      <c r="B1414" s="1"/>
    </row>
    <row r="1415">
      <c r="A1415" s="1" t="str">
        <f>IFERROR(__xludf.DUMMYFUNCTION("""COMPUTED_VALUE"""),"PGIM India Mutual Fund")</f>
        <v>PGIM India Mutual Fund</v>
      </c>
      <c r="B1415" s="1"/>
    </row>
    <row r="1416">
      <c r="A1416" s="1"/>
      <c r="B1416" s="1"/>
    </row>
    <row r="1417">
      <c r="A1417" s="1" t="str">
        <f>IFERROR(__xludf.DUMMYFUNCTION("""COMPUTED_VALUE"""),"138471;INF223J01AR4;-;PGIM India Gilt Fund - Bonus;13.8662;01-Aug-2016")</f>
        <v>138471;INF223J01AR4;-;PGIM India Gilt Fund - Bonus;13.8662;01-Aug-2016</v>
      </c>
      <c r="B1417" s="1"/>
    </row>
    <row r="1418">
      <c r="A1418" s="1" t="str">
        <f>IFERROR(__xludf.DUMMYFUNCTION("""COMPUTED_VALUE"""),"138472;INF223J01ND7;-;PGIM India Gilt Fund - Direct Plan - Growth;27.804;25-Aug-2023")</f>
        <v>138472;INF223J01ND7;-;PGIM India Gilt Fund - Direct Plan - Growth;27.804;25-Aug-2023</v>
      </c>
      <c r="B1418" s="1"/>
    </row>
    <row r="1419">
      <c r="A1419" s="1" t="str">
        <f>IFERROR(__xludf.DUMMYFUNCTION("""COMPUTED_VALUE"""),"138476;INF223J01VM1;-;PGIM India Gilt Fund - Direct Plan - Half Yearly Bonus;12.8877;03-Apr-2018")</f>
        <v>138476;INF223J01VM1;-;PGIM India Gilt Fund - Direct Plan - Half Yearly Bonus;12.8877;03-Apr-2018</v>
      </c>
      <c r="B1419" s="1"/>
    </row>
    <row r="1420">
      <c r="A1420" s="1" t="str">
        <f>IFERROR(__xludf.DUMMYFUNCTION("""COMPUTED_VALUE"""),"138474;INF223J01NB1;-;PGIM India Gilt Fund - Direct Plan - Quarterly Dividend;14.4916;25-Aug-2023")</f>
        <v>138474;INF223J01NB1;-;PGIM India Gilt Fund - Direct Plan - Quarterly Dividend;14.4916;25-Aug-2023</v>
      </c>
      <c r="B1420" s="1"/>
    </row>
    <row r="1421">
      <c r="A1421" s="1" t="str">
        <f>IFERROR(__xludf.DUMMYFUNCTION("""COMPUTED_VALUE"""),"138470;INF223J01AQ6;-;PGIM India Gilt Fund - Growth;26.1743;25-Aug-2023")</f>
        <v>138470;INF223J01AQ6;-;PGIM India Gilt Fund - Growth;26.1743;25-Aug-2023</v>
      </c>
      <c r="B1421" s="1"/>
    </row>
    <row r="1422">
      <c r="A1422" s="1" t="str">
        <f>IFERROR(__xludf.DUMMYFUNCTION("""COMPUTED_VALUE"""),"138475;INF223J01VL3;-;PGIM India Gilt Fund - Half Yearly Bonus;12.6178;05-Jul-2018")</f>
        <v>138475;INF223J01VL3;-;PGIM India Gilt Fund - Half Yearly Bonus;12.6178;05-Jul-2018</v>
      </c>
      <c r="B1422" s="1"/>
    </row>
    <row r="1423">
      <c r="A1423" s="1" t="str">
        <f>IFERROR(__xludf.DUMMYFUNCTION("""COMPUTED_VALUE"""),"138467;INF223J01AO1;INF223J01AP8;PGIM India Gilt Fund - Quarterly Dividend;13.8684;25-Aug-2023")</f>
        <v>138467;INF223J01AO1;INF223J01AP8;PGIM India Gilt Fund - Quarterly Dividend;13.8684;25-Aug-2023</v>
      </c>
      <c r="B1423" s="1"/>
    </row>
    <row r="1424">
      <c r="A1424" s="1"/>
      <c r="B1424" s="1"/>
    </row>
    <row r="1425">
      <c r="A1425" s="1" t="str">
        <f>IFERROR(__xludf.DUMMYFUNCTION("""COMPUTED_VALUE"""),"quant Mutual Fund")</f>
        <v>quant Mutual Fund</v>
      </c>
      <c r="B1425" s="1"/>
    </row>
    <row r="1426">
      <c r="A1426" s="1"/>
      <c r="B1426" s="1"/>
    </row>
    <row r="1427">
      <c r="A1427" s="1" t="str">
        <f>IFERROR(__xludf.DUMMYFUNCTION("""COMPUTED_VALUE"""),"151228;INF966L01BF7;-;quant Gilt Fund - Growth Option - Direct Plan;10.5076;25-Aug-2023")</f>
        <v>151228;INF966L01BF7;-;quant Gilt Fund - Growth Option - Direct Plan;10.5076;25-Aug-2023</v>
      </c>
      <c r="B1427" s="1"/>
    </row>
    <row r="1428">
      <c r="A1428" s="1" t="str">
        <f>IFERROR(__xludf.DUMMYFUNCTION("""COMPUTED_VALUE"""),"151230;INF966L01BI1;-;quant Gilt Fund - Growth Option - Regular Plan;10.4439;25-Aug-2023")</f>
        <v>151230;INF966L01BI1;-;quant Gilt Fund - Growth Option - Regular Plan;10.4439;25-Aug-2023</v>
      </c>
      <c r="B1428" s="1"/>
    </row>
    <row r="1429">
      <c r="A1429" s="1" t="str">
        <f>IFERROR(__xludf.DUMMYFUNCTION("""COMPUTED_VALUE"""),"151229;INF966L01BG5;INF966L01BH3;quant Gilt Fund - IDCW Option - Direct Plan;10.5094;25-Aug-2023")</f>
        <v>151229;INF966L01BG5;INF966L01BH3;quant Gilt Fund - IDCW Option - Direct Plan;10.5094;25-Aug-2023</v>
      </c>
      <c r="B1429" s="1"/>
    </row>
    <row r="1430">
      <c r="A1430" s="1" t="str">
        <f>IFERROR(__xludf.DUMMYFUNCTION("""COMPUTED_VALUE"""),"151231;INF966L01BJ9;INF966L01BK7;quant Gilt Fund - IDCW Option - Regular Plan;10.4442;25-Aug-2023")</f>
        <v>151231;INF966L01BJ9;INF966L01BK7;quant Gilt Fund - IDCW Option - Regular Plan;10.4442;25-Aug-2023</v>
      </c>
      <c r="B1430" s="1"/>
    </row>
    <row r="1431">
      <c r="A1431" s="1"/>
      <c r="B1431" s="1"/>
    </row>
    <row r="1432">
      <c r="A1432" s="1" t="str">
        <f>IFERROR(__xludf.DUMMYFUNCTION("""COMPUTED_VALUE"""),"SBI Mutual Fund")</f>
        <v>SBI Mutual Fund</v>
      </c>
      <c r="B1432" s="1"/>
    </row>
    <row r="1433">
      <c r="A1433" s="1"/>
      <c r="B1433" s="1"/>
    </row>
    <row r="1434">
      <c r="A1434" s="1" t="str">
        <f>IFERROR(__xludf.DUMMYFUNCTION("""COMPUTED_VALUE"""),"102061;INF200K01AB4;-;SBI MAGNUM GILT FUND -  GROWTH - PF (Fixed Period - 1 Yr) Option;N.A.;04-Sep-2017")</f>
        <v>102061;INF200K01AB4;-;SBI MAGNUM GILT FUND -  GROWTH - PF (Fixed Period - 1 Yr) Option;N.A.;04-Sep-2017</v>
      </c>
      <c r="B1434" s="1"/>
    </row>
    <row r="1435">
      <c r="A1435" s="1" t="str">
        <f>IFERROR(__xludf.DUMMYFUNCTION("""COMPUTED_VALUE"""),"101933;INF200K01AE8;-;SBI MAGNUM GILT FUND -  GROWTH - PF (Fixed Period - 2 Yrs) Option;N.A.;04-Sep-2017")</f>
        <v>101933;INF200K01AE8;-;SBI MAGNUM GILT FUND -  GROWTH - PF (Fixed Period - 2 Yrs) Option;N.A.;04-Sep-2017</v>
      </c>
      <c r="B1435" s="1"/>
    </row>
    <row r="1436">
      <c r="A1436" s="1" t="str">
        <f>IFERROR(__xludf.DUMMYFUNCTION("""COMPUTED_VALUE"""),"101934;INF200K01AH1;-;SBI MAGNUM GILT FUND -  GROWTH - PF (Fixed Period - 3 Yrs) Option;34.1551;25-Aug-2023")</f>
        <v>101934;INF200K01AH1;-;SBI MAGNUM GILT FUND -  GROWTH - PF (Fixed Period - 3 Yrs) Option;34.1551;25-Aug-2023</v>
      </c>
      <c r="B1436" s="1"/>
    </row>
    <row r="1437">
      <c r="A1437" s="1" t="str">
        <f>IFERROR(__xludf.DUMMYFUNCTION("""COMPUTED_VALUE"""),"101932;INF200K01AK5;-;SBI MAGNUM GILT FUND -  GROWTH - PF (Regular) Option;36.5559;25-Aug-2023")</f>
        <v>101932;INF200K01AK5;-;SBI MAGNUM GILT FUND -  GROWTH - PF (Regular) Option;36.5559;25-Aug-2023</v>
      </c>
      <c r="B1437" s="1"/>
    </row>
    <row r="1438">
      <c r="A1438" s="1" t="str">
        <f>IFERROR(__xludf.DUMMYFUNCTION("""COMPUTED_VALUE"""),"119707;INF200K01SH3;-;SBI MAGNUM GILT FUND - DIRECT PLAN - GROWTH;59.7745;25-Aug-2023")</f>
        <v>119707;INF200K01SH3;-;SBI MAGNUM GILT FUND - DIRECT PLAN - GROWTH;59.7745;25-Aug-2023</v>
      </c>
      <c r="B1438" s="1"/>
    </row>
    <row r="1439">
      <c r="A1439" s="1" t="str">
        <f>IFERROR(__xludf.DUMMYFUNCTION("""COMPUTED_VALUE"""),"119706;INF200K01SF7;INF200K01SG5;SBI Magnum Gilt Fund - Direct Plan - Income Distribution cum Capital Withdrawal Option (IDCW);19.0773;25-Aug-2023")</f>
        <v>119706;INF200K01SF7;INF200K01SG5;SBI Magnum Gilt Fund - Direct Plan - Income Distribution cum Capital Withdrawal Option (IDCW);19.0773;25-Aug-2023</v>
      </c>
      <c r="B1439" s="1"/>
    </row>
    <row r="1440">
      <c r="A1440" s="1" t="str">
        <f>IFERROR(__xludf.DUMMYFUNCTION("""COMPUTED_VALUE"""),"101950;INF200K01AC2;INF200K01AD0;SBI Magnum Gilt Fund - Income Distribution cum Capital Withdrawal Option (IDCW) - PF (Fixed Period - 1 Yr);17.5929;25-Aug-2023")</f>
        <v>101950;INF200K01AC2;INF200K01AD0;SBI Magnum Gilt Fund - Income Distribution cum Capital Withdrawal Option (IDCW) - PF (Fixed Period - 1 Yr);17.5929;25-Aug-2023</v>
      </c>
      <c r="B1440" s="1"/>
    </row>
    <row r="1441">
      <c r="A1441" s="1" t="str">
        <f>IFERROR(__xludf.DUMMYFUNCTION("""COMPUTED_VALUE"""),"101951;INF200K01AF5;INF200K01AG3;SBI Magnum Gilt Fund - Income Distribution cum Capital Withdrawal Option (IDCW) - PF (Fixed Period - 2 Yrs);17.8028;25-Aug-2023")</f>
        <v>101951;INF200K01AF5;INF200K01AG3;SBI Magnum Gilt Fund - Income Distribution cum Capital Withdrawal Option (IDCW) - PF (Fixed Period - 2 Yrs);17.8028;25-Aug-2023</v>
      </c>
      <c r="B1441" s="1"/>
    </row>
    <row r="1442">
      <c r="A1442" s="1" t="str">
        <f>IFERROR(__xludf.DUMMYFUNCTION("""COMPUTED_VALUE"""),"101952;INF200K01AI9;INF200K01AJ7;SBI Magnum Gilt Fund - Income Distribution cum Capital Withdrawal Option (IDCW) - PF (Fixed Period - 3 Yrs);17.2613;25-Aug-2023")</f>
        <v>101952;INF200K01AI9;INF200K01AJ7;SBI Magnum Gilt Fund - Income Distribution cum Capital Withdrawal Option (IDCW) - PF (Fixed Period - 3 Yrs);17.2613;25-Aug-2023</v>
      </c>
      <c r="B1442" s="1"/>
    </row>
    <row r="1443">
      <c r="A1443" s="1" t="str">
        <f>IFERROR(__xludf.DUMMYFUNCTION("""COMPUTED_VALUE"""),"101935;INF200K01AL3;INF200K01AM1;SBI Magnum Gilt Fund - Income Distribution cum Capital Withdrawal Option (IDCW) - PF (Regular);18.3976;25-Aug-2023")</f>
        <v>101935;INF200K01AL3;INF200K01AM1;SBI Magnum Gilt Fund - Income Distribution cum Capital Withdrawal Option (IDCW) - PF (Regular);18.3976;25-Aug-2023</v>
      </c>
      <c r="B1443" s="1"/>
    </row>
    <row r="1444">
      <c r="A1444" s="1" t="str">
        <f>IFERROR(__xludf.DUMMYFUNCTION("""COMPUTED_VALUE"""),"101001;INF200K01982;-;SBI MAGNUM GILT FUND - REGULAR PLAN - GROWTH;56.9428;25-Aug-2023")</f>
        <v>101001;INF200K01982;-;SBI MAGNUM GILT FUND - REGULAR PLAN - GROWTH;56.9428;25-Aug-2023</v>
      </c>
      <c r="B1444" s="1"/>
    </row>
    <row r="1445">
      <c r="A1445" s="1" t="str">
        <f>IFERROR(__xludf.DUMMYFUNCTION("""COMPUTED_VALUE"""),"100999;INF200K01990;INF200K01AA6;SBI Magnum Gilt Fund - Regular Plan - Income Distribution cum Capital Withdrawal Option (IDCW);17.5098;25-Aug-2023")</f>
        <v>100999;INF200K01990;INF200K01AA6;SBI Magnum Gilt Fund - Regular Plan - Income Distribution cum Capital Withdrawal Option (IDCW);17.5098;25-Aug-2023</v>
      </c>
      <c r="B1445" s="1"/>
    </row>
    <row r="1446">
      <c r="A1446" s="1"/>
      <c r="B1446" s="1"/>
    </row>
    <row r="1447">
      <c r="A1447" s="1" t="str">
        <f>IFERROR(__xludf.DUMMYFUNCTION("""COMPUTED_VALUE"""),"Tata Mutual Fund")</f>
        <v>Tata Mutual Fund</v>
      </c>
      <c r="B1447" s="1"/>
    </row>
    <row r="1448">
      <c r="A1448" s="1"/>
      <c r="B1448" s="1"/>
    </row>
    <row r="1449">
      <c r="A1449" s="1" t="str">
        <f>IFERROR(__xludf.DUMMYFUNCTION("""COMPUTED_VALUE"""),"102046;-;-;Tata Gilt Retirement Plan (28/2/25) - Payout of IDCW Option;30.9852;25-Aug-2023")</f>
        <v>102046;-;-;Tata Gilt Retirement Plan (28/2/25) - Payout of IDCW Option;30.9852;25-Aug-2023</v>
      </c>
      <c r="B1449" s="1"/>
    </row>
    <row r="1450">
      <c r="A1450" s="1" t="str">
        <f>IFERROR(__xludf.DUMMYFUNCTION("""COMPUTED_VALUE"""),"101945;-;-;Tata Gilt Retirement Plan- 28/2/25 Growth Option;31.0358;25-Aug-2023")</f>
        <v>101945;-;-;Tata Gilt Retirement Plan- 28/2/25 Growth Option;31.0358;25-Aug-2023</v>
      </c>
      <c r="B1450" s="1"/>
    </row>
    <row r="1451">
      <c r="A1451" s="1" t="str">
        <f>IFERROR(__xludf.DUMMYFUNCTION("""COMPUTED_VALUE"""),"119954;INF277K01OV1;INF277K01OW9;Tata Gilt Securities Fund - Direct Plan - Payout of IDCW Option;21.0174;25-Aug-2023")</f>
        <v>119954;INF277K01OV1;INF277K01OW9;Tata Gilt Securities Fund - Direct Plan - Payout of IDCW Option;21.0174;25-Aug-2023</v>
      </c>
      <c r="B1451" s="1"/>
    </row>
    <row r="1452">
      <c r="A1452" s="1" t="str">
        <f>IFERROR(__xludf.DUMMYFUNCTION("""COMPUTED_VALUE"""),"101049;INF277K01DN1;INF277K01535;Tata Gilt Securities Fund - Regular Plan - Payout of IDCW Option;18.8619;25-Aug-2023")</f>
        <v>101049;INF277K01DN1;INF277K01535;Tata Gilt Securities Fund - Regular Plan - Payout of IDCW Option;18.8619;25-Aug-2023</v>
      </c>
      <c r="B1452" s="1"/>
    </row>
    <row r="1453">
      <c r="A1453" s="1" t="str">
        <f>IFERROR(__xludf.DUMMYFUNCTION("""COMPUTED_VALUE"""),"101042;INF277K01519;-;Tata Gilt Securities Fund -Regular Plan- Growth Option;68.0485;25-Aug-2023")</f>
        <v>101042;INF277K01519;-;Tata Gilt Securities Fund -Regular Plan- Growth Option;68.0485;25-Aug-2023</v>
      </c>
      <c r="B1453" s="1"/>
    </row>
    <row r="1454">
      <c r="A1454" s="1" t="str">
        <f>IFERROR(__xludf.DUMMYFUNCTION("""COMPUTED_VALUE"""),"119953;INF277K01OX7;-;Tata Gilt Securities Fund- Direct Plan - Growth Option;74.6489;25-Aug-2023")</f>
        <v>119953;INF277K01OX7;-;Tata Gilt Securities Fund- Direct Plan - Growth Option;74.6489;25-Aug-2023</v>
      </c>
      <c r="B1454" s="1"/>
    </row>
    <row r="1455">
      <c r="A1455" s="1"/>
      <c r="B1455" s="1"/>
    </row>
    <row r="1456">
      <c r="A1456" s="1" t="str">
        <f>IFERROR(__xludf.DUMMYFUNCTION("""COMPUTED_VALUE"""),"Union Mutual Fund")</f>
        <v>Union Mutual Fund</v>
      </c>
      <c r="B1456" s="1"/>
    </row>
    <row r="1457">
      <c r="A1457" s="1"/>
      <c r="B1457" s="1"/>
    </row>
    <row r="1458">
      <c r="A1458" s="1" t="str">
        <f>IFERROR(__xludf.DUMMYFUNCTION("""COMPUTED_VALUE"""),"150408;INF582M01IA6;INF582M01IB4;Union Gilt Fund - Direct Plan - Annual IDCW Option;10.6603;25-Aug-2023")</f>
        <v>150408;INF582M01IA6;INF582M01IB4;Union Gilt Fund - Direct Plan - Annual IDCW Option;10.6603;25-Aug-2023</v>
      </c>
      <c r="B1458" s="1"/>
    </row>
    <row r="1459">
      <c r="A1459" s="1" t="str">
        <f>IFERROR(__xludf.DUMMYFUNCTION("""COMPUTED_VALUE"""),"150407;INF582M01HW2;-;Union Gilt Fund - Direct Plan - Growth Option;10.6603;25-Aug-2023")</f>
        <v>150407;INF582M01HW2;-;Union Gilt Fund - Direct Plan - Growth Option;10.6603;25-Aug-2023</v>
      </c>
      <c r="B1459" s="1"/>
    </row>
    <row r="1460">
      <c r="A1460" s="1" t="str">
        <f>IFERROR(__xludf.DUMMYFUNCTION("""COMPUTED_VALUE"""),"150456;INF582M01HX0;INF582M01HY8;Union Gilt Fund - Direct Plan - Half-yearly IDCW Option;10.6603;25-Aug-2023")</f>
        <v>150456;INF582M01HX0;INF582M01HY8;Union Gilt Fund - Direct Plan - Half-yearly IDCW Option;10.6603;25-Aug-2023</v>
      </c>
      <c r="B1460" s="1"/>
    </row>
    <row r="1461">
      <c r="A1461" s="1" t="str">
        <f>IFERROR(__xludf.DUMMYFUNCTION("""COMPUTED_VALUE"""),"150406;INF582M01IH1;INF582M01II9;Union Gilt Fund - Regular Plan - Annual IDCW Option;10.5974;25-Aug-2023")</f>
        <v>150406;INF582M01IH1;INF582M01II9;Union Gilt Fund - Regular Plan - Annual IDCW Option;10.5974;25-Aug-2023</v>
      </c>
      <c r="B1461" s="1"/>
    </row>
    <row r="1462">
      <c r="A1462" s="1" t="str">
        <f>IFERROR(__xludf.DUMMYFUNCTION("""COMPUTED_VALUE"""),"150405;INF582M01ID0;-;Union Gilt Fund - Regular Plan - Growth Option;10.5974;25-Aug-2023")</f>
        <v>150405;INF582M01ID0;-;Union Gilt Fund - Regular Plan - Growth Option;10.5974;25-Aug-2023</v>
      </c>
      <c r="B1462" s="1"/>
    </row>
    <row r="1463">
      <c r="A1463" s="1" t="str">
        <f>IFERROR(__xludf.DUMMYFUNCTION("""COMPUTED_VALUE"""),"150457;INF582M01IE8;INF582M01IF5;Union Gilt Fund - Regular Plan - Half-yearly IDCW Option;10.5974;25-Aug-2023")</f>
        <v>150457;INF582M01IE8;INF582M01IF5;Union Gilt Fund - Regular Plan - Half-yearly IDCW Option;10.5974;25-Aug-2023</v>
      </c>
      <c r="B1463" s="1"/>
    </row>
    <row r="1464">
      <c r="A1464" s="1"/>
      <c r="B1464" s="1"/>
    </row>
    <row r="1465">
      <c r="A1465" s="1" t="str">
        <f>IFERROR(__xludf.DUMMYFUNCTION("""COMPUTED_VALUE"""),"UTI Mutual Fund")</f>
        <v>UTI Mutual Fund</v>
      </c>
      <c r="B1465" s="1"/>
    </row>
    <row r="1466">
      <c r="A1466" s="1"/>
      <c r="B1466" s="1"/>
    </row>
    <row r="1467">
      <c r="A1467" s="1" t="str">
        <f>IFERROR(__xludf.DUMMYFUNCTION("""COMPUTED_VALUE"""),"120792;INF789F01TL5;-;UTI - GILT FUND - Direct Plan - Growth Option;55.9731;25-Aug-2023")</f>
        <v>120792;INF789F01TL5;-;UTI - GILT FUND - Direct Plan - Growth Option;55.9731;25-Aug-2023</v>
      </c>
      <c r="B1467" s="1"/>
    </row>
    <row r="1468">
      <c r="A1468" s="1" t="str">
        <f>IFERROR(__xludf.DUMMYFUNCTION("""COMPUTED_VALUE"""),"102512;INF789F01PT6;-;UTI - GILT FUND - Discontinued PF Plan - Growth Option;40.3935;25-Aug-2023")</f>
        <v>102512;INF789F01PT6;-;UTI - GILT FUND - Discontinued PF Plan - Growth Option;40.3935;25-Aug-2023</v>
      </c>
      <c r="B1468" s="1"/>
    </row>
    <row r="1469">
      <c r="A1469" s="1" t="str">
        <f>IFERROR(__xludf.DUMMYFUNCTION("""COMPUTED_VALUE"""),"102514;INF789F01PU4;-;UTI - GILT FUND - Discontinued PF Plan Prescribed Date Auto Redemption Option;40.4159;25-Aug-2023")</f>
        <v>102514;INF789F01PU4;-;UTI - GILT FUND - Discontinued PF Plan Prescribed Date Auto Redemption Option;40.4159;25-Aug-2023</v>
      </c>
      <c r="B1469" s="1"/>
    </row>
    <row r="1470">
      <c r="A1470" s="1" t="str">
        <f>IFERROR(__xludf.DUMMYFUNCTION("""COMPUTED_VALUE"""),"102510;INF789F01661;-;UTI - GILT FUND - Regular Plan - Growth Option;54.3263;25-Aug-2023")</f>
        <v>102510;INF789F01661;-;UTI - GILT FUND - Regular Plan - Growth Option;54.3263;25-Aug-2023</v>
      </c>
      <c r="B1470" s="1"/>
    </row>
    <row r="1471">
      <c r="A1471" s="1" t="str">
        <f>IFERROR(__xludf.DUMMYFUNCTION("""COMPUTED_VALUE"""),"102511;INF789F01PR0;INF789F01PS8;UTI - GILT FUND -Discontinued PF Plan -Dividend Option;22.2326;25-Aug-2023")</f>
        <v>102511;INF789F01PR0;INF789F01PS8;UTI - GILT FUND -Discontinued PF Plan -Dividend Option;22.2326;25-Aug-2023</v>
      </c>
      <c r="B1471" s="1"/>
    </row>
    <row r="1472">
      <c r="A1472" s="1" t="str">
        <f>IFERROR(__xludf.DUMMYFUNCTION("""COMPUTED_VALUE"""),"120791;INF789F01TJ9;INF789F01TK7;UTI Gilt Fund - Direct Plan - IDCW;27.0297;25-Aug-2023")</f>
        <v>120791;INF789F01TJ9;INF789F01TK7;UTI Gilt Fund - Direct Plan - IDCW;27.0297;25-Aug-2023</v>
      </c>
      <c r="B1472" s="1"/>
    </row>
    <row r="1473">
      <c r="A1473" s="1" t="str">
        <f>IFERROR(__xludf.DUMMYFUNCTION("""COMPUTED_VALUE"""),"102509;INF789F01646;INF789F01653;UTI Gilt Fund - Regular Plan - IDCW;33.6986;25-Aug-2023")</f>
        <v>102509;INF789F01646;INF789F01653;UTI Gilt Fund - Regular Plan - IDCW;33.6986;25-Aug-2023</v>
      </c>
      <c r="B1473" s="1"/>
    </row>
    <row r="1474">
      <c r="A1474" s="1"/>
      <c r="B1474" s="1"/>
    </row>
    <row r="1475">
      <c r="A1475" s="1" t="str">
        <f>IFERROR(__xludf.DUMMYFUNCTION("""COMPUTED_VALUE"""),"Open Ended Schemes(Debt Scheme - Gilt Fund with 10 year constant duration)")</f>
        <v>Open Ended Schemes(Debt Scheme - Gilt Fund with 10 year constant duration)</v>
      </c>
      <c r="B1475" s="1"/>
    </row>
    <row r="1476">
      <c r="A1476" s="1"/>
      <c r="B1476" s="1"/>
    </row>
    <row r="1477">
      <c r="A1477" s="1" t="str">
        <f>IFERROR(__xludf.DUMMYFUNCTION("""COMPUTED_VALUE"""),"Bandhan Mutual Fund")</f>
        <v>Bandhan Mutual Fund</v>
      </c>
      <c r="B1477" s="1"/>
    </row>
    <row r="1478">
      <c r="A1478" s="1"/>
      <c r="B1478" s="1"/>
    </row>
    <row r="1479">
      <c r="A1479" s="1" t="str">
        <f>IFERROR(__xludf.DUMMYFUNCTION("""COMPUTED_VALUE"""),"108646;INF194K01FF9;INF194K01FE2;BANDHAN Government Securities Fund - Constant Maturity Plan - Regular Plan - Quarterly IDCW;11.3487;25-Aug-2023")</f>
        <v>108646;INF194K01FF9;INF194K01FE2;BANDHAN Government Securities Fund - Constant Maturity Plan - Regular Plan - Quarterly IDCW;11.3487;25-Aug-2023</v>
      </c>
      <c r="B1479" s="1"/>
    </row>
    <row r="1480">
      <c r="A1480" s="1" t="str">
        <f>IFERROR(__xludf.DUMMYFUNCTION("""COMPUTED_VALUE"""),"108753;INF194K01FA0;-;BANDHAN Government Securities Fund - Constant Maturity Plan - Regular Plan - Growth;38.7249;25-Aug-2023")</f>
        <v>108753;INF194K01FA0;-;BANDHAN Government Securities Fund - Constant Maturity Plan - Regular Plan - Growth;38.7249;25-Aug-2023</v>
      </c>
      <c r="B1480" s="1"/>
    </row>
    <row r="1481">
      <c r="A1481" s="1" t="str">
        <f>IFERROR(__xludf.DUMMYFUNCTION("""COMPUTED_VALUE"""),"111343;INF194K01FI3;INF194K01FH5;BANDHAN Government Securities Fund - Constant Maturity Plan - Regular Plan - Weekly IDCW;10.1693;25-Aug-2023")</f>
        <v>111343;INF194K01FI3;INF194K01FH5;BANDHAN Government Securities Fund - Constant Maturity Plan - Regular Plan - Weekly IDCW;10.1693;25-Aug-2023</v>
      </c>
      <c r="B1481" s="1"/>
    </row>
    <row r="1482">
      <c r="A1482" s="1" t="str">
        <f>IFERROR(__xludf.DUMMYFUNCTION("""COMPUTED_VALUE"""),"108644;INF194K01FC6;INF194K01FB8;BANDHAN Government Securities Fund - Constant Maturity Plan - Regular Plan - Monthly IDCW;10.4259;25-Aug-2023")</f>
        <v>108644;INF194K01FC6;INF194K01FB8;BANDHAN Government Securities Fund - Constant Maturity Plan - Regular Plan - Monthly IDCW;10.4259;25-Aug-2023</v>
      </c>
      <c r="B1482" s="1"/>
    </row>
    <row r="1483">
      <c r="A1483" s="1" t="str">
        <f>IFERROR(__xludf.DUMMYFUNCTION("""COMPUTED_VALUE"""),"131391;INF194KA1SI3;INF194KA1SJ1;BANDHAN Government Securities Fund - Constant Maturity Plan - Regular Plan - Periodic IDCW;13.8625;25-Aug-2023")</f>
        <v>131391;INF194KA1SI3;INF194KA1SJ1;BANDHAN Government Securities Fund - Constant Maturity Plan - Regular Plan - Periodic IDCW;13.8625;25-Aug-2023</v>
      </c>
      <c r="B1483" s="1"/>
    </row>
    <row r="1484">
      <c r="A1484" s="1" t="str">
        <f>IFERROR(__xludf.DUMMYFUNCTION("""COMPUTED_VALUE"""),"118387;INF194K01P38;-;BANDHAN Government Securities Fund - Constant Maturity Plan -Direct Plan-Growth;39.2101;25-Aug-2023")</f>
        <v>118387;INF194K01P38;-;BANDHAN Government Securities Fund - Constant Maturity Plan -Direct Plan-Growth;39.2101;25-Aug-2023</v>
      </c>
      <c r="B1484" s="1"/>
    </row>
    <row r="1485">
      <c r="A1485" s="1" t="str">
        <f>IFERROR(__xludf.DUMMYFUNCTION("""COMPUTED_VALUE"""),"118390;INF194K01P53;INF194K01P46;BANDHAN Government Securities Fund - Constant Maturity Plan -Direct Plan-Monthly IDCW;10.4664;25-Aug-2023")</f>
        <v>118390;INF194K01P53;INF194K01P46;BANDHAN Government Securities Fund - Constant Maturity Plan -Direct Plan-Monthly IDCW;10.4664;25-Aug-2023</v>
      </c>
      <c r="B1485" s="1"/>
    </row>
    <row r="1486">
      <c r="A1486" s="1" t="str">
        <f>IFERROR(__xludf.DUMMYFUNCTION("""COMPUTED_VALUE"""),"131390;INF194KA1SL7;INF194KA1SM5;BANDHAN Government Securities Fund - Constant Maturity Plan -Direct Plan-Periodic IDCW;11.6803;25-Aug-2023")</f>
        <v>131390;INF194KA1SL7;INF194KA1SM5;BANDHAN Government Securities Fund - Constant Maturity Plan -Direct Plan-Periodic IDCW;11.6803;25-Aug-2023</v>
      </c>
      <c r="B1486" s="1"/>
    </row>
    <row r="1487">
      <c r="A1487" s="1" t="str">
        <f>IFERROR(__xludf.DUMMYFUNCTION("""COMPUTED_VALUE"""),"118388;INF194K01P87;INF194K01P79;BANDHAN Government Securities Fund - Constant Maturity Plan -Direct Plan-Quarterly IDCW;11.6345;25-Aug-2023")</f>
        <v>118388;INF194K01P87;INF194K01P79;BANDHAN Government Securities Fund - Constant Maturity Plan -Direct Plan-Quarterly IDCW;11.6345;25-Aug-2023</v>
      </c>
      <c r="B1487" s="1"/>
    </row>
    <row r="1488">
      <c r="A1488" s="1" t="str">
        <f>IFERROR(__xludf.DUMMYFUNCTION("""COMPUTED_VALUE"""),"118389;-;INF194K01Q03;BANDHAN Government Securities Fund - Constant Maturity Plan -Direct Plan-Weekly IDCW;17.8906;25-Aug-2023")</f>
        <v>118389;-;INF194K01Q03;BANDHAN Government Securities Fund - Constant Maturity Plan -Direct Plan-Weekly IDCW;17.8906;25-Aug-2023</v>
      </c>
      <c r="B1488" s="1"/>
    </row>
    <row r="1489">
      <c r="A1489" s="1"/>
      <c r="B1489" s="1"/>
    </row>
    <row r="1490">
      <c r="A1490" s="1" t="str">
        <f>IFERROR(__xludf.DUMMYFUNCTION("""COMPUTED_VALUE"""),"DSP Mutual Fund")</f>
        <v>DSP Mutual Fund</v>
      </c>
      <c r="B1490" s="1"/>
    </row>
    <row r="1491">
      <c r="A1491" s="1"/>
      <c r="B1491" s="1"/>
    </row>
    <row r="1492">
      <c r="A1492" s="1" t="str">
        <f>IFERROR(__xludf.DUMMYFUNCTION("""COMPUTED_VALUE"""),"131301;INF740K019I5;-;DSP 10Y G-Sec Fund - Direct Plan - Growth;19.0313;25-Aug-2023")</f>
        <v>131301;INF740K019I5;-;DSP 10Y G-Sec Fund - Direct Plan - Growth;19.0313;25-Aug-2023</v>
      </c>
      <c r="B1492" s="1"/>
    </row>
    <row r="1493">
      <c r="A1493" s="1" t="str">
        <f>IFERROR(__xludf.DUMMYFUNCTION("""COMPUTED_VALUE"""),"131304;INF740K010J2;INF740K011J0;DSP 10Y G-Sec Fund - Direct Plan - IDCW;10.8956;25-Aug-2023")</f>
        <v>131304;INF740K010J2;INF740K011J0;DSP 10Y G-Sec Fund - Direct Plan - IDCW;10.8956;25-Aug-2023</v>
      </c>
      <c r="B1493" s="1"/>
    </row>
    <row r="1494">
      <c r="A1494" s="1" t="str">
        <f>IFERROR(__xludf.DUMMYFUNCTION("""COMPUTED_VALUE"""),"131303;INF740K012J8;INF740K013J6;DSP 10Y G-Sec Fund - Direct Plan - IDCW - Monthly;10.4424;25-Aug-2023")</f>
        <v>131303;INF740K012J8;INF740K013J6;DSP 10Y G-Sec Fund - Direct Plan - IDCW - Monthly;10.4424;25-Aug-2023</v>
      </c>
      <c r="B1494" s="1"/>
    </row>
    <row r="1495">
      <c r="A1495" s="1" t="str">
        <f>IFERROR(__xludf.DUMMYFUNCTION("""COMPUTED_VALUE"""),"131302;INF740K014J4;INF740K015J1;DSP 10Y G-Sec Fund - Direct Plan - IDCW - Quarterly;10.8154;25-Aug-2023")</f>
        <v>131302;INF740K014J4;INF740K015J1;DSP 10Y G-Sec Fund - Direct Plan - IDCW - Quarterly;10.8154;25-Aug-2023</v>
      </c>
      <c r="B1495" s="1"/>
    </row>
    <row r="1496">
      <c r="A1496" s="1" t="str">
        <f>IFERROR(__xludf.DUMMYFUNCTION("""COMPUTED_VALUE"""),"131297;INF740K012I0;-;DSP 10Y G-Sec Fund - Regular Plan - Growth;18.6461;25-Aug-2023")</f>
        <v>131297;INF740K012I0;-;DSP 10Y G-Sec Fund - Regular Plan - Growth;18.6461;25-Aug-2023</v>
      </c>
      <c r="B1496" s="1"/>
    </row>
    <row r="1497">
      <c r="A1497" s="1" t="str">
        <f>IFERROR(__xludf.DUMMYFUNCTION("""COMPUTED_VALUE"""),"131298;INF740K013I8;INF740K014I6;DSP 10Y G-Sec Fund - Regular Plan - IDCW;10.6964;25-Aug-2023")</f>
        <v>131298;INF740K013I8;INF740K014I6;DSP 10Y G-Sec Fund - Regular Plan - IDCW;10.6964;25-Aug-2023</v>
      </c>
      <c r="B1497" s="1"/>
    </row>
    <row r="1498">
      <c r="A1498" s="1" t="str">
        <f>IFERROR(__xludf.DUMMYFUNCTION("""COMPUTED_VALUE"""),"131299;INF740K015I3;INF740K016I1;DSP 10Y G-Sec Fund - Regular Plan - IDCW - Monthly;10.6046;25-Aug-2023")</f>
        <v>131299;INF740K015I3;INF740K016I1;DSP 10Y G-Sec Fund - Regular Plan - IDCW - Monthly;10.6046;25-Aug-2023</v>
      </c>
      <c r="B1498" s="1"/>
    </row>
    <row r="1499">
      <c r="A1499" s="1" t="str">
        <f>IFERROR(__xludf.DUMMYFUNCTION("""COMPUTED_VALUE"""),"131300;INF740K017I9;INF740K018I7;DSP 10Y G-Sec Fund - Regular Plan - IDCW - Quarterly ;10.8714;25-Aug-2023")</f>
        <v>131300;INF740K017I9;INF740K018I7;DSP 10Y G-Sec Fund - Regular Plan - IDCW - Quarterly ;10.8714;25-Aug-2023</v>
      </c>
      <c r="B1499" s="1"/>
    </row>
    <row r="1500">
      <c r="A1500" s="1"/>
      <c r="B1500" s="1"/>
    </row>
    <row r="1501">
      <c r="A1501" s="1" t="str">
        <f>IFERROR(__xludf.DUMMYFUNCTION("""COMPUTED_VALUE"""),"ICICI Prudential Mutual Fund")</f>
        <v>ICICI Prudential Mutual Fund</v>
      </c>
      <c r="B1501" s="1"/>
    </row>
    <row r="1502">
      <c r="A1502" s="1"/>
      <c r="B1502" s="1"/>
    </row>
    <row r="1503">
      <c r="A1503" s="1" t="str">
        <f>IFERROR(__xludf.DUMMYFUNCTION("""COMPUTED_VALUE"""),"131059;INF109KA1N87;INF109KA1O29;ICICI Prudential Constant Maturity Gilt Fund - Annual IDCW;10.4889;16-Sep-2022")</f>
        <v>131059;INF109KA1N87;INF109KA1O29;ICICI Prudential Constant Maturity Gilt Fund - Annual IDCW;10.4889;16-Sep-2022</v>
      </c>
      <c r="B1503" s="1"/>
    </row>
    <row r="1504">
      <c r="A1504" s="1" t="str">
        <f>IFERROR(__xludf.DUMMYFUNCTION("""COMPUTED_VALUE"""),"131056;INF109KA1O78;INF109KA1P10;ICICI Prudential Constant Maturity Gilt Fund - Direct Plan - Annual IDCW;10.6928;16-Sep-2022")</f>
        <v>131056;INF109KA1O78;INF109KA1P10;ICICI Prudential Constant Maturity Gilt Fund - Direct Plan - Annual IDCW;10.6928;16-Sep-2022</v>
      </c>
      <c r="B1504" s="1"/>
    </row>
    <row r="1505">
      <c r="A1505" s="1" t="str">
        <f>IFERROR(__xludf.DUMMYFUNCTION("""COMPUTED_VALUE"""),"131061;INF109KA1O37;-;ICICI Prudential Constant Maturity Gilt Fund - Direct Plan - Growth;21.3779;25-Aug-2023")</f>
        <v>131061;INF109KA1O37;-;ICICI Prudential Constant Maturity Gilt Fund - Direct Plan - Growth;21.3779;25-Aug-2023</v>
      </c>
      <c r="B1505" s="1"/>
    </row>
    <row r="1506">
      <c r="A1506" s="1" t="str">
        <f>IFERROR(__xludf.DUMMYFUNCTION("""COMPUTED_VALUE"""),"131055;INF109KA1O60;INF109KA1P02;ICICI Prudential Constant Maturity Gilt Fund - Direct Plan - Half Yearly IDCW;10.6790;16-Sep-2022")</f>
        <v>131055;INF109KA1O60;INF109KA1P02;ICICI Prudential Constant Maturity Gilt Fund - Direct Plan - Half Yearly IDCW;10.6790;16-Sep-2022</v>
      </c>
      <c r="B1506" s="1"/>
    </row>
    <row r="1507">
      <c r="A1507" s="1" t="str">
        <f>IFERROR(__xludf.DUMMYFUNCTION("""COMPUTED_VALUE"""),"131053;INF109KA1O45;INF109KA1O86;ICICI Prudential Constant Maturity Gilt Fund - Direct Plan - Monthly IDCW;11.3870;16-Sep-2022")</f>
        <v>131053;INF109KA1O45;INF109KA1O86;ICICI Prudential Constant Maturity Gilt Fund - Direct Plan - Monthly IDCW;11.3870;16-Sep-2022</v>
      </c>
      <c r="B1507" s="1"/>
    </row>
    <row r="1508">
      <c r="A1508" s="1" t="str">
        <f>IFERROR(__xludf.DUMMYFUNCTION("""COMPUTED_VALUE"""),"131054;INF109KA1O52;INF109KA1O94;ICICI Prudential Constant Maturity Gilt Fund - Direct Plan - Quarterly IDCW;11.0287;25-Aug-2023")</f>
        <v>131054;INF109KA1O52;INF109KA1O94;ICICI Prudential Constant Maturity Gilt Fund - Direct Plan - Quarterly IDCW;11.0287;25-Aug-2023</v>
      </c>
      <c r="B1508" s="1"/>
    </row>
    <row r="1509">
      <c r="A1509" s="1" t="str">
        <f>IFERROR(__xludf.DUMMYFUNCTION("""COMPUTED_VALUE"""),"131051;INF109KA1N46;-;ICICI Prudential Constant Maturity Gilt Fund - Growth;20.9717;25-Aug-2023")</f>
        <v>131051;INF109KA1N46;-;ICICI Prudential Constant Maturity Gilt Fund - Growth;20.9717;25-Aug-2023</v>
      </c>
      <c r="B1509" s="1"/>
    </row>
    <row r="1510">
      <c r="A1510" s="1" t="str">
        <f>IFERROR(__xludf.DUMMYFUNCTION("""COMPUTED_VALUE"""),"131058;INF109KA1N79;INF109KA1O11;ICICI Prudential Constant Maturity Gilt Fund - Half Yearly IDCW;10.3816;16-Sep-2022")</f>
        <v>131058;INF109KA1N79;INF109KA1O11;ICICI Prudential Constant Maturity Gilt Fund - Half Yearly IDCW;10.3816;16-Sep-2022</v>
      </c>
      <c r="B1510" s="1"/>
    </row>
    <row r="1511">
      <c r="A1511" s="1" t="str">
        <f>IFERROR(__xludf.DUMMYFUNCTION("""COMPUTED_VALUE"""),"131062;INF109KA1N53;INF109KA1N95;ICICI Prudential Constant Maturity Gilt Fund - Monthly IDCW;11.1867;16-Sep-2022")</f>
        <v>131062;INF109KA1N53;INF109KA1N95;ICICI Prudential Constant Maturity Gilt Fund - Monthly IDCW;11.1867;16-Sep-2022</v>
      </c>
      <c r="B1511" s="1"/>
    </row>
    <row r="1512">
      <c r="A1512" s="1" t="str">
        <f>IFERROR(__xludf.DUMMYFUNCTION("""COMPUTED_VALUE"""),"131057;INF109KA1N61;INF109KA1O03;ICICI Prudential Constant Maturity Gilt Fund - quarterly IDCW;10.7867;25-Aug-2023")</f>
        <v>131057;INF109KA1N61;INF109KA1O03;ICICI Prudential Constant Maturity Gilt Fund - quarterly IDCW;10.7867;25-Aug-2023</v>
      </c>
      <c r="B1512" s="1"/>
    </row>
    <row r="1513">
      <c r="A1513" s="1"/>
      <c r="B1513" s="1"/>
    </row>
    <row r="1514">
      <c r="A1514" s="1" t="str">
        <f>IFERROR(__xludf.DUMMYFUNCTION("""COMPUTED_VALUE"""),"SBI Mutual Fund")</f>
        <v>SBI Mutual Fund</v>
      </c>
      <c r="B1514" s="1"/>
    </row>
    <row r="1515">
      <c r="A1515" s="1"/>
      <c r="B1515" s="1"/>
    </row>
    <row r="1516">
      <c r="A1516" s="1" t="str">
        <f>IFERROR(__xludf.DUMMYFUNCTION("""COMPUTED_VALUE"""),"120137;INF200K01SK7;-;SBI MAGNUM CONSTANT MATURITY FUND - DIRECT PLAN - GROWTH;56.2410;25-Aug-2023")</f>
        <v>120137;INF200K01SK7;-;SBI MAGNUM CONSTANT MATURITY FUND - DIRECT PLAN - GROWTH;56.2410;25-Aug-2023</v>
      </c>
      <c r="B1516" s="1"/>
    </row>
    <row r="1517">
      <c r="A1517" s="1" t="str">
        <f>IFERROR(__xludf.DUMMYFUNCTION("""COMPUTED_VALUE"""),"120136;INF200K01SI1;INF200K01SJ9;SBI Magnum Constant Maturity Fund - Direct Plan - Income Distribution cum Capital Withdrawal Option (IDCW);18.2943;25-Aug-2023")</f>
        <v>120136;INF200K01SI1;INF200K01SJ9;SBI Magnum Constant Maturity Fund - Direct Plan - Income Distribution cum Capital Withdrawal Option (IDCW);18.2943;25-Aug-2023</v>
      </c>
      <c r="B1517" s="1"/>
    </row>
    <row r="1518">
      <c r="A1518" s="1" t="str">
        <f>IFERROR(__xludf.DUMMYFUNCTION("""COMPUTED_VALUE"""),"101002;INF200K01AN9;-;SBI MAGNUM CONSTANT MATURITY FUND - REGULAR PLAN - GROWTH;54.4179;25-Aug-2023")</f>
        <v>101002;INF200K01AN9;-;SBI MAGNUM CONSTANT MATURITY FUND - REGULAR PLAN - GROWTH;54.4179;25-Aug-2023</v>
      </c>
      <c r="B1518" s="1"/>
    </row>
    <row r="1519">
      <c r="A1519" s="1" t="str">
        <f>IFERROR(__xludf.DUMMYFUNCTION("""COMPUTED_VALUE"""),"101003;INF200K01AO7;INF200K01AP4;SBI Magnum Constant Maturity Fund - Regular Plan - Income Distribution cum Capital Withdrawal Option (IDCW);17.6985;25-Aug-2023")</f>
        <v>101003;INF200K01AO7;INF200K01AP4;SBI Magnum Constant Maturity Fund - Regular Plan - Income Distribution cum Capital Withdrawal Option (IDCW);17.6985;25-Aug-2023</v>
      </c>
      <c r="B1519" s="1"/>
    </row>
    <row r="1520">
      <c r="A1520" s="1"/>
      <c r="B1520" s="1"/>
    </row>
    <row r="1521">
      <c r="A1521" s="1" t="str">
        <f>IFERROR(__xludf.DUMMYFUNCTION("""COMPUTED_VALUE"""),"UTI Mutual Fund")</f>
        <v>UTI Mutual Fund</v>
      </c>
      <c r="B1521" s="1"/>
    </row>
    <row r="1522">
      <c r="A1522" s="1"/>
      <c r="B1522" s="1"/>
    </row>
    <row r="1523">
      <c r="A1523" s="1" t="str">
        <f>IFERROR(__xludf.DUMMYFUNCTION("""COMPUTED_VALUE"""),"150423;INF789F1AVW7;INF789F1AVX5;UTI Gilt Fund with 10 year Constant Duration - Direct Plan - Annual IDCW Option;10.6588;25-Aug-2023")</f>
        <v>150423;INF789F1AVW7;INF789F1AVX5;UTI Gilt Fund with 10 year Constant Duration - Direct Plan - Annual IDCW Option;10.6588;25-Aug-2023</v>
      </c>
      <c r="B1523" s="1"/>
    </row>
    <row r="1524">
      <c r="A1524" s="1" t="str">
        <f>IFERROR(__xludf.DUMMYFUNCTION("""COMPUTED_VALUE"""),"150424;INF789F1AVY3;INF789F1AVZ0;UTI Gilt Fund with 10 year Constant Duration - Direct Plan - Flexi IDCW Option;10.8399;25-Aug-2023")</f>
        <v>150424;INF789F1AVY3;INF789F1AVZ0;UTI Gilt Fund with 10 year Constant Duration - Direct Plan - Flexi IDCW Option;10.8399;25-Aug-2023</v>
      </c>
      <c r="B1524" s="1"/>
    </row>
    <row r="1525">
      <c r="A1525" s="1" t="str">
        <f>IFERROR(__xludf.DUMMYFUNCTION("""COMPUTED_VALUE"""),"150410;INF789F1AVR7;-;UTI Gilt Fund with 10 year Constant Duration - Direct Plan - Growth Option;10.8396;25-Aug-2023")</f>
        <v>150410;INF789F1AVR7;-;UTI Gilt Fund with 10 year Constant Duration - Direct Plan - Growth Option;10.8396;25-Aug-2023</v>
      </c>
      <c r="B1525" s="1"/>
    </row>
    <row r="1526">
      <c r="A1526" s="1" t="str">
        <f>IFERROR(__xludf.DUMMYFUNCTION("""COMPUTED_VALUE"""),"150412;INF789F1AVS5;INF789F1AVT3;UTI Gilt Fund with 10 year Constant Duration - Direct Plan - Quarterly IDCW Option;10.8397;25-Aug-2023")</f>
        <v>150412;INF789F1AVS5;INF789F1AVT3;UTI Gilt Fund with 10 year Constant Duration - Direct Plan - Quarterly IDCW Option;10.8397;25-Aug-2023</v>
      </c>
      <c r="B1526" s="1"/>
    </row>
    <row r="1527">
      <c r="A1527" s="1" t="str">
        <f>IFERROR(__xludf.DUMMYFUNCTION("""COMPUTED_VALUE"""),"150419;INF789F1AVN6;INF789F1AVO4;UTI Gilt Fund with 10 year Constant Duration - Regular Plan - Annual IDCW Option;10.6016;25-Aug-2023")</f>
        <v>150419;INF789F1AVN6;INF789F1AVO4;UTI Gilt Fund with 10 year Constant Duration - Regular Plan - Annual IDCW Option;10.6016;25-Aug-2023</v>
      </c>
      <c r="B1527" s="1"/>
    </row>
    <row r="1528">
      <c r="A1528" s="1" t="str">
        <f>IFERROR(__xludf.DUMMYFUNCTION("""COMPUTED_VALUE"""),"150420;INF789F1AVP1;INF789F1AVQ9;UTI Gilt Fund with 10 year Constant Duration - Regular Plan - Flexi IDCW Option;10.7823;25-Aug-2023")</f>
        <v>150420;INF789F1AVP1;INF789F1AVQ9;UTI Gilt Fund with 10 year Constant Duration - Regular Plan - Flexi IDCW Option;10.7823;25-Aug-2023</v>
      </c>
      <c r="B1528" s="1"/>
    </row>
    <row r="1529">
      <c r="A1529" s="1" t="str">
        <f>IFERROR(__xludf.DUMMYFUNCTION("""COMPUTED_VALUE"""),"150409;INF789F1AVI6;-;UTI Gilt Fund with 10 year Constant Duration - Regular Plan - Growth Option;10.7826;25-Aug-2023")</f>
        <v>150409;INF789F1AVI6;-;UTI Gilt Fund with 10 year Constant Duration - Regular Plan - Growth Option;10.7826;25-Aug-2023</v>
      </c>
      <c r="B1529" s="1"/>
    </row>
    <row r="1530">
      <c r="A1530" s="1" t="str">
        <f>IFERROR(__xludf.DUMMYFUNCTION("""COMPUTED_VALUE"""),"150416;INF789F1AVL0;INF789F1AVM8;UTI Gilt Fund with 10 year Constant Duration - Regular Plan - Half Yearly IDCW Option;10.7824;25-Aug-2023")</f>
        <v>150416;INF789F1AVL0;INF789F1AVM8;UTI Gilt Fund with 10 year Constant Duration - Regular Plan - Half Yearly IDCW Option;10.7824;25-Aug-2023</v>
      </c>
      <c r="B1530" s="1"/>
    </row>
    <row r="1531">
      <c r="A1531" s="1" t="str">
        <f>IFERROR(__xludf.DUMMYFUNCTION("""COMPUTED_VALUE"""),"150411;INF789F1AVJ4;INF789F1AVK2;UTI Gilt Fund with 10 year Constant Duration - Regular Plan - Quarterly IDCW Option;10.7827;25-Aug-2023")</f>
        <v>150411;INF789F1AVJ4;INF789F1AVK2;UTI Gilt Fund with 10 year Constant Duration - Regular Plan - Quarterly IDCW Option;10.7827;25-Aug-2023</v>
      </c>
      <c r="B1531" s="1"/>
    </row>
    <row r="1532">
      <c r="A1532" s="1"/>
      <c r="B1532" s="1"/>
    </row>
    <row r="1533">
      <c r="A1533" s="1" t="str">
        <f>IFERROR(__xludf.DUMMYFUNCTION("""COMPUTED_VALUE"""),"Open Ended Schemes(Debt Scheme - Liquid Fund)")</f>
        <v>Open Ended Schemes(Debt Scheme - Liquid Fund)</v>
      </c>
      <c r="B1533" s="1"/>
    </row>
    <row r="1534">
      <c r="A1534" s="1"/>
      <c r="B1534" s="1"/>
    </row>
    <row r="1535">
      <c r="A1535" s="1" t="str">
        <f>IFERROR(__xludf.DUMMYFUNCTION("""COMPUTED_VALUE"""),"360 ONE Mutual Fund (Formerly Known as IIFL Mutual Fund)")</f>
        <v>360 ONE Mutual Fund (Formerly Known as IIFL Mutual Fund)</v>
      </c>
      <c r="B1535" s="1"/>
    </row>
    <row r="1536">
      <c r="A1536" s="1"/>
      <c r="B1536" s="1"/>
    </row>
    <row r="1537">
      <c r="A1537" s="1" t="str">
        <f>IFERROR(__xludf.DUMMYFUNCTION("""COMPUTED_VALUE"""),"125345;INF579M01621;-;360 ONE LIQUID FUND DIRECT PLAN  GROWTH;1781.0861;27-Aug-2023")</f>
        <v>125345;INF579M01621;-;360 ONE LIQUID FUND DIRECT PLAN  GROWTH;1781.0861;27-Aug-2023</v>
      </c>
      <c r="B1537" s="1"/>
    </row>
    <row r="1538">
      <c r="A1538" s="1" t="str">
        <f>IFERROR(__xludf.DUMMYFUNCTION("""COMPUTED_VALUE"""),"125343;INF579M01639;INF579M01696;360 ONE LIQUID FUND DIRECT PLAN  WEEKLY DIVIDEND;1005.9547;27-Aug-2023")</f>
        <v>125343;INF579M01639;INF579M01696;360 ONE LIQUID FUND DIRECT PLAN  WEEKLY DIVIDEND;1005.9547;27-Aug-2023</v>
      </c>
      <c r="B1538" s="1"/>
    </row>
    <row r="1539">
      <c r="A1539" s="1" t="str">
        <f>IFERROR(__xludf.DUMMYFUNCTION("""COMPUTED_VALUE"""),"125259;INF579M01506;-;360 ONE LIQUID FUND REGULAR PLAN  GROWTH;1772.3840;27-Aug-2023")</f>
        <v>125259;INF579M01506;-;360 ONE LIQUID FUND REGULAR PLAN  GROWTH;1772.3840;27-Aug-2023</v>
      </c>
      <c r="B1539" s="1"/>
    </row>
    <row r="1540">
      <c r="A1540" s="1" t="str">
        <f>IFERROR(__xludf.DUMMYFUNCTION("""COMPUTED_VALUE"""),"125337;INF579M01514;INF579M01571;360 ONE LIQUID FUND REGULAR PLAN  WEEKLY DIVIDEND;1005.9291;27-Aug-2023")</f>
        <v>125337;INF579M01514;INF579M01571;360 ONE LIQUID FUND REGULAR PLAN  WEEKLY DIVIDEND;1005.9291;27-Aug-2023</v>
      </c>
      <c r="B1540" s="1"/>
    </row>
    <row r="1541">
      <c r="A1541" s="1" t="str">
        <f>IFERROR(__xludf.DUMMYFUNCTION("""COMPUTED_VALUE"""),"125349;-;INF579M01688;IIFL LIQUID FUND DIRECT PLAN  DAILY DIVIDEND REINVESTMENT;1000.0604;27-Aug-2023")</f>
        <v>125349;-;INF579M01688;IIFL LIQUID FUND DIRECT PLAN  DAILY DIVIDEND REINVESTMENT;1000.0604;27-Aug-2023</v>
      </c>
      <c r="B1541" s="1"/>
    </row>
    <row r="1542">
      <c r="A1542" s="1" t="str">
        <f>IFERROR(__xludf.DUMMYFUNCTION("""COMPUTED_VALUE"""),"125342;-;INF579M01563;IIFL LIQUID FUND REGULAR PLAN  DAILY DIVIDEND REINVESTMENT;1000.0701;27-Aug-2023")</f>
        <v>125342;-;INF579M01563;IIFL LIQUID FUND REGULAR PLAN  DAILY DIVIDEND REINVESTMENT;1000.0701;27-Aug-2023</v>
      </c>
      <c r="B1542" s="1"/>
    </row>
    <row r="1543">
      <c r="A1543" s="1"/>
      <c r="B1543" s="1"/>
    </row>
    <row r="1544">
      <c r="A1544" s="1" t="str">
        <f>IFERROR(__xludf.DUMMYFUNCTION("""COMPUTED_VALUE"""),"Aditya Birla Sun Life Mutual Fund")</f>
        <v>Aditya Birla Sun Life Mutual Fund</v>
      </c>
      <c r="B1544" s="1"/>
    </row>
    <row r="1545">
      <c r="A1545" s="1"/>
      <c r="B1545" s="1"/>
    </row>
    <row r="1546">
      <c r="A1546" s="1" t="str">
        <f>IFERROR(__xludf.DUMMYFUNCTION("""COMPUTED_VALUE"""),"100047;INF209K01RU9;-;Aditya Birla Sun Life Liquid Fund - Growth;369.695;25-Aug-2023")</f>
        <v>100047;INF209K01RU9;-;Aditya Birla Sun Life Liquid Fund - Growth;369.695;25-Aug-2023</v>
      </c>
      <c r="B1546" s="1"/>
    </row>
    <row r="1547">
      <c r="A1547" s="1" t="str">
        <f>IFERROR(__xludf.DUMMYFUNCTION("""COMPUTED_VALUE"""),"119568;INF209K01VA3;-;Aditya Birla Sun Life Liquid Fund - Growth - Direct Plan;373.2624;25-Aug-2023")</f>
        <v>119568;INF209K01VA3;-;Aditya Birla Sun Life Liquid Fund - Growth - Direct Plan;373.2624;25-Aug-2023</v>
      </c>
      <c r="B1547" s="1"/>
    </row>
    <row r="1548">
      <c r="A1548" s="1" t="str">
        <f>IFERROR(__xludf.DUMMYFUNCTION("""COMPUTED_VALUE"""),"100046;INF209K01KQ2;INF209K01SQ5;Aditya Birla Sun Life Liquid Fund -Daily IDCW;100.195;25-Aug-2023")</f>
        <v>100046;INF209K01KQ2;INF209K01SQ5;Aditya Birla Sun Life Liquid Fund -Daily IDCW;100.195;25-Aug-2023</v>
      </c>
      <c r="B1548" s="1"/>
    </row>
    <row r="1549">
      <c r="A1549" s="1" t="str">
        <f>IFERROR(__xludf.DUMMYFUNCTION("""COMPUTED_VALUE"""),"119569;INF209K01UZ2;-;Aditya Birla Sun Life Liquid Fund -Direct - daily IDCW;100.195;25-Aug-2023")</f>
        <v>119569;INF209K01UZ2;-;Aditya Birla Sun Life Liquid Fund -Direct - daily IDCW;100.195;25-Aug-2023</v>
      </c>
      <c r="B1549" s="1"/>
    </row>
    <row r="1550">
      <c r="A1550" s="1" t="str">
        <f>IFERROR(__xludf.DUMMYFUNCTION("""COMPUTED_VALUE"""),"119571;INF209K01VD7;-;Aditya Birla Sun Life Liquid Fund -DIRECT - IDCW;202.652;25-Aug-2023")</f>
        <v>119571;INF209K01VD7;-;Aditya Birla Sun Life Liquid Fund -DIRECT - IDCW;202.652;25-Aug-2023</v>
      </c>
      <c r="B1550" s="1"/>
    </row>
    <row r="1551">
      <c r="A1551" s="1" t="str">
        <f>IFERROR(__xludf.DUMMYFUNCTION("""COMPUTED_VALUE"""),"119570;INF209K01VC9;-;Aditya Birla Sun Life Liquid Fund -Direct - weekly IDCW;100.225;25-Aug-2023")</f>
        <v>119570;INF209K01VC9;-;Aditya Birla Sun Life Liquid Fund -Direct - weekly IDCW;100.225;25-Aug-2023</v>
      </c>
      <c r="B1551" s="1"/>
    </row>
    <row r="1552">
      <c r="A1552" s="1" t="str">
        <f>IFERROR(__xludf.DUMMYFUNCTION("""COMPUTED_VALUE"""),"100041;-;INF209K01KN9;Aditya Birla Sun Life Liquid Fund -Institutional - IDCW;108.023;25-Aug-2023")</f>
        <v>100041;-;INF209K01KN9;Aditya Birla Sun Life Liquid Fund -Institutional - IDCW;108.023;25-Aug-2023</v>
      </c>
      <c r="B1552" s="1"/>
    </row>
    <row r="1553">
      <c r="A1553" s="1" t="str">
        <f>IFERROR(__xludf.DUMMYFUNCTION("""COMPUTED_VALUE"""),"100048;INF209KA1LK7;INF209K01KY6;Aditya Birla Sun Life Liquid Fund -Institutional - weekly  IDCW;108.068;25-Aug-2023")</f>
        <v>100048;INF209KA1LK7;INF209K01KY6;Aditya Birla Sun Life Liquid Fund -Institutional - weekly  IDCW;108.068;25-Aug-2023</v>
      </c>
      <c r="B1553" s="1"/>
    </row>
    <row r="1554">
      <c r="A1554" s="1" t="str">
        <f>IFERROR(__xludf.DUMMYFUNCTION("""COMPUTED_VALUE"""),"103885;INF209KA1LI1;-;Aditya Birla Sun Life Liquid Fund -Regular - IDCW;154.6904;25-Aug-2023")</f>
        <v>103885;INF209KA1LI1;-;Aditya Birla Sun Life Liquid Fund -Regular - IDCW;154.6904;25-Aug-2023</v>
      </c>
      <c r="B1554" s="1"/>
    </row>
    <row r="1555">
      <c r="A1555" s="1" t="str">
        <f>IFERROR(__xludf.DUMMYFUNCTION("""COMPUTED_VALUE"""),"100044;-;INF209K01KP4;Aditya Birla Sun Life Liquid Fund -Retail - IDCW;163.694;25-Aug-2023")</f>
        <v>100044;-;INF209K01KP4;Aditya Birla Sun Life Liquid Fund -Retail - IDCW;163.694;25-Aug-2023</v>
      </c>
      <c r="B1555" s="1"/>
    </row>
    <row r="1556">
      <c r="A1556" s="1" t="str">
        <f>IFERROR(__xludf.DUMMYFUNCTION("""COMPUTED_VALUE"""),"100051;INF209K01KU4;INF209KA1LJ9;Aditya Birla Sun Life Liquid Fund -weekly IDCW;100.225;25-Aug-2023")</f>
        <v>100051;INF209K01KU4;INF209KA1LJ9;Aditya Birla Sun Life Liquid Fund -weekly IDCW;100.225;25-Aug-2023</v>
      </c>
      <c r="B1556" s="1"/>
    </row>
    <row r="1557">
      <c r="A1557" s="1" t="str">
        <f>IFERROR(__xludf.DUMMYFUNCTION("""COMPUTED_VALUE"""),"112014;INF209K01KZ3;-;Aditya Birla Sun Life Liquid Fund- Discipline Advantage Plan;249.0346;25-Aug-2023")</f>
        <v>112014;INF209K01KZ3;-;Aditya Birla Sun Life Liquid Fund- Discipline Advantage Plan;249.0346;25-Aug-2023</v>
      </c>
      <c r="B1557" s="1"/>
    </row>
    <row r="1558">
      <c r="A1558" s="1" t="str">
        <f>IFERROR(__xludf.DUMMYFUNCTION("""COMPUTED_VALUE"""),"100043;INF209K01RT1;-;Aditya Birla Sun Life Liquid Fund-Institutional (Growth);615.6595;25-Aug-2023")</f>
        <v>100043;INF209K01RT1;-;Aditya Birla Sun Life Liquid Fund-Institutional (Growth);615.6595;25-Aug-2023</v>
      </c>
      <c r="B1558" s="1"/>
    </row>
    <row r="1559">
      <c r="A1559" s="1" t="str">
        <f>IFERROR(__xludf.DUMMYFUNCTION("""COMPUTED_VALUE"""),"100042;INF209K01ME4;-;Aditya Birla Sun Life Liquid Fund-Retail (Growth);599.937;25-Aug-2023")</f>
        <v>100042;INF209K01ME4;-;Aditya Birla Sun Life Liquid Fund-Retail (Growth);599.937;25-Aug-2023</v>
      </c>
      <c r="B1559" s="1"/>
    </row>
    <row r="1560">
      <c r="A1560" s="1"/>
      <c r="B1560" s="1"/>
    </row>
    <row r="1561">
      <c r="A1561" s="1" t="str">
        <f>IFERROR(__xludf.DUMMYFUNCTION("""COMPUTED_VALUE"""),"Axis Mutual Fund")</f>
        <v>Axis Mutual Fund</v>
      </c>
      <c r="B1561" s="1"/>
    </row>
    <row r="1562">
      <c r="A1562" s="1"/>
      <c r="B1562" s="1"/>
    </row>
    <row r="1563">
      <c r="A1563" s="1" t="str">
        <f>IFERROR(__xludf.DUMMYFUNCTION("""COMPUTED_VALUE"""),"128954;INF846K01NH4;-;Axis Liquid Fund - Direct plan - Bonus Option;2215.5705;05-May-2020")</f>
        <v>128954;INF846K01NH4;-;Axis Liquid Fund - Direct plan - Bonus Option;2215.5705;05-May-2020</v>
      </c>
      <c r="B1563" s="1"/>
    </row>
    <row r="1564">
      <c r="A1564" s="1" t="str">
        <f>IFERROR(__xludf.DUMMYFUNCTION("""COMPUTED_VALUE"""),"120388;-;INF846K01DA0;Axis Liquid Fund - Direct Plan - Daily IDCW;1000.9560;25-Aug-2023")</f>
        <v>120388;-;INF846K01DA0;Axis Liquid Fund - Direct Plan - Daily IDCW;1000.9560;25-Aug-2023</v>
      </c>
      <c r="B1564" s="1"/>
    </row>
    <row r="1565">
      <c r="A1565" s="1" t="str">
        <f>IFERROR(__xludf.DUMMYFUNCTION("""COMPUTED_VALUE"""),"120389;INF846K01CX4;-;Axis Liquid Fund - Direct Plan - Growth Option;2570.7306;25-Aug-2023")</f>
        <v>120389;INF846K01CX4;-;Axis Liquid Fund - Direct Plan - Growth Option;2570.7306;25-Aug-2023</v>
      </c>
      <c r="B1565" s="1"/>
    </row>
    <row r="1566">
      <c r="A1566" s="1" t="str">
        <f>IFERROR(__xludf.DUMMYFUNCTION("""COMPUTED_VALUE"""),"120391;INF846K01CY2;INF846K01CZ9;Axis Liquid Fund - Direct Plan - Monthly IDCW;1000.6876;25-Aug-2023")</f>
        <v>120391;INF846K01CY2;INF846K01CZ9;Axis Liquid Fund - Direct Plan - Monthly IDCW;1000.6876;25-Aug-2023</v>
      </c>
      <c r="B1566" s="1"/>
    </row>
    <row r="1567">
      <c r="A1567" s="1" t="str">
        <f>IFERROR(__xludf.DUMMYFUNCTION("""COMPUTED_VALUE"""),"120390;INF846K01DB8;INF846K01DC6;Axis Liquid Fund - Direct Plan - Weekly IDCW;1002.8486;25-Aug-2023")</f>
        <v>120390;INF846K01DB8;INF846K01DC6;Axis Liquid Fund - Direct Plan - Weekly IDCW;1002.8486;25-Aug-2023</v>
      </c>
      <c r="B1567" s="1"/>
    </row>
    <row r="1568">
      <c r="A1568" s="1" t="str">
        <f>IFERROR(__xludf.DUMMYFUNCTION("""COMPUTED_VALUE"""),"112211;-;INF846K01420;Axis Liquid Fund - Regular Plan - Daily IDCW;1001.3998;25-Aug-2023")</f>
        <v>112211;-;INF846K01420;Axis Liquid Fund - Regular Plan - Daily IDCW;1001.3998;25-Aug-2023</v>
      </c>
      <c r="B1568" s="1"/>
    </row>
    <row r="1569">
      <c r="A1569" s="1" t="str">
        <f>IFERROR(__xludf.DUMMYFUNCTION("""COMPUTED_VALUE"""),"112210;INF846K01412;-;Axis Liquid Fund - Regular Plan - Growth Option;2552.8026;25-Aug-2023")</f>
        <v>112210;INF846K01412;-;Axis Liquid Fund - Regular Plan - Growth Option;2552.8026;25-Aug-2023</v>
      </c>
      <c r="B1569" s="1"/>
    </row>
    <row r="1570">
      <c r="A1570" s="1" t="str">
        <f>IFERROR(__xludf.DUMMYFUNCTION("""COMPUTED_VALUE"""),"112213;INF846K01453;INF846K01461;Axis Liquid Fund - Regular Plan - Monthly IDCW;1001.2778;25-Aug-2023")</f>
        <v>112213;INF846K01453;INF846K01461;Axis Liquid Fund - Regular Plan - Monthly IDCW;1001.2778;25-Aug-2023</v>
      </c>
      <c r="B1570" s="1"/>
    </row>
    <row r="1571">
      <c r="A1571" s="1" t="str">
        <f>IFERROR(__xludf.DUMMYFUNCTION("""COMPUTED_VALUE"""),"112212;INF846K01438;INF846K01446;Axis Liquid Fund - Regular Plan - Weekly IDCW;1002.8409;25-Aug-2023")</f>
        <v>112212;INF846K01438;INF846K01446;Axis Liquid Fund - Regular Plan - Weekly IDCW;1002.8409;25-Aug-2023</v>
      </c>
      <c r="B1571" s="1"/>
    </row>
    <row r="1572">
      <c r="A1572" s="1" t="str">
        <f>IFERROR(__xludf.DUMMYFUNCTION("""COMPUTED_VALUE"""),"112712;-;INF846K01362;Axis Liquid Fund - Retail Plan - Daily IDCW;1000.9559;25-Aug-2023")</f>
        <v>112712;-;INF846K01362;Axis Liquid Fund - Retail Plan - Daily IDCW;1000.9559;25-Aug-2023</v>
      </c>
      <c r="B1572" s="1"/>
    </row>
    <row r="1573">
      <c r="A1573" s="1" t="str">
        <f>IFERROR(__xludf.DUMMYFUNCTION("""COMPUTED_VALUE"""),"112713;INF846K01354;-;Axis Liquid Fund - Retail Plan - Growth Option;2359.2554;25-Aug-2023")</f>
        <v>112713;INF846K01354;-;Axis Liquid Fund - Retail Plan - Growth Option;2359.2554;25-Aug-2023</v>
      </c>
      <c r="B1573" s="1"/>
    </row>
    <row r="1574">
      <c r="A1574" s="1" t="str">
        <f>IFERROR(__xludf.DUMMYFUNCTION("""COMPUTED_VALUE"""),"112714;INF846K01396;INF846K01404;Axis Liquid Fund - Retail Plan - Monthly IDCW;1000.6871;25-Aug-2023")</f>
        <v>112714;INF846K01396;INF846K01404;Axis Liquid Fund - Retail Plan - Monthly IDCW;1000.6871;25-Aug-2023</v>
      </c>
      <c r="B1574" s="1"/>
    </row>
    <row r="1575">
      <c r="A1575" s="1" t="str">
        <f>IFERROR(__xludf.DUMMYFUNCTION("""COMPUTED_VALUE"""),"112715;INF846K01370;INF846K01388;Axis Liquid Fund - Retail Plan - Weekly IDCW;1001.3769;25-Aug-2023")</f>
        <v>112715;INF846K01370;INF846K01388;Axis Liquid Fund - Retail Plan - Weekly IDCW;1001.3769;25-Aug-2023</v>
      </c>
      <c r="B1575" s="1"/>
    </row>
    <row r="1576">
      <c r="A1576" s="1"/>
      <c r="B1576" s="1"/>
    </row>
    <row r="1577">
      <c r="A1577" s="1" t="str">
        <f>IFERROR(__xludf.DUMMYFUNCTION("""COMPUTED_VALUE"""),"Bajaj Finserv Mutual Fund")</f>
        <v>Bajaj Finserv Mutual Fund</v>
      </c>
      <c r="B1577" s="1"/>
    </row>
    <row r="1578">
      <c r="A1578" s="1"/>
      <c r="B1578" s="1"/>
    </row>
    <row r="1579">
      <c r="A1579" s="1" t="str">
        <f>IFERROR(__xludf.DUMMYFUNCTION("""COMPUTED_VALUE"""),"151835;-;INF0QA701029;Bajaj Finserv Liquid Fund - Direct Plan - Daily - IDCW;1009.7694;27-Aug-2023")</f>
        <v>151835;-;INF0QA701029;Bajaj Finserv Liquid Fund - Direct Plan - Daily - IDCW;1009.7694;27-Aug-2023</v>
      </c>
      <c r="B1579" s="1"/>
    </row>
    <row r="1580">
      <c r="A1580" s="1" t="str">
        <f>IFERROR(__xludf.DUMMYFUNCTION("""COMPUTED_VALUE"""),"151838;INF0QA701078;INF0QA701045;Bajaj Finserv Liquid Fund - Direct Plan - Fortnightly - IDCW;1009.7694;27-Aug-2023")</f>
        <v>151838;INF0QA701078;INF0QA701045;Bajaj Finserv Liquid Fund - Direct Plan - Fortnightly - IDCW;1009.7694;27-Aug-2023</v>
      </c>
      <c r="B1580" s="1"/>
    </row>
    <row r="1581">
      <c r="A1581" s="1" t="str">
        <f>IFERROR(__xludf.DUMMYFUNCTION("""COMPUTED_VALUE"""),"151833;INF0QA701011;-;Bajaj Finserv Liquid Fund - Direct Plan - Growth;1009.7694;27-Aug-2023")</f>
        <v>151833;INF0QA701011;-;Bajaj Finserv Liquid Fund - Direct Plan - Growth;1009.7694;27-Aug-2023</v>
      </c>
      <c r="B1581" s="1"/>
    </row>
    <row r="1582">
      <c r="A1582" s="1" t="str">
        <f>IFERROR(__xludf.DUMMYFUNCTION("""COMPUTED_VALUE"""),"151836;INF0QA701086;INF0QA701052;Bajaj Finserv Liquid Fund - Direct Plan - Monthly - IDCW;1009.7694;27-Aug-2023")</f>
        <v>151836;INF0QA701086;INF0QA701052;Bajaj Finserv Liquid Fund - Direct Plan - Monthly - IDCW;1009.7694;27-Aug-2023</v>
      </c>
      <c r="B1582" s="1"/>
    </row>
    <row r="1583">
      <c r="A1583" s="1" t="str">
        <f>IFERROR(__xludf.DUMMYFUNCTION("""COMPUTED_VALUE"""),"151834;INF0QA701060;INF0QA701037;Bajaj Finserv Liquid Fund - Direct Plan - Weekly - IDCW;1009.7694;27-Aug-2023")</f>
        <v>151834;INF0QA701060;INF0QA701037;Bajaj Finserv Liquid Fund - Direct Plan - Weekly - IDCW;1009.7694;27-Aug-2023</v>
      </c>
      <c r="B1583" s="1"/>
    </row>
    <row r="1584">
      <c r="A1584" s="1" t="str">
        <f>IFERROR(__xludf.DUMMYFUNCTION("""COMPUTED_VALUE"""),"151839;-;INF0QA701136;Bajaj Finserv Liquid Fund - Regular Plan - Daily - IDCW;1009.5158;27-Aug-2023")</f>
        <v>151839;-;INF0QA701136;Bajaj Finserv Liquid Fund - Regular Plan - Daily - IDCW;1009.5158;27-Aug-2023</v>
      </c>
      <c r="B1584" s="1"/>
    </row>
    <row r="1585">
      <c r="A1585" s="1" t="str">
        <f>IFERROR(__xludf.DUMMYFUNCTION("""COMPUTED_VALUE"""),"151841;INF0QA701151;INF0QA701110;Bajaj Finserv Liquid Fund - Regular Plan - Fortnightly - IDCW;1009.5158;27-Aug-2023")</f>
        <v>151841;INF0QA701151;INF0QA701110;Bajaj Finserv Liquid Fund - Regular Plan - Fortnightly - IDCW;1009.5158;27-Aug-2023</v>
      </c>
      <c r="B1585" s="1"/>
    </row>
    <row r="1586">
      <c r="A1586" s="1" t="str">
        <f>IFERROR(__xludf.DUMMYFUNCTION("""COMPUTED_VALUE"""),"151837;INF0QA701094;-;Bajaj Finserv Liquid Fund - Regular Plan - Growth;1009.5158;27-Aug-2023")</f>
        <v>151837;INF0QA701094;-;Bajaj Finserv Liquid Fund - Regular Plan - Growth;1009.5158;27-Aug-2023</v>
      </c>
      <c r="B1586" s="1"/>
    </row>
    <row r="1587">
      <c r="A1587" s="1" t="str">
        <f>IFERROR(__xludf.DUMMYFUNCTION("""COMPUTED_VALUE"""),"151842;INF0QA701169;INF0QA701128;Bajaj Finserv Liquid Fund - Regular Plan - Monthly - IDCW;1009.5158;27-Aug-2023")</f>
        <v>151842;INF0QA701169;INF0QA701128;Bajaj Finserv Liquid Fund - Regular Plan - Monthly - IDCW;1009.5158;27-Aug-2023</v>
      </c>
      <c r="B1587" s="1"/>
    </row>
    <row r="1588">
      <c r="A1588" s="1" t="str">
        <f>IFERROR(__xludf.DUMMYFUNCTION("""COMPUTED_VALUE"""),"151840;INF0QA701144;INF0QA701102;Bajaj Finserv Liquid Fund - Regular Plan - Weekly - IDCW;1009.5158;27-Aug-2023")</f>
        <v>151840;INF0QA701144;INF0QA701102;Bajaj Finserv Liquid Fund - Regular Plan - Weekly - IDCW;1009.5158;27-Aug-2023</v>
      </c>
      <c r="B1588" s="1"/>
    </row>
    <row r="1589">
      <c r="A1589" s="1"/>
      <c r="B1589" s="1"/>
    </row>
    <row r="1590">
      <c r="A1590" s="1" t="str">
        <f>IFERROR(__xludf.DUMMYFUNCTION("""COMPUTED_VALUE"""),"Bandhan Mutual Fund")</f>
        <v>Bandhan Mutual Fund</v>
      </c>
      <c r="B1590" s="1"/>
    </row>
    <row r="1591">
      <c r="A1591" s="1"/>
      <c r="B1591" s="1"/>
    </row>
    <row r="1592">
      <c r="A1592" s="1" t="str">
        <f>IFERROR(__xludf.DUMMYFUNCTION("""COMPUTED_VALUE"""),"108694;INF194K01VP5;INF194K01VO8;BANDHAN LIQUID FUND - Inst Plan B - Periodic Div;0;02-Oct-2008")</f>
        <v>108694;INF194K01VP5;INF194K01VO8;BANDHAN LIQUID FUND - Inst Plan B - Periodic Div;0;02-Oct-2008</v>
      </c>
      <c r="B1592" s="1"/>
    </row>
    <row r="1593">
      <c r="A1593" s="1" t="str">
        <f>IFERROR(__xludf.DUMMYFUNCTION("""COMPUTED_VALUE"""),"108692;INF194K01VZ4;INF194K01VY7;BANDHAN LIQUID Fund - Regular Plan - Daily IDCW;1001.0846;25-Aug-2023")</f>
        <v>108692;INF194K01VZ4;INF194K01VY7;BANDHAN LIQUID Fund - Regular Plan - Daily IDCW;1001.0846;25-Aug-2023</v>
      </c>
      <c r="B1593" s="1"/>
    </row>
    <row r="1594">
      <c r="A1594" s="1" t="str">
        <f>IFERROR(__xludf.DUMMYFUNCTION("""COMPUTED_VALUE"""),"108690;INF194K01VX9;-;BANDHAN LIQUID Fund - Regular Plan - Growth;2774.4537;25-Aug-2023")</f>
        <v>108690;INF194K01VX9;-;BANDHAN LIQUID Fund - Regular Plan - Growth;2774.4537;25-Aug-2023</v>
      </c>
      <c r="B1594" s="1"/>
    </row>
    <row r="1595">
      <c r="A1595" s="1" t="str">
        <f>IFERROR(__xludf.DUMMYFUNCTION("""COMPUTED_VALUE"""),"108693;INF194K01WF4;INF194K01WE7;BANDHAN LIQUID Fund - Regular Plan - Monthly IDCW;1005.3197;25-Aug-2023")</f>
        <v>108693;INF194K01WF4;INF194K01WE7;BANDHAN LIQUID Fund - Regular Plan - Monthly IDCW;1005.3197;25-Aug-2023</v>
      </c>
      <c r="B1595" s="1"/>
    </row>
    <row r="1596">
      <c r="A1596" s="1" t="str">
        <f>IFERROR(__xludf.DUMMYFUNCTION("""COMPUTED_VALUE"""),"115489;INF194K01WC1;INF194K01WB3;BANDHAN LIQUID Fund - Regular Plan - Periodic IDCW;1197.8604;25-Aug-2023")</f>
        <v>115489;INF194K01WC1;INF194K01WB3;BANDHAN LIQUID Fund - Regular Plan - Periodic IDCW;1197.8604;25-Aug-2023</v>
      </c>
      <c r="B1596" s="1"/>
    </row>
    <row r="1597">
      <c r="A1597" s="1" t="str">
        <f>IFERROR(__xludf.DUMMYFUNCTION("""COMPUTED_VALUE"""),"108691;INF194K01WI8;INF194K01WH0;BANDHAN LIQUID Fund - Regular Plan - Weekly IDCW;1002.3864;25-Aug-2023")</f>
        <v>108691;INF194K01WI8;INF194K01WH0;BANDHAN LIQUID Fund - Regular Plan - Weekly IDCW;1002.3864;25-Aug-2023</v>
      </c>
      <c r="B1597" s="1"/>
    </row>
    <row r="1598">
      <c r="A1598" s="1" t="str">
        <f>IFERROR(__xludf.DUMMYFUNCTION("""COMPUTED_VALUE"""),"139582;INF194KA14C0;-;BANDHAN LIQUID Fund - Unclaimed IDCW Less than 3 years;1.4885;25-Aug-2023")</f>
        <v>139582;INF194KA14C0;-;BANDHAN LIQUID Fund - Unclaimed IDCW Less than 3 years;1.4885;25-Aug-2023</v>
      </c>
      <c r="B1598" s="1"/>
    </row>
    <row r="1599">
      <c r="A1599" s="1" t="str">
        <f>IFERROR(__xludf.DUMMYFUNCTION("""COMPUTED_VALUE"""),"139583;INF194KA15C7;-;BANDHAN LIQUID Fund - Unclaimed IDCW More than 3 years;1.0000;25-Aug-2023")</f>
        <v>139583;INF194KA15C7;-;BANDHAN LIQUID Fund - Unclaimed IDCW More than 3 years;1.0000;25-Aug-2023</v>
      </c>
      <c r="B1599" s="1"/>
    </row>
    <row r="1600">
      <c r="A1600" s="1" t="str">
        <f>IFERROR(__xludf.DUMMYFUNCTION("""COMPUTED_VALUE"""),"139584;INF194KA12C4;-;BANDHAN LIQUID Fund - Unclaimed Redemption Less than 3 years;1.4885;25-Aug-2023")</f>
        <v>139584;INF194KA12C4;-;BANDHAN LIQUID Fund - Unclaimed Redemption Less than 3 years;1.4885;25-Aug-2023</v>
      </c>
      <c r="B1600" s="1"/>
    </row>
    <row r="1601">
      <c r="A1601" s="1" t="str">
        <f>IFERROR(__xludf.DUMMYFUNCTION("""COMPUTED_VALUE"""),"139585;INF194KA13C2;-;BANDHAN LIQUID Fund - Unclaimed Redemption More than 3 years;1.0000;25-Aug-2023")</f>
        <v>139585;INF194KA13C2;-;BANDHAN LIQUID Fund - Unclaimed Redemption More than 3 years;1.0000;25-Aug-2023</v>
      </c>
      <c r="B1601" s="1"/>
    </row>
    <row r="1602">
      <c r="A1602" s="1" t="str">
        <f>IFERROR(__xludf.DUMMYFUNCTION("""COMPUTED_VALUE"""),"118365;INF194K01J36;INF194K01J28;BANDHAN LIQUID Fund -Direct Plan -Monthly IDCW;1012.1639;25-Aug-2023")</f>
        <v>118365;INF194K01J36;INF194K01J28;BANDHAN LIQUID Fund -Direct Plan -Monthly IDCW;1012.1639;25-Aug-2023</v>
      </c>
      <c r="B1602" s="1"/>
    </row>
    <row r="1603">
      <c r="A1603" s="1" t="str">
        <f>IFERROR(__xludf.DUMMYFUNCTION("""COMPUTED_VALUE"""),"118367;-;INF194K01J51;BANDHAN LIQUID Fund -Direct Plan -Weekly IDCW;1008.2903;25-Aug-2023")</f>
        <v>118367;-;INF194K01J51;BANDHAN LIQUID Fund -Direct Plan -Weekly IDCW;1008.2903;25-Aug-2023</v>
      </c>
      <c r="B1603" s="1"/>
    </row>
    <row r="1604">
      <c r="A1604" s="1" t="str">
        <f>IFERROR(__xludf.DUMMYFUNCTION("""COMPUTED_VALUE"""),"118366;-;INF194K01I78;BANDHAN LIQUID Fund -Direct Plan-Daily IDCW;1001.6663;25-Aug-2023")</f>
        <v>118366;-;INF194K01I78;BANDHAN LIQUID Fund -Direct Plan-Daily IDCW;1001.6663;25-Aug-2023</v>
      </c>
      <c r="B1604" s="1"/>
    </row>
    <row r="1605">
      <c r="A1605" s="1" t="str">
        <f>IFERROR(__xludf.DUMMYFUNCTION("""COMPUTED_VALUE"""),"118364;INF194K01I60;-;BANDHAN LIQUID Fund -Direct Plan-Growth;2794.6198;25-Aug-2023")</f>
        <v>118364;INF194K01I60;-;BANDHAN LIQUID Fund -Direct Plan-Growth;2794.6198;25-Aug-2023</v>
      </c>
      <c r="B1605" s="1"/>
    </row>
    <row r="1606">
      <c r="A1606" s="1" t="str">
        <f>IFERROR(__xludf.DUMMYFUNCTION("""COMPUTED_VALUE"""),"118363;INF194K01J02;INF194K01I94;BANDHAN LIQUID Fund -Direct Plan-Periodic IDCW;1125.9035;25-Aug-2023")</f>
        <v>118363;INF194K01J02;INF194K01I94;BANDHAN LIQUID Fund -Direct Plan-Periodic IDCW;1125.9035;25-Aug-2023</v>
      </c>
      <c r="B1606" s="1"/>
    </row>
    <row r="1607">
      <c r="A1607" s="1"/>
      <c r="B1607" s="1"/>
    </row>
    <row r="1608">
      <c r="A1608" s="1" t="str">
        <f>IFERROR(__xludf.DUMMYFUNCTION("""COMPUTED_VALUE"""),"Bank of India Mutual Fund")</f>
        <v>Bank of India Mutual Fund</v>
      </c>
      <c r="B1608" s="1"/>
    </row>
    <row r="1609">
      <c r="A1609" s="1"/>
      <c r="B1609" s="1"/>
    </row>
    <row r="1610">
      <c r="A1610" s="1" t="str">
        <f>IFERROR(__xludf.DUMMYFUNCTION("""COMPUTED_VALUE"""),"141887;-;-;BANK OF INDIA Liquid Fund  Unclaimed Dividend greater than  3 years;1000.0000;30-Nov-2021")</f>
        <v>141887;-;-;BANK OF INDIA Liquid Fund  Unclaimed Dividend greater than  3 years;1000.0000;30-Nov-2021</v>
      </c>
      <c r="B1610" s="1"/>
    </row>
    <row r="1611">
      <c r="A1611" s="1" t="str">
        <f>IFERROR(__xludf.DUMMYFUNCTION("""COMPUTED_VALUE"""),"141889;-;-;BANK OF INDIA Liquid Fund  Unclaimed Dividend Upto 3 years;1226.9964;30-Nov-2021")</f>
        <v>141889;-;-;BANK OF INDIA Liquid Fund  Unclaimed Dividend Upto 3 years;1226.9964;30-Nov-2021</v>
      </c>
      <c r="B1611" s="1"/>
    </row>
    <row r="1612">
      <c r="A1612" s="1" t="str">
        <f>IFERROR(__xludf.DUMMYFUNCTION("""COMPUTED_VALUE"""),"141888;-;-;BANK OF INDIA Liquid Fund  Unclaimed Redemption greater than  3 years;1000.0000;30-Nov-2021")</f>
        <v>141888;-;-;BANK OF INDIA Liquid Fund  Unclaimed Redemption greater than  3 years;1000.0000;30-Nov-2021</v>
      </c>
      <c r="B1612" s="1"/>
    </row>
    <row r="1613">
      <c r="A1613" s="1" t="str">
        <f>IFERROR(__xludf.DUMMYFUNCTION("""COMPUTED_VALUE"""),"141890;-;-;BANK OF INDIA Liquid Fund  Unclaimed Redemption Upto 3 years;1226.8682;30-Nov-2021")</f>
        <v>141890;-;-;BANK OF INDIA Liquid Fund  Unclaimed Redemption Upto 3 years;1226.8682;30-Nov-2021</v>
      </c>
      <c r="B1613" s="1"/>
    </row>
    <row r="1614">
      <c r="A1614" s="1" t="str">
        <f>IFERROR(__xludf.DUMMYFUNCTION("""COMPUTED_VALUE"""),"119368;-;INF761K01CL0;BANK OF INDIA Liquid Fund- Direct Plan- Daily IDCW;1002.6483;27-Aug-2023")</f>
        <v>119368;-;INF761K01CL0;BANK OF INDIA Liquid Fund- Direct Plan- Daily IDCW;1002.6483;27-Aug-2023</v>
      </c>
      <c r="B1614" s="1"/>
    </row>
    <row r="1615">
      <c r="A1615" s="1" t="str">
        <f>IFERROR(__xludf.DUMMYFUNCTION("""COMPUTED_VALUE"""),"119369;INF761K01785;-;BANK OF INDIA Liquid Fund- Direct Plan- Growth;2664.4054;27-Aug-2023")</f>
        <v>119369;INF761K01785;-;BANK OF INDIA Liquid Fund- Direct Plan- Growth;2664.4054;27-Aug-2023</v>
      </c>
      <c r="B1615" s="1"/>
    </row>
    <row r="1616">
      <c r="A1616" s="1" t="str">
        <f>IFERROR(__xludf.DUMMYFUNCTION("""COMPUTED_VALUE"""),"119370;-;INF761K01CM8;BANK OF INDIA Liquid Fund- Direct Plan- Weekly IDCW;1062.7567;27-Aug-2023")</f>
        <v>119370;-;INF761K01CM8;BANK OF INDIA Liquid Fund- Direct Plan- Weekly IDCW;1062.7567;27-Aug-2023</v>
      </c>
      <c r="B1616" s="1"/>
    </row>
    <row r="1617">
      <c r="A1617" s="1" t="str">
        <f>IFERROR(__xludf.DUMMYFUNCTION("""COMPUTED_VALUE"""),"111971;-;INF761K01CO4;BANK OF INDIA Liquid Fund- Regular Plan- Daily IDCW;1002.1069;27-Aug-2023")</f>
        <v>111971;-;INF761K01CO4;BANK OF INDIA Liquid Fund- Regular Plan- Daily IDCW;1002.1069;27-Aug-2023</v>
      </c>
      <c r="B1617" s="1"/>
    </row>
    <row r="1618">
      <c r="A1618" s="1" t="str">
        <f>IFERROR(__xludf.DUMMYFUNCTION("""COMPUTED_VALUE"""),"109254;INF761K01306;-;BANK OF INDIA Liquid Fund- Regular Plan- Growth;2639.7943;27-Aug-2023")</f>
        <v>109254;INF761K01306;-;BANK OF INDIA Liquid Fund- Regular Plan- Growth;2639.7943;27-Aug-2023</v>
      </c>
      <c r="B1618" s="1"/>
    </row>
    <row r="1619">
      <c r="A1619" s="1" t="str">
        <f>IFERROR(__xludf.DUMMYFUNCTION("""COMPUTED_VALUE"""),"109255;-;INF761K01CP1;BANK OF INDIA Liquid Fund- Regular Plan- Weekly IDCW;1002.4460;27-Aug-2023")</f>
        <v>109255;-;INF761K01CP1;BANK OF INDIA Liquid Fund- Regular Plan- Weekly IDCW;1002.4460;27-Aug-2023</v>
      </c>
      <c r="B1619" s="1"/>
    </row>
    <row r="1620">
      <c r="A1620" s="1"/>
      <c r="B1620" s="1"/>
    </row>
    <row r="1621">
      <c r="A1621" s="1" t="str">
        <f>IFERROR(__xludf.DUMMYFUNCTION("""COMPUTED_VALUE"""),"Baroda BNP Paribas Mutual Fund")</f>
        <v>Baroda BNP Paribas Mutual Fund</v>
      </c>
      <c r="B1621" s="1"/>
    </row>
    <row r="1622">
      <c r="A1622" s="1"/>
      <c r="B1622" s="1"/>
    </row>
    <row r="1623">
      <c r="A1623" s="1" t="str">
        <f>IFERROR(__xludf.DUMMYFUNCTION("""COMPUTED_VALUE"""),"119414;INF955L01AK2;-;Baroda BNP Paribas LIQUID FUND - DIRECT PLAN - DAILY IDCW OPTION;1002.0849;27-Aug-2023")</f>
        <v>119414;INF955L01AK2;-;Baroda BNP Paribas LIQUID FUND - DIRECT PLAN - DAILY IDCW OPTION;1002.0849;27-Aug-2023</v>
      </c>
      <c r="B1623" s="1"/>
    </row>
    <row r="1624">
      <c r="A1624" s="1" t="str">
        <f>IFERROR(__xludf.DUMMYFUNCTION("""COMPUTED_VALUE"""),"119415;INF955L01AL0;-;Baroda BNP Paribas LIQUID FUND - DIRECT PLAN - GROWTH OPTION;2669.1811;27-Aug-2023")</f>
        <v>119415;INF955L01AL0;-;Baroda BNP Paribas LIQUID FUND - DIRECT PLAN - GROWTH OPTION;2669.1811;27-Aug-2023</v>
      </c>
      <c r="B1624" s="1"/>
    </row>
    <row r="1625">
      <c r="A1625" s="1" t="str">
        <f>IFERROR(__xludf.DUMMYFUNCTION("""COMPUTED_VALUE"""),"119416;INF251K01SL8;-;Baroda BNP Paribas LIQUID FUND - DIRECT PLAN - WEEKLY IDCW OPTION;1219.6337;27-Aug-2023")</f>
        <v>119416;INF251K01SL8;-;Baroda BNP Paribas LIQUID FUND - DIRECT PLAN - WEEKLY IDCW OPTION;1219.6337;27-Aug-2023</v>
      </c>
      <c r="B1625" s="1"/>
    </row>
    <row r="1626">
      <c r="A1626" s="1" t="str">
        <f>IFERROR(__xludf.DUMMYFUNCTION("""COMPUTED_VALUE"""),"139344;INF955L01GR4;-;Baroda BNP Paribas Liquid Fund - Plan C;1422.9738;14-Mar-2022")</f>
        <v>139344;INF955L01GR4;-;Baroda BNP Paribas Liquid Fund - Plan C;1422.9738;14-Mar-2022</v>
      </c>
      <c r="B1626" s="1"/>
    </row>
    <row r="1627">
      <c r="A1627" s="1" t="str">
        <f>IFERROR(__xludf.DUMMYFUNCTION("""COMPUTED_VALUE"""),"116803;INF955L01534;INF955L01542;Baroda BNP Paribas Liquid Fund - Regular - Weekly IDCW Option;0.0000;03-May-2013")</f>
        <v>116803;INF955L01534;INF955L01542;Baroda BNP Paribas Liquid Fund - Regular - Weekly IDCW Option;0.0000;03-May-2013</v>
      </c>
      <c r="B1627" s="1"/>
    </row>
    <row r="1628">
      <c r="A1628" s="1" t="str">
        <f>IFERROR(__xludf.DUMMYFUNCTION("""COMPUTED_VALUE"""),"111707;INF955L01468;INF955L01476;Baroda BNP Paribas LIQUID FUND - Regular Plan - DAILY IDCW OPTION;1001.1996;27-Aug-2023")</f>
        <v>111707;INF955L01468;INF955L01476;Baroda BNP Paribas LIQUID FUND - Regular Plan - DAILY IDCW OPTION;1001.1996;27-Aug-2023</v>
      </c>
      <c r="B1628" s="1"/>
    </row>
    <row r="1629">
      <c r="A1629" s="1" t="str">
        <f>IFERROR(__xludf.DUMMYFUNCTION("""COMPUTED_VALUE"""),"111704;INF955L01484;-;Baroda BNP Paribas LIQUID FUND - Regular Plan - GROWTH OPTION;2642.0701;27-Aug-2023")</f>
        <v>111704;INF955L01484;-;Baroda BNP Paribas LIQUID FUND - Regular Plan - GROWTH OPTION;2642.0701;27-Aug-2023</v>
      </c>
      <c r="B1629" s="1"/>
    </row>
    <row r="1630">
      <c r="A1630" s="1" t="str">
        <f>IFERROR(__xludf.DUMMYFUNCTION("""COMPUTED_VALUE"""),"111705;INF251K01SK0;INF955L01500;Baroda BNP Paribas LIQUID FUND - Regular Plan - WEEKLY IDCW OPTION;1001.0139;27-Aug-2023")</f>
        <v>111705;INF251K01SK0;INF955L01500;Baroda BNP Paribas LIQUID FUND - Regular Plan - WEEKLY IDCW OPTION;1001.0139;27-Aug-2023</v>
      </c>
      <c r="B1630" s="1"/>
    </row>
    <row r="1631">
      <c r="A1631" s="1" t="str">
        <f>IFERROR(__xludf.DUMMYFUNCTION("""COMPUTED_VALUE"""),"142248;-;-;BARODA BNP PARIBAS LIQUID FUND PLAN C IDCW ABOVE 3 YRS;1000;14-Mar-2022")</f>
        <v>142248;-;-;BARODA BNP PARIBAS LIQUID FUND PLAN C IDCW ABOVE 3 YRS;1000;14-Mar-2022</v>
      </c>
      <c r="B1631" s="1"/>
    </row>
    <row r="1632">
      <c r="A1632" s="1" t="str">
        <f>IFERROR(__xludf.DUMMYFUNCTION("""COMPUTED_VALUE"""),"142246;-;-;BARODA BNP PARIBAS LIQUID FUND PLAN C IDCW UPTO 3YRS;1391.4327;14-Mar-2022")</f>
        <v>142246;-;-;BARODA BNP PARIBAS LIQUID FUND PLAN C IDCW UPTO 3YRS;1391.4327;14-Mar-2022</v>
      </c>
      <c r="B1632" s="1"/>
    </row>
    <row r="1633">
      <c r="A1633" s="1" t="str">
        <f>IFERROR(__xludf.DUMMYFUNCTION("""COMPUTED_VALUE"""),"142245;-;-;BARODA BNP PARIBAS LIQUID FUND PLAN C REDEMPTION ABOVE 3 YRS;1000;14-Mar-2022")</f>
        <v>142245;-;-;BARODA BNP PARIBAS LIQUID FUND PLAN C REDEMPTION ABOVE 3 YRS;1000;14-Mar-2022</v>
      </c>
      <c r="B1633" s="1"/>
    </row>
    <row r="1634">
      <c r="A1634" s="1" t="str">
        <f>IFERROR(__xludf.DUMMYFUNCTION("""COMPUTED_VALUE"""),"142247;-;-;BARODA BNP PARIBAS LIQUID FUND PLAN C REDEMPTION UPTO 3YRS;1387.3652;14-Mar-2022")</f>
        <v>142247;-;-;BARODA BNP PARIBAS LIQUID FUND PLAN C REDEMPTION UPTO 3YRS;1387.3652;14-Mar-2022</v>
      </c>
      <c r="B1634" s="1"/>
    </row>
    <row r="1635">
      <c r="A1635" s="1" t="str">
        <f>IFERROR(__xludf.DUMMYFUNCTION("""COMPUTED_VALUE"""),"101408;INF955L01575;-;Baroda BNP Paribas LIQUID FUND- Defunct Plan -Growth Option;3889.6057;27-Aug-2023")</f>
        <v>101408;INF955L01575;-;Baroda BNP Paribas LIQUID FUND- Defunct Plan -Growth Option;3889.6057;27-Aug-2023</v>
      </c>
      <c r="B1635" s="1"/>
    </row>
    <row r="1636">
      <c r="A1636" s="1" t="str">
        <f>IFERROR(__xludf.DUMMYFUNCTION("""COMPUTED_VALUE"""),"101407;INF955L01559;INF955L01567;Baroda BNP Paribas LIQUID FUND-Defunct Plan- IDCW Option;3209.3552;27-Aug-2023")</f>
        <v>101407;INF955L01559;INF955L01567;Baroda BNP Paribas LIQUID FUND-Defunct Plan- IDCW Option;3209.3552;27-Aug-2023</v>
      </c>
      <c r="B1636" s="1"/>
    </row>
    <row r="1637">
      <c r="A1637" s="1" t="str">
        <f>IFERROR(__xludf.DUMMYFUNCTION("""COMPUTED_VALUE"""),"101409;INF955L01518;INF955L01526;Baroda BNP Paribas LIQUID FUND-Defunct Plan-Daily IDCW Option;1006.0602;04-Aug-2022")</f>
        <v>101409;INF955L01518;INF955L01526;Baroda BNP Paribas LIQUID FUND-Defunct Plan-Daily IDCW Option;1006.0602;04-Aug-2022</v>
      </c>
      <c r="B1637" s="1"/>
    </row>
    <row r="1638">
      <c r="A1638" s="1"/>
      <c r="B1638" s="1"/>
    </row>
    <row r="1639">
      <c r="A1639" s="1" t="str">
        <f>IFERROR(__xludf.DUMMYFUNCTION("""COMPUTED_VALUE"""),"Canara Robeco Mutual Fund")</f>
        <v>Canara Robeco Mutual Fund</v>
      </c>
      <c r="B1639" s="1"/>
    </row>
    <row r="1640">
      <c r="A1640" s="1"/>
      <c r="B1640" s="1"/>
    </row>
    <row r="1641">
      <c r="A1641" s="1" t="str">
        <f>IFERROR(__xludf.DUMMYFUNCTION("""COMPUTED_VALUE"""),"118307;-;INF760K01FS0;CANARA ROBECO LIQUID FUND - DIRECT PLAN - DAILY IDCW (Reinvestment);1005.5000;27-Aug-2023")</f>
        <v>118307;-;INF760K01FS0;CANARA ROBECO LIQUID FUND - DIRECT PLAN - DAILY IDCW (Reinvestment);1005.5000;27-Aug-2023</v>
      </c>
      <c r="B1641" s="1"/>
    </row>
    <row r="1642">
      <c r="A1642" s="1" t="str">
        <f>IFERROR(__xludf.DUMMYFUNCTION("""COMPUTED_VALUE"""),"118305;INF760K01FU6;-;CANARA ROBECO LIQUID FUND - DIRECT PLAN - GROWTH OPTION;2773.1983;27-Aug-2023")</f>
        <v>118305;INF760K01FU6;-;CANARA ROBECO LIQUID FUND - DIRECT PLAN - GROWTH OPTION;2773.1983;27-Aug-2023</v>
      </c>
      <c r="B1642" s="1"/>
    </row>
    <row r="1643">
      <c r="A1643" s="1" t="str">
        <f>IFERROR(__xludf.DUMMYFUNCTION("""COMPUTED_VALUE"""),"118304;INF760K01FT8;-;CANARA ROBECO LIQUID FUND - DIRECT PLAN - IDCW (Payout/Reinvestment);1984.8067;27-Aug-2023")</f>
        <v>118304;INF760K01FT8;-;CANARA ROBECO LIQUID FUND - DIRECT PLAN - IDCW (Payout/Reinvestment);1984.8067;27-Aug-2023</v>
      </c>
      <c r="B1643" s="1"/>
    </row>
    <row r="1644">
      <c r="A1644" s="1" t="str">
        <f>IFERROR(__xludf.DUMMYFUNCTION("""COMPUTED_VALUE"""),"118306;INF760K01FV4;INF760K01FW2;CANARA ROBECO LIQUID FUND - DIRECT PLAN - MONTHLY IDCW (Payout/Reinvestment);1006.3366;27-Aug-2023")</f>
        <v>118306;INF760K01FV4;INF760K01FW2;CANARA ROBECO LIQUID FUND - DIRECT PLAN - MONTHLY IDCW (Payout/Reinvestment);1006.3366;27-Aug-2023</v>
      </c>
      <c r="B1644" s="1"/>
    </row>
    <row r="1645">
      <c r="A1645" s="1" t="str">
        <f>IFERROR(__xludf.DUMMYFUNCTION("""COMPUTED_VALUE"""),"118308;INF760K01FY8;INF760K01FX0;CANARA ROBECO LIQUID FUND - DIRECT PLAN - WEEKLY IDCW (Payout/Reinvestment);1000.9356;27-Aug-2023")</f>
        <v>118308;INF760K01FY8;INF760K01FX0;CANARA ROBECO LIQUID FUND - DIRECT PLAN - WEEKLY IDCW (Payout/Reinvestment);1000.9356;27-Aug-2023</v>
      </c>
      <c r="B1645" s="1"/>
    </row>
    <row r="1646">
      <c r="A1646" s="1" t="str">
        <f>IFERROR(__xludf.DUMMYFUNCTION("""COMPUTED_VALUE"""),"109349;-;INF760K01CU3;CANARA ROBECO LIQUID FUND - REGULAR PLAN - DAILY IDCW (Reinvestment);1005.5000;27-Aug-2023")</f>
        <v>109349;-;INF760K01CU3;CANARA ROBECO LIQUID FUND - REGULAR PLAN - DAILY IDCW (Reinvestment);1005.5000;27-Aug-2023</v>
      </c>
      <c r="B1646" s="1"/>
    </row>
    <row r="1647">
      <c r="A1647" s="1" t="str">
        <f>IFERROR(__xludf.DUMMYFUNCTION("""COMPUTED_VALUE"""),"109353;INF760K01CW9;-;CANARA ROBECO LIQUID FUND - REGULAR PLAN - GROWTH OPTION;2761.5457;27-Aug-2023")</f>
        <v>109353;INF760K01CW9;-;CANARA ROBECO LIQUID FUND - REGULAR PLAN - GROWTH OPTION;2761.5457;27-Aug-2023</v>
      </c>
      <c r="B1647" s="1"/>
    </row>
    <row r="1648">
      <c r="A1648" s="1" t="str">
        <f>IFERROR(__xludf.DUMMYFUNCTION("""COMPUTED_VALUE"""),"109351;INF760K01CX7;INF760K01CY5;CANARA ROBECO LIQUID FUND - REGULAR PLAN - MONTHLY IDCW (Payout/Reinvestment);1006.2838;27-Aug-2023")</f>
        <v>109351;INF760K01CX7;INF760K01CY5;CANARA ROBECO LIQUID FUND - REGULAR PLAN - MONTHLY IDCW (Payout/Reinvestment);1006.2838;27-Aug-2023</v>
      </c>
      <c r="B1648" s="1"/>
    </row>
    <row r="1649">
      <c r="A1649" s="1" t="str">
        <f>IFERROR(__xludf.DUMMYFUNCTION("""COMPUTED_VALUE"""),"109350;INF760K01BZ4;INF760K01CZ2;CANARA ROBECO LIQUID FUND - REGULAR PLAN - WEEKLY IDCW (Payout/Reinvestment);1000.9290;27-Aug-2023")</f>
        <v>109350;INF760K01BZ4;INF760K01CZ2;CANARA ROBECO LIQUID FUND - REGULAR PLAN - WEEKLY IDCW (Payout/Reinvestment);1000.9290;27-Aug-2023</v>
      </c>
      <c r="B1649" s="1"/>
    </row>
    <row r="1650">
      <c r="A1650" s="1" t="str">
        <f>IFERROR(__xludf.DUMMYFUNCTION("""COMPUTED_VALUE"""),"139235;INF760K01IC8;-;Canara Robeco Liquid Fund -Unclaimed Redemption and Dividend Plan -Direct Growth Option;1511.2293;27-Aug-2023")</f>
        <v>139235;INF760K01IC8;-;Canara Robeco Liquid Fund -Unclaimed Redemption and Dividend Plan -Direct Growth Option;1511.2293;27-Aug-2023</v>
      </c>
      <c r="B1650" s="1"/>
    </row>
    <row r="1651">
      <c r="A1651" s="1"/>
      <c r="B1651" s="1"/>
    </row>
    <row r="1652">
      <c r="A1652" s="1" t="str">
        <f>IFERROR(__xludf.DUMMYFUNCTION("""COMPUTED_VALUE"""),"DSP Mutual Fund")</f>
        <v>DSP Mutual Fund</v>
      </c>
      <c r="B1652" s="1"/>
    </row>
    <row r="1653">
      <c r="A1653" s="1"/>
      <c r="B1653" s="1"/>
    </row>
    <row r="1654">
      <c r="A1654" s="1" t="str">
        <f>IFERROR(__xludf.DUMMYFUNCTION("""COMPUTED_VALUE"""),"119125;INF740K01QL4;-;DSP Liquidity Fund - Direct Plan - Growth;3306.5257;25-Aug-2023")</f>
        <v>119125;INF740K01QL4;-;DSP Liquidity Fund - Direct Plan - Growth;3306.5257;25-Aug-2023</v>
      </c>
      <c r="B1654" s="1"/>
    </row>
    <row r="1655">
      <c r="A1655" s="1" t="str">
        <f>IFERROR(__xludf.DUMMYFUNCTION("""COMPUTED_VALUE"""),"119124;-;INF740KA1OB6;DSP Liquidity Fund - Direct Plan - IDCW - Daily;1000.9329;25-Aug-2023")</f>
        <v>119124;-;INF740KA1OB6;DSP Liquidity Fund - Direct Plan - IDCW - Daily;1000.9329;25-Aug-2023</v>
      </c>
      <c r="B1655" s="1"/>
    </row>
    <row r="1656">
      <c r="A1656" s="1" t="str">
        <f>IFERROR(__xludf.DUMMYFUNCTION("""COMPUTED_VALUE"""),"119123;INF740KA1OC4;INF740KA1OD2;DSP Liquidity Fund - Direct Plan - IDCW - Weekly;1001.0924;25-Aug-2023")</f>
        <v>119123;INF740KA1OC4;INF740KA1OD2;DSP Liquidity Fund - Direct Plan - IDCW - Weekly;1001.0924;25-Aug-2023</v>
      </c>
      <c r="B1656" s="1"/>
    </row>
    <row r="1657">
      <c r="A1657" s="1" t="str">
        <f>IFERROR(__xludf.DUMMYFUNCTION("""COMPUTED_VALUE"""),"103347;INF740K01FK9;-;DSP Liquidity Fund - Regular Plan - Growth;3275.1954;25-Aug-2023")</f>
        <v>103347;INF740K01FK9;-;DSP Liquidity Fund - Regular Plan - Growth;3275.1954;25-Aug-2023</v>
      </c>
      <c r="B1657" s="1"/>
    </row>
    <row r="1658">
      <c r="A1658" s="1" t="str">
        <f>IFERROR(__xludf.DUMMYFUNCTION("""COMPUTED_VALUE"""),"103348;INF740K01FM5;INF740K01FL7;DSP Liquidity Fund - Regular Plan - IDCW - Weekly;1001.0901;25-Aug-2023")</f>
        <v>103348;INF740K01FM5;INF740K01FL7;DSP Liquidity Fund - Regular Plan - IDCW - Weekly;1001.0901;25-Aug-2023</v>
      </c>
      <c r="B1658" s="1"/>
    </row>
    <row r="1659">
      <c r="A1659" s="1" t="str">
        <f>IFERROR(__xludf.DUMMYFUNCTION("""COMPUTED_VALUE"""),"103349;-;INF740KA1OE0;DSP Liquidity Fund- Regular Plan - IDCW - Daily;1000.9329;25-Aug-2023")</f>
        <v>103349;-;INF740KA1OE0;DSP Liquidity Fund- Regular Plan - IDCW - Daily;1000.9329;25-Aug-2023</v>
      </c>
      <c r="B1659" s="1"/>
    </row>
    <row r="1660">
      <c r="A1660" s="1"/>
      <c r="B1660" s="1"/>
    </row>
    <row r="1661">
      <c r="A1661" s="1" t="str">
        <f>IFERROR(__xludf.DUMMYFUNCTION("""COMPUTED_VALUE"""),"Edelweiss Mutual Fund")</f>
        <v>Edelweiss Mutual Fund</v>
      </c>
      <c r="B1661" s="1"/>
    </row>
    <row r="1662">
      <c r="A1662" s="1"/>
      <c r="B1662" s="1"/>
    </row>
    <row r="1663">
      <c r="A1663" s="1" t="str">
        <f>IFERROR(__xludf.DUMMYFUNCTION("""COMPUTED_VALUE"""),"140194;INF754K01GY9;-;Edelweiss Liquid Fund - Direct Plan - Bonus Option;1737.8298;26-Aug-2023")</f>
        <v>140194;INF754K01GY9;-;Edelweiss Liquid Fund - Direct Plan - Bonus Option;1737.8298;26-Aug-2023</v>
      </c>
      <c r="B1663" s="1"/>
    </row>
    <row r="1664">
      <c r="A1664" s="1" t="str">
        <f>IFERROR(__xludf.DUMMYFUNCTION("""COMPUTED_VALUE"""),"140196;INF754K01GM4;-;Edelweiss Liquid Fund - Direct Plan - Growth Option;2987.0786;26-Aug-2023")</f>
        <v>140196;INF754K01GM4;-;Edelweiss Liquid Fund - Direct Plan - Growth Option;2987.0786;26-Aug-2023</v>
      </c>
      <c r="B1664" s="1"/>
    </row>
    <row r="1665">
      <c r="A1665" s="1" t="str">
        <f>IFERROR(__xludf.DUMMYFUNCTION("""COMPUTED_VALUE"""),"140198;INF754K01GO0;INF754K01GN2;Edelweiss Liquid Fund - Direct Plan - IDCW Option;2987.0828;26-Aug-2023")</f>
        <v>140198;INF754K01GO0;INF754K01GN2;Edelweiss Liquid Fund - Direct Plan - IDCW Option;2987.0828;26-Aug-2023</v>
      </c>
      <c r="B1665" s="1"/>
    </row>
    <row r="1666">
      <c r="A1666" s="1" t="str">
        <f>IFERROR(__xludf.DUMMYFUNCTION("""COMPUTED_VALUE"""),"140192;INF754K01GX1;INF754K01GT9;Edelweiss Liquid Fund - Direct Plan Annual - IDCW Option;2987.0581;26-Aug-2023")</f>
        <v>140192;INF754K01GX1;INF754K01GT9;Edelweiss Liquid Fund - Direct Plan Annual - IDCW Option;2987.0581;26-Aug-2023</v>
      </c>
      <c r="B1666" s="1"/>
    </row>
    <row r="1667">
      <c r="A1667" s="1" t="str">
        <f>IFERROR(__xludf.DUMMYFUNCTION("""COMPUTED_VALUE"""),"140193;-;INF754K01GP7;Edelweiss Liquid Fund - Direct Plan daily - IDCW Option;1031.0535;26-Aug-2023")</f>
        <v>140193;-;INF754K01GP7;Edelweiss Liquid Fund - Direct Plan daily - IDCW Option;1031.0535;26-Aug-2023</v>
      </c>
      <c r="B1667" s="1"/>
    </row>
    <row r="1668">
      <c r="A1668" s="1" t="str">
        <f>IFERROR(__xludf.DUMMYFUNCTION("""COMPUTED_VALUE"""),"140199;INF754K01GV5;INF754K01GR3;Edelweiss Liquid Fund - Direct Plan Fortnightly - IDCW Option;2360.8082;26-Aug-2023")</f>
        <v>140199;INF754K01GV5;INF754K01GR3;Edelweiss Liquid Fund - Direct Plan Fortnightly - IDCW Option;2360.8082;26-Aug-2023</v>
      </c>
      <c r="B1668" s="1"/>
    </row>
    <row r="1669">
      <c r="A1669" s="1" t="str">
        <f>IFERROR(__xludf.DUMMYFUNCTION("""COMPUTED_VALUE"""),"140197;INF754K01GW3;INF754K01GS1;Edelweiss Liquid Fund - Direct Plan Monthly - IDCW Option;1004.4571;26-Aug-2023")</f>
        <v>140197;INF754K01GW3;INF754K01GS1;Edelweiss Liquid Fund - Direct Plan Monthly - IDCW Option;1004.4571;26-Aug-2023</v>
      </c>
      <c r="B1669" s="1"/>
    </row>
    <row r="1670">
      <c r="A1670" s="1" t="str">
        <f>IFERROR(__xludf.DUMMYFUNCTION("""COMPUTED_VALUE"""),"140195;INF754K01GU7;INF754K01GQ5;Edelweiss Liquid Fund - Direct Plan weekly - IDCW Option;2174.495;26-Aug-2023")</f>
        <v>140195;INF754K01GU7;INF754K01GQ5;Edelweiss Liquid Fund - Direct Plan weekly - IDCW Option;2174.495;26-Aug-2023</v>
      </c>
      <c r="B1670" s="1"/>
    </row>
    <row r="1671">
      <c r="A1671" s="1" t="str">
        <f>IFERROR(__xludf.DUMMYFUNCTION("""COMPUTED_VALUE"""),"140189;INF754K01HR1;-;Edelweiss Liquid Fund - Regular Plan - Bonus Option;1710.0744;26-Aug-2023")</f>
        <v>140189;INF754K01HR1;-;Edelweiss Liquid Fund - Regular Plan - Bonus Option;1710.0744;26-Aug-2023</v>
      </c>
      <c r="B1671" s="1"/>
    </row>
    <row r="1672">
      <c r="A1672" s="1" t="str">
        <f>IFERROR(__xludf.DUMMYFUNCTION("""COMPUTED_VALUE"""),"140182;INF754K01GZ6;-;Edelweiss Liquid Fund - Regular Plan - Growth Option;2935.9598;26-Aug-2023")</f>
        <v>140182;INF754K01GZ6;-;Edelweiss Liquid Fund - Regular Plan - Growth Option;2935.9598;26-Aug-2023</v>
      </c>
      <c r="B1672" s="1"/>
    </row>
    <row r="1673">
      <c r="A1673" s="1" t="str">
        <f>IFERROR(__xludf.DUMMYFUNCTION("""COMPUTED_VALUE"""),"140190;INF754K01GK8;INF754K01GL6;Edelweiss Liquid Fund - Regular Plan - IDCW Option;2935.9614;26-Aug-2023")</f>
        <v>140190;INF754K01GK8;INF754K01GL6;Edelweiss Liquid Fund - Regular Plan - IDCW Option;2935.9614;26-Aug-2023</v>
      </c>
      <c r="B1673" s="1"/>
    </row>
    <row r="1674">
      <c r="A1674" s="1" t="str">
        <f>IFERROR(__xludf.DUMMYFUNCTION("""COMPUTED_VALUE"""),"140188;INF754K01HQ3;INF754K01HP5;Edelweiss Liquid Fund - Regular Plan Annual - IDCW Option;2031.4331;26-Aug-2023")</f>
        <v>140188;INF754K01HQ3;INF754K01HP5;Edelweiss Liquid Fund - Regular Plan Annual - IDCW Option;2031.4331;26-Aug-2023</v>
      </c>
      <c r="B1674" s="1"/>
    </row>
    <row r="1675">
      <c r="A1675" s="1" t="str">
        <f>IFERROR(__xludf.DUMMYFUNCTION("""COMPUTED_VALUE"""),"140181;-;INF754K01HA7;Edelweiss Liquid Fund - Regular Plan Daily - IDCW Option;1087.1008;26-Aug-2023")</f>
        <v>140181;-;INF754K01HA7;Edelweiss Liquid Fund - Regular Plan Daily - IDCW Option;1087.1008;26-Aug-2023</v>
      </c>
      <c r="B1675" s="1"/>
    </row>
    <row r="1676">
      <c r="A1676" s="1" t="str">
        <f>IFERROR(__xludf.DUMMYFUNCTION("""COMPUTED_VALUE"""),"140184;INF754K01HK6;INF754K01HC3;Edelweiss Liquid Fund - Regular Plan Fortnightly - IDCW Option;2157.293;26-Aug-2023")</f>
        <v>140184;INF754K01HK6;INF754K01HC3;Edelweiss Liquid Fund - Regular Plan Fortnightly - IDCW Option;2157.293;26-Aug-2023</v>
      </c>
      <c r="B1676" s="1"/>
    </row>
    <row r="1677">
      <c r="A1677" s="1" t="str">
        <f>IFERROR(__xludf.DUMMYFUNCTION("""COMPUTED_VALUE"""),"140183;INF754K01HL4;INF754K01HD1;Edelweiss Liquid Fund - Regular Plan Monthly - IDCW Option;1050.692;26-Aug-2023")</f>
        <v>140183;INF754K01HL4;INF754K01HD1;Edelweiss Liquid Fund - Regular Plan Monthly - IDCW Option;1050.692;26-Aug-2023</v>
      </c>
      <c r="B1677" s="1"/>
    </row>
    <row r="1678">
      <c r="A1678" s="1" t="str">
        <f>IFERROR(__xludf.DUMMYFUNCTION("""COMPUTED_VALUE"""),"140185;INF754K01HJ8;INF754K01HB5;Edelweiss Liquid Fund - Regular Plan Weekly - IDCW Option;1101.8695;26-Aug-2023")</f>
        <v>140185;INF754K01HJ8;INF754K01HB5;Edelweiss Liquid Fund - Regular Plan Weekly - IDCW Option;1101.8695;26-Aug-2023</v>
      </c>
      <c r="B1678" s="1"/>
    </row>
    <row r="1679">
      <c r="A1679" s="1" t="str">
        <f>IFERROR(__xludf.DUMMYFUNCTION("""COMPUTED_VALUE"""),"140176;INF754K01HE9;-;Edelweiss Liquid Fund - Retail Plan - Growth Option;2670.0349;26-Aug-2023")</f>
        <v>140176;INF754K01HE9;-;Edelweiss Liquid Fund - Retail Plan - Growth Option;2670.0349;26-Aug-2023</v>
      </c>
      <c r="B1679" s="1"/>
    </row>
    <row r="1680">
      <c r="A1680" s="1" t="str">
        <f>IFERROR(__xludf.DUMMYFUNCTION("""COMPUTED_VALUE"""),"140178;-;INF754K01HG4;Edelweiss Liquid Fund - Retail Plan - Weekly Dividend Option;1231.8705;26-Aug-2023")</f>
        <v>140178;-;INF754K01HG4;Edelweiss Liquid Fund - Retail Plan - Weekly Dividend Option;1231.8705;26-Aug-2023</v>
      </c>
      <c r="B1680" s="1"/>
    </row>
    <row r="1681">
      <c r="A1681" s="1" t="str">
        <f>IFERROR(__xludf.DUMMYFUNCTION("""COMPUTED_VALUE"""),"140177;-;INF754K01HF6;Edelweiss Liquid Fund - Retail Plan Daily - IDCW Option;1056.2834;26-Aug-2023")</f>
        <v>140177;-;INF754K01HF6;Edelweiss Liquid Fund - Retail Plan Daily - IDCW Option;1056.2834;26-Aug-2023</v>
      </c>
      <c r="B1681" s="1"/>
    </row>
    <row r="1682">
      <c r="A1682" s="1" t="str">
        <f>IFERROR(__xludf.DUMMYFUNCTION("""COMPUTED_VALUE"""),"140180;-;INF754K01HI0;Edelweiss Liquid Fund - Retail Plan Monthly - IDCW Option;1243.7985;26-Aug-2023")</f>
        <v>140180;-;INF754K01HI0;Edelweiss Liquid Fund - Retail Plan Monthly - IDCW Option;1243.7985;26-Aug-2023</v>
      </c>
      <c r="B1682" s="1"/>
    </row>
    <row r="1683">
      <c r="A1683" s="1"/>
      <c r="B1683" s="1"/>
    </row>
    <row r="1684">
      <c r="A1684" s="1" t="str">
        <f>IFERROR(__xludf.DUMMYFUNCTION("""COMPUTED_VALUE"""),"Franklin Templeton Mutual Fund")</f>
        <v>Franklin Templeton Mutual Fund</v>
      </c>
      <c r="B1684" s="1"/>
    </row>
    <row r="1685">
      <c r="A1685" s="1"/>
      <c r="B1685" s="1"/>
    </row>
    <row r="1686">
      <c r="A1686" s="1" t="str">
        <f>IFERROR(__xludf.DUMMYFUNCTION("""COMPUTED_VALUE"""),"100541;-;INF090I01BA3;Franklin India Liquid Fund - Regular Plan - Daily - IDCW;1509.3204;25-Aug-2023")</f>
        <v>100541;-;INF090I01BA3;Franklin India Liquid Fund - Regular Plan - Daily - IDCW;1509.3204;25-Aug-2023</v>
      </c>
      <c r="B1686" s="1"/>
    </row>
    <row r="1687">
      <c r="A1687" s="1" t="str">
        <f>IFERROR(__xludf.DUMMYFUNCTION("""COMPUTED_VALUE"""),"100538;INF090I01BB1;-;Franklin India Liquid Fund - Regular Plan - Growth;5255.2366;25-Aug-2023")</f>
        <v>100538;INF090I01BB1;-;Franklin India Liquid Fund - Regular Plan - Growth;5255.2366;25-Aug-2023</v>
      </c>
      <c r="B1687" s="1"/>
    </row>
    <row r="1688">
      <c r="A1688" s="1" t="str">
        <f>IFERROR(__xludf.DUMMYFUNCTION("""COMPUTED_VALUE"""),"100537;INF090I01BL0;INF090I01BI6;Franklin India Liquid Fund - Regular Plan - Weekly - IDCW;1245.3393;25-Aug-2023")</f>
        <v>100537;INF090I01BL0;INF090I01BI6;Franklin India Liquid Fund - Regular Plan - Weekly - IDCW;1245.3393;25-Aug-2023</v>
      </c>
      <c r="B1688" s="1"/>
    </row>
    <row r="1689">
      <c r="A1689" s="1" t="str">
        <f>IFERROR(__xludf.DUMMYFUNCTION("""COMPUTED_VALUE"""),"118577;INF090I01JV2;-;Franklin India Liquid Fund - Super Instittutional - Direct - Growth;3475.2890;25-Aug-2023")</f>
        <v>118577;INF090I01JV2;-;Franklin India Liquid Fund - Super Instittutional - Direct - Growth;3475.2890;25-Aug-2023</v>
      </c>
      <c r="B1689" s="1"/>
    </row>
    <row r="1690">
      <c r="A1690" s="1" t="str">
        <f>IFERROR(__xludf.DUMMYFUNCTION("""COMPUTED_VALUE"""),"100547;-;INF090I01BF2;Franklin India Liquid Fund - Super Institutional Plan - Daily - IDCW;1000.0000;25-Aug-2023")</f>
        <v>100547;-;INF090I01BF2;Franklin India Liquid Fund - Super Institutional Plan - Daily - IDCW;1000.0000;25-Aug-2023</v>
      </c>
      <c r="B1690" s="1"/>
    </row>
    <row r="1691">
      <c r="A1691" s="1" t="str">
        <f>IFERROR(__xludf.DUMMYFUNCTION("""COMPUTED_VALUE"""),"118578;-;INF090I01JW0;Franklin India Liquid Fund - Super Institutional Plan - Direct - Daily - IDCW;1001.6033;25-Aug-2023")</f>
        <v>118578;-;INF090I01JW0;Franklin India Liquid Fund - Super Institutional Plan - Direct - Daily - IDCW;1001.6033;25-Aug-2023</v>
      </c>
      <c r="B1691" s="1"/>
    </row>
    <row r="1692">
      <c r="A1692" s="1" t="str">
        <f>IFERROR(__xludf.DUMMYFUNCTION("""COMPUTED_VALUE"""),"118579;INF090I01JX8;INF090I01JY6;Franklin India Liquid Fund - Super Institutional Plan - Direct - Weekly - IDCW;1022.3465;25-Aug-2023")</f>
        <v>118579;INF090I01JX8;INF090I01JY6;Franklin India Liquid Fund - Super Institutional Plan - Direct - Weekly - IDCW;1022.3465;25-Aug-2023</v>
      </c>
      <c r="B1692" s="1"/>
    </row>
    <row r="1693">
      <c r="A1693" s="1" t="str">
        <f>IFERROR(__xludf.DUMMYFUNCTION("""COMPUTED_VALUE"""),"100546;INF090I01BG0;-;Franklin India Liquid Fund - Super Institutional Plan - Growth;3451.1784;25-Aug-2023")</f>
        <v>100546;INF090I01BG0;-;Franklin India Liquid Fund - Super Institutional Plan - Growth;3451.1784;25-Aug-2023</v>
      </c>
      <c r="B1693" s="1"/>
    </row>
    <row r="1694">
      <c r="A1694" s="1" t="str">
        <f>IFERROR(__xludf.DUMMYFUNCTION("""COMPUTED_VALUE"""),"100548;INF090I01BM8;INF090I01BH8;Franklin India Liquid Fund - Super Institutional Plan - Weekly - IDCW;1023.1801;25-Aug-2023")</f>
        <v>100548;INF090I01BM8;INF090I01BH8;Franklin India Liquid Fund - Super Institutional Plan - Weekly - IDCW;1023.1801;25-Aug-2023</v>
      </c>
      <c r="B1694" s="1"/>
    </row>
    <row r="1695">
      <c r="A1695" s="1" t="str">
        <f>IFERROR(__xludf.DUMMYFUNCTION("""COMPUTED_VALUE"""),"139892;INF090I01LR6;-;Franklin India Liquid Fund - Unclaimed IDCW Investor Education Plan - Growth;10.0000;25-Aug-2023")</f>
        <v>139892;INF090I01LR6;-;Franklin India Liquid Fund - Unclaimed IDCW Investor Education Plan - Growth;10.0000;25-Aug-2023</v>
      </c>
      <c r="B1695" s="1"/>
    </row>
    <row r="1696">
      <c r="A1696" s="1" t="str">
        <f>IFERROR(__xludf.DUMMYFUNCTION("""COMPUTED_VALUE"""),"139890;INF090I01LP0;-;Franklin India Liquid Fund - Unclaimed IDCW Plan - Growth;14.6689;25-Aug-2023")</f>
        <v>139890;INF090I01LP0;-;Franklin India Liquid Fund - Unclaimed IDCW Plan - Growth;14.6689;25-Aug-2023</v>
      </c>
      <c r="B1696" s="1"/>
    </row>
    <row r="1697">
      <c r="A1697" s="1" t="str">
        <f>IFERROR(__xludf.DUMMYFUNCTION("""COMPUTED_VALUE"""),"139891;INF090I01LQ8;-;Franklin India Liquid Fund - Unclaimed Redemption Investor Education Plan - Growth;10.0000;25-Aug-2023")</f>
        <v>139891;INF090I01LQ8;-;Franklin India Liquid Fund - Unclaimed Redemption Investor Education Plan - Growth;10.0000;25-Aug-2023</v>
      </c>
      <c r="B1697" s="1"/>
    </row>
    <row r="1698">
      <c r="A1698" s="1" t="str">
        <f>IFERROR(__xludf.DUMMYFUNCTION("""COMPUTED_VALUE"""),"139889;INF090I01LO3;-;Franklin India Liquid Fund - Unclaimed Redemption Plan - Growth;14.6689;25-Aug-2023")</f>
        <v>139889;INF090I01LO3;-;Franklin India Liquid Fund - Unclaimed Redemption Plan - Growth;14.6689;25-Aug-2023</v>
      </c>
      <c r="B1698" s="1"/>
    </row>
    <row r="1699">
      <c r="A1699" s="1" t="str">
        <f>IFERROR(__xludf.DUMMYFUNCTION("""COMPUTED_VALUE"""),"102441;INF090I01BD7;-;Franklin India Liquid Fund - Institution-Growth;0.0000;08-Jul-2020")</f>
        <v>102441;INF090I01BD7;-;Franklin India Liquid Fund - Institution-Growth;0.0000;08-Jul-2020</v>
      </c>
      <c r="B1699" s="1"/>
    </row>
    <row r="1700">
      <c r="A1700" s="1" t="str">
        <f>IFERROR(__xludf.DUMMYFUNCTION("""COMPUTED_VALUE"""),"102443;-;INF090I01BC9;Franklin India Liquid Fund - Institutional Plan - Daily - IDCW;1000.0000;25-Aug-2023")</f>
        <v>102443;-;INF090I01BC9;Franklin India Liquid Fund - Institutional Plan - Daily - IDCW;1000.0000;25-Aug-2023</v>
      </c>
      <c r="B1700" s="1"/>
    </row>
    <row r="1701">
      <c r="A1701" s="1" t="str">
        <f>IFERROR(__xludf.DUMMYFUNCTION("""COMPUTED_VALUE"""),"102442;INF090I01BJ4;INF090I01BE5;Franklin India Liquid Fund - Institutional Plan - Weekly - IDCW;1055.6418;25-Aug-2023")</f>
        <v>102442;INF090I01BJ4;INF090I01BE5;Franklin India Liquid Fund - Institutional Plan - Weekly - IDCW;1055.6418;25-Aug-2023</v>
      </c>
      <c r="B1701" s="1"/>
    </row>
    <row r="1702">
      <c r="A1702" s="1"/>
      <c r="B1702" s="1"/>
    </row>
    <row r="1703">
      <c r="A1703" s="1" t="str">
        <f>IFERROR(__xludf.DUMMYFUNCTION("""COMPUTED_VALUE"""),"Groww Mutual Fund")</f>
        <v>Groww Mutual Fund</v>
      </c>
      <c r="B1703" s="1"/>
    </row>
    <row r="1704">
      <c r="A1704" s="1"/>
      <c r="B1704" s="1"/>
    </row>
    <row r="1705">
      <c r="A1705" s="1" t="str">
        <f>IFERROR(__xludf.DUMMYFUNCTION("""COMPUTED_VALUE"""),"119135;INF666M01451;-;Groww Liquid Fund ( formerly known as Indiabulls Liquid )Fund - Direct Plan - Growth Option;2241.9342;27-Aug-2023")</f>
        <v>119135;INF666M01451;-;Groww Liquid Fund ( formerly known as Indiabulls Liquid )Fund - Direct Plan - Growth Option;2241.9342;27-Aug-2023</v>
      </c>
      <c r="B1705" s="1"/>
    </row>
    <row r="1706">
      <c r="A1706" s="1" t="str">
        <f>IFERROR(__xludf.DUMMYFUNCTION("""COMPUTED_VALUE"""),"119136;-;INF666M01469;Groww Liquid Fund (formerly known as Indiabulls Liquid Fund) - Direct Plan- - Income Distribution cum capital withdrawal Option ( Reinvestment);1001.06;27-Aug-2023")</f>
        <v>119136;-;INF666M01469;Groww Liquid Fund (formerly known as Indiabulls Liquid Fund) - Direct Plan- - Income Distribution cum capital withdrawal Option ( Reinvestment);1001.06;27-Aug-2023</v>
      </c>
      <c r="B1706" s="1"/>
    </row>
    <row r="1707">
      <c r="A1707" s="1" t="str">
        <f>IFERROR(__xludf.DUMMYFUNCTION("""COMPUTED_VALUE"""),"115991;INF666M01014;-;Groww Liquid Fund (formerly known as Indiabulls Liquid Fund) - Regular Plan - Growth Option;2218.9951;27-Aug-2023")</f>
        <v>115991;INF666M01014;-;Groww Liquid Fund (formerly known as Indiabulls Liquid Fund) - Regular Plan - Growth Option;2218.9951;27-Aug-2023</v>
      </c>
      <c r="B1707" s="1"/>
    </row>
    <row r="1708">
      <c r="A1708" s="1" t="str">
        <f>IFERROR(__xludf.DUMMYFUNCTION("""COMPUTED_VALUE"""),"119138;INF666M01501;INF666M01485;Groww Liquid Fund (formerly known as Indiabulls Liquid Fund)- Direct Plan- Fortnightly - Income Distribution cum capital withdrawal Option (Payout &amp; Reinvestment);1000.9413;27-Aug-2023")</f>
        <v>119138;INF666M01501;INF666M01485;Groww Liquid Fund (formerly known as Indiabulls Liquid Fund)- Direct Plan- Fortnightly - Income Distribution cum capital withdrawal Option (Payout &amp; Reinvestment);1000.9413;27-Aug-2023</v>
      </c>
      <c r="B1708" s="1"/>
    </row>
    <row r="1709">
      <c r="A1709" s="1" t="str">
        <f>IFERROR(__xludf.DUMMYFUNCTION("""COMPUTED_VALUE"""),"119139;INF666M01519;INF666M01493;Groww Liquid Fund (formerly known as Indiabulls Liquid Fund)- Direct Plan- Monthly - Income Distribution cum capital withdrawal Option (Payout &amp; Reinvestment);1034.22;27-Aug-2023")</f>
        <v>119139;INF666M01519;INF666M01493;Groww Liquid Fund (formerly known as Indiabulls Liquid Fund)- Direct Plan- Monthly - Income Distribution cum capital withdrawal Option (Payout &amp; Reinvestment);1034.22;27-Aug-2023</v>
      </c>
      <c r="B1709" s="1"/>
    </row>
    <row r="1710">
      <c r="A1710" s="1" t="str">
        <f>IFERROR(__xludf.DUMMYFUNCTION("""COMPUTED_VALUE"""),"119137;INF666M01527;INF666M01477;Groww Liquid Fund (formerly known as Indiabulls Liquid Fund)- Direct Plan- Weekly - Income Distribution cum capital withdrawal Option (Payout &amp; Reinvestment);1001.6705;27-Aug-2023")</f>
        <v>119137;INF666M01527;INF666M01477;Groww Liquid Fund (formerly known as Indiabulls Liquid Fund)- Direct Plan- Weekly - Income Distribution cum capital withdrawal Option (Payout &amp; Reinvestment);1001.6705;27-Aug-2023</v>
      </c>
      <c r="B1710" s="1"/>
    </row>
    <row r="1711">
      <c r="A1711" s="1" t="str">
        <f>IFERROR(__xludf.DUMMYFUNCTION("""COMPUTED_VALUE"""),"115992;-;INF666M01022;Groww Liquid Fund (formerly known as Indiabulls Liquid Fund)- Regular Plan- - Income Distribution cum capital withdrawal Option (Reinvestment);1001.1451;27-Aug-2023")</f>
        <v>115992;-;INF666M01022;Groww Liquid Fund (formerly known as Indiabulls Liquid Fund)- Regular Plan- - Income Distribution cum capital withdrawal Option (Reinvestment);1001.1451;27-Aug-2023</v>
      </c>
      <c r="B1711" s="1"/>
    </row>
    <row r="1712">
      <c r="A1712" s="1" t="str">
        <f>IFERROR(__xludf.DUMMYFUNCTION("""COMPUTED_VALUE"""),"115995;INF666M01071;INF666M01055;Groww Liquid Fund (formerly known as Indiabulls Liquid Fund)- Regular Plan- Monthly - Income Distribution cum capital withdrawal Option (Payout &amp; Reinvestment);1005.526;27-Aug-2023")</f>
        <v>115995;INF666M01071;INF666M01055;Groww Liquid Fund (formerly known as Indiabulls Liquid Fund)- Regular Plan- Monthly - Income Distribution cum capital withdrawal Option (Payout &amp; Reinvestment);1005.526;27-Aug-2023</v>
      </c>
      <c r="B1712" s="1"/>
    </row>
    <row r="1713">
      <c r="A1713" s="1" t="str">
        <f>IFERROR(__xludf.DUMMYFUNCTION("""COMPUTED_VALUE"""),"115993;INF666M01089;INF666M01030;Groww Liquid Fund (formerly known as Indiabulls Liquid Fund)- Regular Plan- Weekly - Income Distribution cum capital withdrawal Option (Payout &amp; Reinvestment);1002.7272;27-Aug-2023")</f>
        <v>115993;INF666M01089;INF666M01030;Groww Liquid Fund (formerly known as Indiabulls Liquid Fund)- Regular Plan- Weekly - Income Distribution cum capital withdrawal Option (Payout &amp; Reinvestment);1002.7272;27-Aug-2023</v>
      </c>
      <c r="B1713" s="1"/>
    </row>
    <row r="1714">
      <c r="A1714" s="1" t="str">
        <f>IFERROR(__xludf.DUMMYFUNCTION("""COMPUTED_VALUE"""),"115994;INF666M01063;INF666M01048;Groww Liquid Fund (formerly known as Indiabulls Liquid) Fund- Regular Plan- Fortnightly - Income Distribution cum capital withdrawal Option (Payout &amp; Reinvestment);1000.8488;27-Aug-2023")</f>
        <v>115994;INF666M01063;INF666M01048;Groww Liquid Fund (formerly known as Indiabulls Liquid) Fund- Regular Plan- Fortnightly - Income Distribution cum capital withdrawal Option (Payout &amp; Reinvestment);1000.8488;27-Aug-2023</v>
      </c>
      <c r="B1714" s="1"/>
    </row>
    <row r="1715">
      <c r="A1715" s="1"/>
      <c r="B1715" s="1"/>
    </row>
    <row r="1716">
      <c r="A1716" s="1" t="str">
        <f>IFERROR(__xludf.DUMMYFUNCTION("""COMPUTED_VALUE"""),"HDFC Mutual Fund")</f>
        <v>HDFC Mutual Fund</v>
      </c>
      <c r="B1716" s="1"/>
    </row>
    <row r="1717">
      <c r="A1717" s="1"/>
      <c r="B1717" s="1"/>
    </row>
    <row r="1718">
      <c r="A1718" s="1" t="str">
        <f>IFERROR(__xludf.DUMMYFUNCTION("""COMPUTED_VALUE"""),"119091;INF179KB1HP9;-;HDFC Liquid Fund - Growth Option - Direct Plan;4547.3592;27-Aug-2023")</f>
        <v>119091;INF179KB1HP9;-;HDFC Liquid Fund - Growth Option - Direct Plan;4547.3592;27-Aug-2023</v>
      </c>
      <c r="B1718" s="1"/>
    </row>
    <row r="1719">
      <c r="A1719" s="1" t="str">
        <f>IFERROR(__xludf.DUMMYFUNCTION("""COMPUTED_VALUE"""),"100868;INF179KB1HK0;-;HDFC Liquid Fund - Growth Plan;4505.2055;27-Aug-2023")</f>
        <v>100868;INF179KB1HK0;-;HDFC Liquid Fund - Growth Plan;4505.2055;27-Aug-2023</v>
      </c>
      <c r="B1719" s="1"/>
    </row>
    <row r="1720">
      <c r="A1720" s="1" t="str">
        <f>IFERROR(__xludf.DUMMYFUNCTION("""COMPUTED_VALUE"""),"100875;-;INF179KB1IC5;HDFC Liquid Fund - IDCW Daily;1019.82;27-Aug-2023")</f>
        <v>100875;-;INF179KB1IC5;HDFC Liquid Fund - IDCW Daily;1019.82;27-Aug-2023</v>
      </c>
      <c r="B1720" s="1"/>
    </row>
    <row r="1721">
      <c r="A1721" s="1" t="str">
        <f>IFERROR(__xludf.DUMMYFUNCTION("""COMPUTED_VALUE"""),"119089;-;INF179KB1HV7;HDFC Liquid Fund - IDCW Daily - Direct Plan;1019.82;27-Aug-2023")</f>
        <v>119089;-;INF179KB1HV7;HDFC Liquid Fund - IDCW Daily - Direct Plan;1019.82;27-Aug-2023</v>
      </c>
      <c r="B1721" s="1"/>
    </row>
    <row r="1722">
      <c r="A1722" s="1" t="str">
        <f>IFERROR(__xludf.DUMMYFUNCTION("""COMPUTED_VALUE"""),"100876;INF179KB1HM6;INF179KB1HL8;HDFC Liquid Fund - IDCW Monthly;1031.2411;27-Aug-2023")</f>
        <v>100876;INF179KB1HM6;INF179KB1HL8;HDFC Liquid Fund - IDCW Monthly;1031.2411;27-Aug-2023</v>
      </c>
      <c r="B1722" s="1"/>
    </row>
    <row r="1723">
      <c r="A1723" s="1" t="str">
        <f>IFERROR(__xludf.DUMMYFUNCTION("""COMPUTED_VALUE"""),"119090;INF179KB1HO2;INF179KB1HQ7;HDFC Liquid Fund - IDCW Monthly - Direct Plan;1031.3169;27-Aug-2023")</f>
        <v>119090;INF179KB1HO2;INF179KB1HQ7;HDFC Liquid Fund - IDCW Monthly - Direct Plan;1031.3169;27-Aug-2023</v>
      </c>
      <c r="B1723" s="1"/>
    </row>
    <row r="1724">
      <c r="A1724" s="1" t="str">
        <f>IFERROR(__xludf.DUMMYFUNCTION("""COMPUTED_VALUE"""),"100874;INF179KB1ID3;-;HDFC Liquid Fund - IDCW Plan Weekly;1032.1699;27-Aug-2023")</f>
        <v>100874;INF179KB1ID3;-;HDFC Liquid Fund - IDCW Plan Weekly;1032.1699;27-Aug-2023</v>
      </c>
      <c r="B1724" s="1"/>
    </row>
    <row r="1725">
      <c r="A1725" s="1" t="str">
        <f>IFERROR(__xludf.DUMMYFUNCTION("""COMPUTED_VALUE"""),"119088;-;-;HDFC Liquid Fund - IDCW Weekly - Direct Plan;1032.1869;27-Aug-2023")</f>
        <v>119088;-;-;HDFC Liquid Fund - IDCW Weekly - Direct Plan;1032.1869;27-Aug-2023</v>
      </c>
      <c r="B1725" s="1"/>
    </row>
    <row r="1726">
      <c r="A1726" s="1" t="str">
        <f>IFERROR(__xludf.DUMMYFUNCTION("""COMPUTED_VALUE"""),"100878;INF179K01KP9;-;HDFC Liquid Fund-Premium Plan - Dividend-Weekly;10;14-Apr-2015")</f>
        <v>100878;INF179K01KP9;-;HDFC Liquid Fund-Premium Plan - Dividend-Weekly;10;14-Apr-2015</v>
      </c>
      <c r="B1726" s="1"/>
    </row>
    <row r="1727">
      <c r="A1727" s="1" t="str">
        <f>IFERROR(__xludf.DUMMYFUNCTION("""COMPUTED_VALUE"""),"100881;INF179K01KS3;-;HDFC Liquid Fund-Premium Plus Plan - Dividend-Weekly;10;14-May-2012")</f>
        <v>100881;INF179K01KS3;-;HDFC Liquid Fund-Premium Plus Plan - Dividend-Weekly;10;14-May-2012</v>
      </c>
      <c r="B1727" s="1"/>
    </row>
    <row r="1728">
      <c r="A1728" s="1" t="str">
        <f>IFERROR(__xludf.DUMMYFUNCTION("""COMPUTED_VALUE"""),"100872;INF179K01KQ7;-;HDFC Liquid Fund-PREMIUM PLUS- Growth;10.0000;17-Dec-2012")</f>
        <v>100872;INF179K01KQ7;-;HDFC Liquid Fund-PREMIUM PLUS- Growth;10.0000;17-Dec-2012</v>
      </c>
      <c r="B1728" s="1"/>
    </row>
    <row r="1729">
      <c r="A1729" s="1"/>
      <c r="B1729" s="1"/>
    </row>
    <row r="1730">
      <c r="A1730" s="1" t="str">
        <f>IFERROR(__xludf.DUMMYFUNCTION("""COMPUTED_VALUE"""),"HSBC Mutual Fund")</f>
        <v>HSBC Mutual Fund</v>
      </c>
      <c r="B1730" s="1"/>
    </row>
    <row r="1731">
      <c r="A1731" s="1"/>
      <c r="B1731" s="1"/>
    </row>
    <row r="1732">
      <c r="A1732" s="1" t="str">
        <f>IFERROR(__xludf.DUMMYFUNCTION("""COMPUTED_VALUE"""),"120038;INF336L01CC8;-;HSBC Liquid Fund -  Growth Direct;2304.7012;25-Aug-2023")</f>
        <v>120038;INF336L01CC8;-;HSBC Liquid Fund -  Growth Direct;2304.7012;25-Aug-2023</v>
      </c>
      <c r="B1732" s="1"/>
    </row>
    <row r="1733">
      <c r="A1733" s="1" t="str">
        <f>IFERROR(__xludf.DUMMYFUNCTION("""COMPUTED_VALUE"""),"120037;-;INF336L01CB0;HSBC Liquid Fund - Direct Daily IDCW;1001.0033;25-Aug-2023")</f>
        <v>120037;-;INF336L01CB0;HSBC Liquid Fund - Direct Daily IDCW;1001.0033;25-Aug-2023</v>
      </c>
      <c r="B1733" s="1"/>
    </row>
    <row r="1734">
      <c r="A1734" s="1" t="str">
        <f>IFERROR(__xludf.DUMMYFUNCTION("""COMPUTED_VALUE"""),"120039;INF336L01BZ1;INF336L01CA2;HSBC Liquid Fund - Direct Monthly IDCW;1037.8864;25-Aug-2023")</f>
        <v>120039;INF336L01BZ1;INF336L01CA2;HSBC Liquid Fund - Direct Monthly IDCW;1037.8864;25-Aug-2023</v>
      </c>
      <c r="B1734" s="1"/>
    </row>
    <row r="1735">
      <c r="A1735" s="1" t="str">
        <f>IFERROR(__xludf.DUMMYFUNCTION("""COMPUTED_VALUE"""),"120040;INF336L01LK2;INF336L01CD6;HSBC Liquid Fund - Direct Weekly IDCW;1195.8305;25-Aug-2023")</f>
        <v>120040;INF336L01LK2;INF336L01CD6;HSBC Liquid Fund - Direct Weekly IDCW;1195.8305;25-Aug-2023</v>
      </c>
      <c r="B1735" s="1"/>
    </row>
    <row r="1736">
      <c r="A1736" s="1" t="str">
        <f>IFERROR(__xludf.DUMMYFUNCTION("""COMPUTED_VALUE"""),"118907;INF336L01BL1;-;HSBC Liquid Fund - Growth;3300.5545;25-Aug-2023")</f>
        <v>118907;INF336L01BL1;-;HSBC Liquid Fund - Growth;3300.5545;25-Aug-2023</v>
      </c>
      <c r="B1736" s="1"/>
    </row>
    <row r="1737">
      <c r="A1737" s="1" t="str">
        <f>IFERROR(__xludf.DUMMYFUNCTION("""COMPUTED_VALUE"""),"118906;-;INF336L01BK3;HSBC Liquid Fund - IDCW;1019.3;25-Aug-2023")</f>
        <v>118906;-;INF336L01BK3;HSBC Liquid Fund - IDCW;1019.3;25-Aug-2023</v>
      </c>
      <c r="B1737" s="1"/>
    </row>
    <row r="1738">
      <c r="A1738" s="1" t="str">
        <f>IFERROR(__xludf.DUMMYFUNCTION("""COMPUTED_VALUE"""),"118909;-;INF336L01BS6;HSBC Liquid Fund - Institutional Daily IDCW;1562.8262;25-Aug-2023")</f>
        <v>118909;-;INF336L01BS6;HSBC Liquid Fund - Institutional Daily IDCW;1562.8262;25-Aug-2023</v>
      </c>
      <c r="B1738" s="1"/>
    </row>
    <row r="1739">
      <c r="A1739" s="1" t="str">
        <f>IFERROR(__xludf.DUMMYFUNCTION("""COMPUTED_VALUE"""),"118901;-;INF336L01BM9;HSBC Liquid Fund - Regular Daily IDCW;1001.3789;25-Aug-2023")</f>
        <v>118901;-;INF336L01BM9;HSBC Liquid Fund - Regular Daily IDCW;1001.3789;25-Aug-2023</v>
      </c>
      <c r="B1739" s="1"/>
    </row>
    <row r="1740">
      <c r="A1740" s="1" t="str">
        <f>IFERROR(__xludf.DUMMYFUNCTION("""COMPUTED_VALUE"""),"118902;INF336L01BN7;-;HSBC Liquid Fund - Regular Growth;2287.5974;25-Aug-2023")</f>
        <v>118902;INF336L01BN7;-;HSBC Liquid Fund - Regular Growth;2287.5974;25-Aug-2023</v>
      </c>
      <c r="B1740" s="1"/>
    </row>
    <row r="1741">
      <c r="A1741" s="1" t="str">
        <f>IFERROR(__xludf.DUMMYFUNCTION("""COMPUTED_VALUE"""),"118903;INF336L01BP2;INF336L01BO5;HSBC Liquid Fund - Regular Monthly IDCW;1002.3019;25-Aug-2023")</f>
        <v>118903;INF336L01BP2;INF336L01BO5;HSBC Liquid Fund - Regular Monthly IDCW;1002.3019;25-Aug-2023</v>
      </c>
      <c r="B1741" s="1"/>
    </row>
    <row r="1742">
      <c r="A1742" s="1" t="str">
        <f>IFERROR(__xludf.DUMMYFUNCTION("""COMPUTED_VALUE"""),"118904;INF336L01LJ4;INF336L01BQ0;HSBC Liquid Fund - Regular Weekly IDCW;1108.0823;25-Aug-2023")</f>
        <v>118904;INF336L01LJ4;INF336L01BQ0;HSBC Liquid Fund - Regular Weekly IDCW;1108.0823;25-Aug-2023</v>
      </c>
      <c r="B1742" s="1"/>
    </row>
    <row r="1743">
      <c r="A1743" s="1" t="str">
        <f>IFERROR(__xludf.DUMMYFUNCTION("""COMPUTED_VALUE"""),"118908;-;INF336L01BR8;HSBC Liquid Fund - Weekly IDCW;1001.3364;25-Aug-2023")</f>
        <v>118908;-;INF336L01BR8;HSBC Liquid Fund - Weekly IDCW;1001.3364;25-Aug-2023</v>
      </c>
      <c r="B1743" s="1"/>
    </row>
    <row r="1744">
      <c r="A1744" s="1"/>
      <c r="B1744" s="1"/>
    </row>
    <row r="1745">
      <c r="A1745" s="1" t="str">
        <f>IFERROR(__xludf.DUMMYFUNCTION("""COMPUTED_VALUE"""),"ICICI Prudential Mutual Fund")</f>
        <v>ICICI Prudential Mutual Fund</v>
      </c>
      <c r="B1745" s="1"/>
    </row>
    <row r="1746">
      <c r="A1746" s="1"/>
      <c r="B1746" s="1"/>
    </row>
    <row r="1747">
      <c r="A1747" s="1" t="str">
        <f>IFERROR(__xludf.DUMMYFUNCTION("""COMPUTED_VALUE"""),"100357;INF109K01UU5;INF109K01UT7;ICICI Prudential Liquid Fund -Quarterly IDCW;101.4288;16-Sep-2022")</f>
        <v>100357;INF109K01UU5;INF109K01UT7;ICICI Prudential Liquid Fund -Quarterly IDCW;101.4288;16-Sep-2022</v>
      </c>
      <c r="B1747" s="1"/>
    </row>
    <row r="1748">
      <c r="A1748" s="1" t="str">
        <f>IFERROR(__xludf.DUMMYFUNCTION("""COMPUTED_VALUE"""),"100359;INF109K01VJ6;-;ICICI Prudential Liquid Institutional Plus Fund - Div - Daily;118.5152;24-Apr-2020")</f>
        <v>100359;INF109K01VJ6;-;ICICI Prudential Liquid Institutional Plus Fund - Div - Daily;118.5152;24-Apr-2020</v>
      </c>
      <c r="B1748" s="1"/>
    </row>
    <row r="1749">
      <c r="A1749" s="1" t="str">
        <f>IFERROR(__xludf.DUMMYFUNCTION("""COMPUTED_VALUE"""),"130933;INF109KA1G94;-;ICICI Prudential Liquid Fund - Bonus;121.0704;08-Mar-2017")</f>
        <v>130933;INF109KA1G94;-;ICICI Prudential Liquid Fund - Bonus;121.0704;08-Mar-2017</v>
      </c>
      <c r="B1749" s="1"/>
    </row>
    <row r="1750">
      <c r="A1750" s="1" t="str">
        <f>IFERROR(__xludf.DUMMYFUNCTION("""COMPUTED_VALUE"""),"103343;INF109K01VP3;-;ICICI Prudential Liquid Fund - Daily IDCW;100.1482;25-Aug-2023")</f>
        <v>103343;INF109K01VP3;-;ICICI Prudential Liquid Fund - Daily IDCW;100.1482;25-Aug-2023</v>
      </c>
      <c r="B1750" s="1"/>
    </row>
    <row r="1751">
      <c r="A1751" s="1" t="str">
        <f>IFERROR(__xludf.DUMMYFUNCTION("""COMPUTED_VALUE"""),"120198;INF109K01P99;INF109K01Q07;ICICI Prudential Liquid Fund - Direct Plan -  Annual IDCW;103.9850;16-Sep-2022")</f>
        <v>120198;INF109K01P99;INF109K01Q07;ICICI Prudential Liquid Fund - Direct Plan -  Annual IDCW;103.9850;16-Sep-2022</v>
      </c>
      <c r="B1751" s="1"/>
    </row>
    <row r="1752">
      <c r="A1752" s="1" t="str">
        <f>IFERROR(__xludf.DUMMYFUNCTION("""COMPUTED_VALUE"""),"120187;INF109K01Q56;INF109K01Q64;ICICI Prudential Liquid Fund - Direct Plan -  Half Yearly IDCW;106.7325;16-Sep-2022")</f>
        <v>120187;INF109K01Q56;INF109K01Q64;ICICI Prudential Liquid Fund - Direct Plan -  Half Yearly IDCW;106.7325;16-Sep-2022</v>
      </c>
      <c r="B1752" s="1"/>
    </row>
    <row r="1753">
      <c r="A1753" s="1" t="str">
        <f>IFERROR(__xludf.DUMMYFUNCTION("""COMPUTED_VALUE"""),"120191;INF109K01Q31;INF109K01Q23;ICICI Prudential Liquid Fund - Direct Plan -  IDCW Others;158.8182;25-Aug-2023")</f>
        <v>120191;INF109K01Q31;INF109K01Q23;ICICI Prudential Liquid Fund - Direct Plan -  IDCW Others;158.8182;25-Aug-2023</v>
      </c>
      <c r="B1753" s="1"/>
    </row>
    <row r="1754">
      <c r="A1754" s="1" t="str">
        <f>IFERROR(__xludf.DUMMYFUNCTION("""COMPUTED_VALUE"""),"120188;-;INF109K01Q15;ICICI Prudential Liquid Fund - Direct Plan - Daily IDCW;100.1082;25-Aug-2023")</f>
        <v>120188;-;INF109K01Q15;ICICI Prudential Liquid Fund - Direct Plan - Daily IDCW;100.1082;25-Aug-2023</v>
      </c>
      <c r="B1754" s="1"/>
    </row>
    <row r="1755">
      <c r="A1755" s="1" t="str">
        <f>IFERROR(__xludf.DUMMYFUNCTION("""COMPUTED_VALUE"""),"120197;INF109K01Q49;-;ICICI Prudential Liquid Fund - Direct Plan - Growth;342.4292;25-Aug-2023")</f>
        <v>120197;INF109K01Q49;-;ICICI Prudential Liquid Fund - Direct Plan - Growth;342.4292;25-Aug-2023</v>
      </c>
      <c r="B1755" s="1"/>
    </row>
    <row r="1756">
      <c r="A1756" s="1" t="str">
        <f>IFERROR(__xludf.DUMMYFUNCTION("""COMPUTED_VALUE"""),"120189;INF109K01R06;-;ICICI Prudential Liquid Fund - Direct Plan - Monthly IDCW;100.4287;16-Sep-2022")</f>
        <v>120189;INF109K01R06;-;ICICI Prudential Liquid Fund - Direct Plan - Monthly IDCW;100.4287;16-Sep-2022</v>
      </c>
      <c r="B1756" s="1"/>
    </row>
    <row r="1757">
      <c r="A1757" s="1" t="str">
        <f>IFERROR(__xludf.DUMMYFUNCTION("""COMPUTED_VALUE"""),"120196;INF109K01Q72;INF109K01Q80;ICICI Prudential Liquid Fund - Direct Plan - Quarterly IDCW;102.2043;16-Sep-2022")</f>
        <v>120196;INF109K01Q72;INF109K01Q80;ICICI Prudential Liquid Fund - Direct Plan - Quarterly IDCW;102.2043;16-Sep-2022</v>
      </c>
      <c r="B1757" s="1"/>
    </row>
    <row r="1758">
      <c r="A1758" s="1" t="str">
        <f>IFERROR(__xludf.DUMMYFUNCTION("""COMPUTED_VALUE"""),"120190;INF109K01Q98;-;ICICI Prudential Liquid Fund - Direct Plan - Weekly IDCW;100.2599;25-Aug-2023")</f>
        <v>120190;INF109K01Q98;-;ICICI Prudential Liquid Fund - Direct Plan - Weekly IDCW;100.2599;25-Aug-2023</v>
      </c>
      <c r="B1758" s="1"/>
    </row>
    <row r="1759">
      <c r="A1759" s="1" t="str">
        <f>IFERROR(__xludf.DUMMYFUNCTION("""COMPUTED_VALUE"""),"130934;INF109KA1G86;-;ICICI Prudential Liquid Fund - Direct Plan Bonus;149.1904;24-Apr-2020")</f>
        <v>130934;INF109KA1G86;-;ICICI Prudential Liquid Fund - Direct Plan Bonus;149.1904;24-Apr-2020</v>
      </c>
      <c r="B1759" s="1"/>
    </row>
    <row r="1760">
      <c r="A1760" s="1" t="str">
        <f>IFERROR(__xludf.DUMMYFUNCTION("""COMPUTED_VALUE"""),"103340;INF109K01VQ1;-;ICICI Prudential Liquid Fund - Growth;339.7053;25-Aug-2023")</f>
        <v>103340;INF109K01VQ1;-;ICICI Prudential Liquid Fund - Growth;339.7053;25-Aug-2023</v>
      </c>
      <c r="B1760" s="1"/>
    </row>
    <row r="1761">
      <c r="A1761" s="1" t="str">
        <f>IFERROR(__xludf.DUMMYFUNCTION("""COMPUTED_VALUE"""),"104308;INF109K01UX9;INF109K01UW1;ICICI Prudential Liquid Fund - Half Yearly IDCW;105.6475;16-Sep-2022")</f>
        <v>104308;INF109K01UX9;INF109K01UW1;ICICI Prudential Liquid Fund - Half Yearly IDCW;105.6475;16-Sep-2022</v>
      </c>
      <c r="B1761" s="1"/>
    </row>
    <row r="1762">
      <c r="A1762" s="1" t="str">
        <f>IFERROR(__xludf.DUMMYFUNCTION("""COMPUTED_VALUE"""),"115505;INF109K01VU3;INF109K01VT5;ICICI Prudential Liquid Fund - IDCW Others;157.8773;25-Aug-2023")</f>
        <v>115505;INF109K01VU3;INF109K01VT5;ICICI Prudential Liquid Fund - IDCW Others;157.8773;25-Aug-2023</v>
      </c>
      <c r="B1762" s="1"/>
    </row>
    <row r="1763">
      <c r="A1763" s="1" t="str">
        <f>IFERROR(__xludf.DUMMYFUNCTION("""COMPUTED_VALUE"""),"103344;INF109K01VH0;-;ICICI Prudential Liquid Fund - Institutional Option - I;275.6151;24-Apr-2020")</f>
        <v>103344;INF109K01VH0;-;ICICI Prudential Liquid Fund - Institutional Option - I;275.6151;24-Apr-2020</v>
      </c>
      <c r="B1763" s="1"/>
    </row>
    <row r="1764">
      <c r="A1764" s="1" t="str">
        <f>IFERROR(__xludf.DUMMYFUNCTION("""COMPUTED_VALUE"""),"139434;INF109KB1WR9;-;ICICI Prudential Liquid Fund - Unclaimed IDCW;137.2884;30-Nov-2021")</f>
        <v>139434;INF109KB1WR9;-;ICICI Prudential Liquid Fund - Unclaimed IDCW;137.2884;30-Nov-2021</v>
      </c>
      <c r="B1764" s="1"/>
    </row>
    <row r="1765">
      <c r="A1765" s="1" t="str">
        <f>IFERROR(__xludf.DUMMYFUNCTION("""COMPUTED_VALUE"""),"139432;INF109KB1WS7;-;ICICI Prudential Liquid Fund - Unclaimed IDCW Investor Education;100.0000;30-Nov-2021")</f>
        <v>139432;INF109KB1WS7;-;ICICI Prudential Liquid Fund - Unclaimed IDCW Investor Education;100.0000;30-Nov-2021</v>
      </c>
      <c r="B1765" s="1"/>
    </row>
    <row r="1766">
      <c r="A1766" s="1" t="str">
        <f>IFERROR(__xludf.DUMMYFUNCTION("""COMPUTED_VALUE"""),"139433;INF109KB1WQ1;-;ICICI Prudential Liquid Fund - Unclaimed Redemption;137.2884;30-Nov-2021")</f>
        <v>139433;INF109KB1WQ1;-;ICICI Prudential Liquid Fund - Unclaimed Redemption;137.2884;30-Nov-2021</v>
      </c>
      <c r="B1766" s="1"/>
    </row>
    <row r="1767">
      <c r="A1767" s="1" t="str">
        <f>IFERROR(__xludf.DUMMYFUNCTION("""COMPUTED_VALUE"""),"139431;INF109KB1WT5;-;ICICI Prudential Liquid Fund - Unclaimed Redemption Investor Education;100.0000;30-Nov-2021")</f>
        <v>139431;INF109KB1WT5;-;ICICI Prudential Liquid Fund - Unclaimed Redemption Investor Education;100.0000;30-Nov-2021</v>
      </c>
      <c r="B1767" s="1"/>
    </row>
    <row r="1768">
      <c r="A1768" s="1" t="str">
        <f>IFERROR(__xludf.DUMMYFUNCTION("""COMPUTED_VALUE"""),"103342;INF109K01VS7;-;ICICI Prudential Liquid Fund - Weekly IDCW;100.2337;25-Aug-2023")</f>
        <v>103342;INF109K01VS7;-;ICICI Prudential Liquid Fund - Weekly IDCW;100.2337;25-Aug-2023</v>
      </c>
      <c r="B1768" s="1"/>
    </row>
    <row r="1769">
      <c r="A1769" s="1" t="str">
        <f>IFERROR(__xludf.DUMMYFUNCTION("""COMPUTED_VALUE"""),"103341;INF109K01VR9;-;ICICI Prudential Liquid Fund -Monthly IDCW;100.3202;16-Sep-2022")</f>
        <v>103341;INF109K01VR9;-;ICICI Prudential Liquid Fund -Monthly IDCW;100.3202;16-Sep-2022</v>
      </c>
      <c r="B1769" s="1"/>
    </row>
    <row r="1770">
      <c r="A1770" s="1" t="str">
        <f>IFERROR(__xludf.DUMMYFUNCTION("""COMPUTED_VALUE"""),"112119;INF109K01VD9;INF109K01VC1;ICICI Prudential Liquid Fund-Annual IDCW;103.8506;16-Sep-2022")</f>
        <v>112119;INF109K01VD9;INF109K01VC1;ICICI Prudential Liquid Fund-Annual IDCW;103.8506;16-Sep-2022</v>
      </c>
      <c r="B1770" s="1"/>
    </row>
    <row r="1771">
      <c r="A1771" s="1" t="str">
        <f>IFERROR(__xludf.DUMMYFUNCTION("""COMPUTED_VALUE"""),"101748;INF109K01VE7;-;ICICI Prudential Liquid Fund - Institutional - Daily - Div;118.5022;24-Apr-2020")</f>
        <v>101748;INF109K01VE7;-;ICICI Prudential Liquid Fund - Institutional - Daily - Div;118.5022;24-Apr-2020</v>
      </c>
      <c r="B1771" s="1"/>
    </row>
    <row r="1772">
      <c r="A1772" s="1" t="str">
        <f>IFERROR(__xludf.DUMMYFUNCTION("""COMPUTED_VALUE"""),"101753;INF109K01VI8;-;ICICI Prudential Liquid Fund - Institutional - Weekly - Div;118.6133;28-Sep-2015")</f>
        <v>101753;INF109K01VI8;-;ICICI Prudential Liquid Fund - Institutional - Weekly - Div;118.6133;28-Sep-2015</v>
      </c>
      <c r="B1772" s="1"/>
    </row>
    <row r="1773">
      <c r="A1773" s="1" t="str">
        <f>IFERROR(__xludf.DUMMYFUNCTION("""COMPUTED_VALUE"""),"101754;INF109K01UR1;-;ICICI Prudential Liquid Fund Retail Daily Dividend;118.5142;24-Apr-2020")</f>
        <v>101754;INF109K01UR1;-;ICICI Prudential Liquid Fund Retail Daily Dividend;118.5142;24-Apr-2020</v>
      </c>
      <c r="B1773" s="1"/>
    </row>
    <row r="1774">
      <c r="A1774" s="1" t="str">
        <f>IFERROR(__xludf.DUMMYFUNCTION("""COMPUTED_VALUE"""),"101750;INF109K01UQ3;-;ICICI Prudential Liquid Fund Retail Growth;450.7797;24-Apr-2020")</f>
        <v>101750;INF109K01UQ3;-;ICICI Prudential Liquid Fund Retail Growth;450.7797;24-Apr-2020</v>
      </c>
      <c r="B1774" s="1"/>
    </row>
    <row r="1775">
      <c r="A1775" s="1" t="str">
        <f>IFERROR(__xludf.DUMMYFUNCTION("""COMPUTED_VALUE"""),"101755;INF109K01US9;-;ICICI Prudential Liquid Fund Retail Monthly Dividend;100.5372;24-Apr-2020")</f>
        <v>101755;INF109K01US9;-;ICICI Prudential Liquid Fund Retail Monthly Dividend;100.5372;24-Apr-2020</v>
      </c>
      <c r="B1775" s="1"/>
    </row>
    <row r="1776">
      <c r="A1776" s="1" t="str">
        <f>IFERROR(__xludf.DUMMYFUNCTION("""COMPUTED_VALUE"""),"101752;INF109K01UV3;-;ICICI Prudential Liquid Fund Retail Weekly Dividend;118.9171;24-Apr-2020")</f>
        <v>101752;INF109K01UV3;-;ICICI Prudential Liquid Fund Retail Weekly Dividend;118.9171;24-Apr-2020</v>
      </c>
      <c r="B1776" s="1"/>
    </row>
    <row r="1777">
      <c r="A1777" s="1" t="str">
        <f>IFERROR(__xludf.DUMMYFUNCTION("""COMPUTED_VALUE"""),"101751;INF109K01VF4;-;ICICI Prudential Liquid Institutional Fund - Growth;462.33;24-Apr-2020")</f>
        <v>101751;INF109K01VF4;-;ICICI Prudential Liquid Institutional Fund - Growth;462.33;24-Apr-2020</v>
      </c>
      <c r="B1777" s="1"/>
    </row>
    <row r="1778">
      <c r="A1778" s="1"/>
      <c r="B1778" s="1"/>
    </row>
    <row r="1779">
      <c r="A1779" s="1" t="str">
        <f>IFERROR(__xludf.DUMMYFUNCTION("""COMPUTED_VALUE"""),"Invesco Mutual Fund")</f>
        <v>Invesco Mutual Fund</v>
      </c>
      <c r="B1779" s="1"/>
    </row>
    <row r="1780">
      <c r="A1780" s="1"/>
      <c r="B1780" s="1"/>
    </row>
    <row r="1781">
      <c r="A1781" s="1" t="str">
        <f>IFERROR(__xludf.DUMMYFUNCTION("""COMPUTED_VALUE"""),"122786;INF205K01UX5;-;Invesco India Liquid Fund - Bonus Option;3157.9846;26-Aug-2023")</f>
        <v>122786;INF205K01UX5;-;Invesco India Liquid Fund - Bonus Option;3157.9846;26-Aug-2023</v>
      </c>
      <c r="B1781" s="1"/>
    </row>
    <row r="1782">
      <c r="A1782" s="1" t="str">
        <f>IFERROR(__xludf.DUMMYFUNCTION("""COMPUTED_VALUE"""),"104484;-;INF205K01HN3;Invesco India Liquid Fund - Daily IDCW (Reinvestment);1002.7594;26-Aug-2023")</f>
        <v>104484;-;INF205K01HN3;Invesco India Liquid Fund - Daily IDCW (Reinvestment);1002.7594;26-Aug-2023</v>
      </c>
      <c r="B1782" s="1"/>
    </row>
    <row r="1783">
      <c r="A1783" s="1" t="str">
        <f>IFERROR(__xludf.DUMMYFUNCTION("""COMPUTED_VALUE"""),"120537;INF205K01MF9;-;Invesco India Liquid Fund - Direct Plan - Growth;3176.4355;26-Aug-2023")</f>
        <v>120537;INF205K01MF9;-;Invesco India Liquid Fund - Direct Plan - Growth;3176.4355;26-Aug-2023</v>
      </c>
      <c r="B1783" s="1"/>
    </row>
    <row r="1784">
      <c r="A1784" s="1" t="str">
        <f>IFERROR(__xludf.DUMMYFUNCTION("""COMPUTED_VALUE"""),"120536;INF205K01MG7;INF205K01MH5;Invesco India Liquid Fund - Direct Plan - Monthly IDCW (Payout / Reinvestment);1087.7762;26-Aug-2023")</f>
        <v>120536;INF205K01MG7;INF205K01MH5;Invesco India Liquid Fund - Direct Plan - Monthly IDCW (Payout / Reinvestment);1087.7762;26-Aug-2023</v>
      </c>
      <c r="B1784" s="1"/>
    </row>
    <row r="1785">
      <c r="A1785" s="1" t="str">
        <f>IFERROR(__xludf.DUMMYFUNCTION("""COMPUTED_VALUE"""),"120535;-;INF205K01MI3;Invesco India Liquid Fund - Direct Plan - Weekly IDCW (Reinvestment);1092.1263;26-Aug-2023")</f>
        <v>120535;-;INF205K01MI3;Invesco India Liquid Fund - Direct Plan - Weekly IDCW (Reinvestment);1092.1263;26-Aug-2023</v>
      </c>
      <c r="B1785" s="1"/>
    </row>
    <row r="1786">
      <c r="A1786" s="1" t="str">
        <f>IFERROR(__xludf.DUMMYFUNCTION("""COMPUTED_VALUE"""),"120534;-;INF205K01ME2;Invesco India Liquid Fund - Direct Plan- Daily IDCW (Reinvestment);1000.9596;26-Aug-2023")</f>
        <v>120534;-;INF205K01ME2;Invesco India Liquid Fund - Direct Plan- Daily IDCW (Reinvestment);1000.9596;26-Aug-2023</v>
      </c>
      <c r="B1786" s="1"/>
    </row>
    <row r="1787">
      <c r="A1787" s="1" t="str">
        <f>IFERROR(__xludf.DUMMYFUNCTION("""COMPUTED_VALUE"""),"104486;INF205K01HM5;-;Invesco India Liquid Fund - Growth;3153.2908;26-Aug-2023")</f>
        <v>104486;INF205K01HM5;-;Invesco India Liquid Fund - Growth;3153.2908;26-Aug-2023</v>
      </c>
      <c r="B1787" s="1"/>
    </row>
    <row r="1788">
      <c r="A1788" s="1" t="str">
        <f>IFERROR(__xludf.DUMMYFUNCTION("""COMPUTED_VALUE"""),"104492;INF205K01HQ6;INF205K01HP8;Invesco India Liquid Fund - Monthly IDCW (Payout / Reinvestment);1008.1503;26-Aug-2023")</f>
        <v>104492;INF205K01HQ6;INF205K01HP8;Invesco India Liquid Fund - Monthly IDCW (Payout / Reinvestment);1008.1503;26-Aug-2023</v>
      </c>
      <c r="B1788" s="1"/>
    </row>
    <row r="1789">
      <c r="A1789" s="1" t="str">
        <f>IFERROR(__xludf.DUMMYFUNCTION("""COMPUTED_VALUE"""),"104488;INF205K01HG7;-;Invesco India Liquid Fund - Regular - Growth;2819.7555;26-Aug-2023")</f>
        <v>104488;INF205K01HG7;-;Invesco India Liquid Fund - Regular - Growth;2819.7555;26-Aug-2023</v>
      </c>
      <c r="B1789" s="1"/>
    </row>
    <row r="1790">
      <c r="A1790" s="1" t="str">
        <f>IFERROR(__xludf.DUMMYFUNCTION("""COMPUTED_VALUE"""),"104489;-;INF205K01HH5;Invesco India Liquid Fund - Regular - Weekly IDCW (Reinvestment);1003.1526;26-Aug-2023")</f>
        <v>104489;-;INF205K01HH5;Invesco India Liquid Fund - Regular - Weekly IDCW (Reinvestment);1003.1526;26-Aug-2023</v>
      </c>
      <c r="B1790" s="1"/>
    </row>
    <row r="1791">
      <c r="A1791" s="1" t="str">
        <f>IFERROR(__xludf.DUMMYFUNCTION("""COMPUTED_VALUE"""),"139390;-;-;Invesco India Liquid Fund - Unclaimed Dividend Plan - Above 3 Years;1000;26-Aug-2023")</f>
        <v>139390;-;-;Invesco India Liquid Fund - Unclaimed Dividend Plan - Above 3 Years;1000;26-Aug-2023</v>
      </c>
      <c r="B1791" s="1"/>
    </row>
    <row r="1792">
      <c r="A1792" s="1" t="str">
        <f>IFERROR(__xludf.DUMMYFUNCTION("""COMPUTED_VALUE"""),"139389;-;-;Invesco India Liquid Fund - Unclaimed Dividend Plan - Below 3 Years;1505.3705;26-Aug-2023")</f>
        <v>139389;-;-;Invesco India Liquid Fund - Unclaimed Dividend Plan - Below 3 Years;1505.3705;26-Aug-2023</v>
      </c>
      <c r="B1792" s="1"/>
    </row>
    <row r="1793">
      <c r="A1793" s="1" t="str">
        <f>IFERROR(__xludf.DUMMYFUNCTION("""COMPUTED_VALUE"""),"139388;-;-;Invesco India Liquid Fund - Unclaimed Redemption Plan - Above 3 Years;1000;26-Aug-2023")</f>
        <v>139388;-;-;Invesco India Liquid Fund - Unclaimed Redemption Plan - Above 3 Years;1000;26-Aug-2023</v>
      </c>
      <c r="B1793" s="1"/>
    </row>
    <row r="1794">
      <c r="A1794" s="1" t="str">
        <f>IFERROR(__xludf.DUMMYFUNCTION("""COMPUTED_VALUE"""),"139387;-;-;Invesco India Liquid Fund - Unclaimed Redemption Plan - Below 3 years;1505.3047;26-Aug-2023")</f>
        <v>139387;-;-;Invesco India Liquid Fund - Unclaimed Redemption Plan - Below 3 years;1505.3047;26-Aug-2023</v>
      </c>
      <c r="B1794" s="1"/>
    </row>
    <row r="1795">
      <c r="A1795" s="1" t="str">
        <f>IFERROR(__xludf.DUMMYFUNCTION("""COMPUTED_VALUE"""),"104485;-;INF205K01HO1;Invesco India Liquid Fund - Weekly IDCW (Reinvestment);1015.6751;26-Aug-2023")</f>
        <v>104485;-;INF205K01HO1;Invesco India Liquid Fund - Weekly IDCW (Reinvestment);1015.6751;26-Aug-2023</v>
      </c>
      <c r="B1795" s="1"/>
    </row>
    <row r="1796">
      <c r="A1796" s="1"/>
      <c r="B1796" s="1"/>
    </row>
    <row r="1797">
      <c r="A1797" s="1" t="str">
        <f>IFERROR(__xludf.DUMMYFUNCTION("""COMPUTED_VALUE"""),"ITI Mutual Fund")</f>
        <v>ITI Mutual Fund</v>
      </c>
      <c r="B1797" s="1"/>
    </row>
    <row r="1798">
      <c r="A1798" s="1"/>
      <c r="B1798" s="1"/>
    </row>
    <row r="1799">
      <c r="A1799" s="1" t="str">
        <f>IFERROR(__xludf.DUMMYFUNCTION("""COMPUTED_VALUE"""),"147161;INF00XX01366;INF00XX01333;ITI Liquid Fund - Direct Plan - Annually IDCW Option;1209.8915;26-Aug-2023")</f>
        <v>147161;INF00XX01366;INF00XX01333;ITI Liquid Fund - Direct Plan - Annually IDCW Option;1209.8915;26-Aug-2023</v>
      </c>
      <c r="B1799" s="1"/>
    </row>
    <row r="1800">
      <c r="A1800" s="1" t="str">
        <f>IFERROR(__xludf.DUMMYFUNCTION("""COMPUTED_VALUE"""),"147158;-;INF00XX01291;ITI Liquid Fund - Direct Plan - Daily IDCW Option;1001.0000;26-Aug-2023")</f>
        <v>147158;-;INF00XX01291;ITI Liquid Fund - Direct Plan - Daily IDCW Option;1001.0000;26-Aug-2023</v>
      </c>
      <c r="B1800" s="1"/>
    </row>
    <row r="1801">
      <c r="A1801" s="1" t="str">
        <f>IFERROR(__xludf.DUMMYFUNCTION("""COMPUTED_VALUE"""),"147160;INF00XX01341;INF00XX01317;ITI Liquid Fund - Direct Plan - Fortnightly IDCW Option;1001.1646;12-Jan-2023")</f>
        <v>147160;INF00XX01341;INF00XX01317;ITI Liquid Fund - Direct Plan - Fortnightly IDCW Option;1001.1646;12-Jan-2023</v>
      </c>
      <c r="B1801" s="1"/>
    </row>
    <row r="1802">
      <c r="A1802" s="1" t="str">
        <f>IFERROR(__xludf.DUMMYFUNCTION("""COMPUTED_VALUE"""),"147157;INF00XX01283;-;ITI Liquid Fund - Direct Plan - Growth Option;1208.9170;26-Aug-2023")</f>
        <v>147157;INF00XX01283;-;ITI Liquid Fund - Direct Plan - Growth Option;1208.9170;26-Aug-2023</v>
      </c>
      <c r="B1802" s="1"/>
    </row>
    <row r="1803">
      <c r="A1803" s="1" t="str">
        <f>IFERROR(__xludf.DUMMYFUNCTION("""COMPUTED_VALUE"""),"147163;INF00XX01358;INF00XX01325;ITI Liquid Fund - Direct Plan - Monthly IDCW Option;1001.0000;26-Aug-2023")</f>
        <v>147163;INF00XX01358;INF00XX01325;ITI Liquid Fund - Direct Plan - Monthly IDCW Option;1001.0000;26-Aug-2023</v>
      </c>
      <c r="B1803" s="1"/>
    </row>
    <row r="1804">
      <c r="A1804" s="1" t="str">
        <f>IFERROR(__xludf.DUMMYFUNCTION("""COMPUTED_VALUE"""),"147159;-;INF00XX01309;ITI Liquid Fund - Direct Plan - Weekly IDCW Option;1001.7268;26-Aug-2023")</f>
        <v>147159;-;INF00XX01309;ITI Liquid Fund - Direct Plan - Weekly IDCW Option;1001.7268;26-Aug-2023</v>
      </c>
      <c r="B1804" s="1"/>
    </row>
    <row r="1805">
      <c r="A1805" s="1" t="str">
        <f>IFERROR(__xludf.DUMMYFUNCTION("""COMPUTED_VALUE"""),"147162;INF00XX01275;INF00XX01242;ITI Liquid Fund - Regular Plan - Annually IDCW Option;1206.4719;26-Aug-2023")</f>
        <v>147162;INF00XX01275;INF00XX01242;ITI Liquid Fund - Regular Plan - Annually IDCW Option;1206.4719;26-Aug-2023</v>
      </c>
      <c r="B1805" s="1"/>
    </row>
    <row r="1806">
      <c r="A1806" s="1" t="str">
        <f>IFERROR(__xludf.DUMMYFUNCTION("""COMPUTED_VALUE"""),"147154;-;INF00XX01200;ITI Liquid Fund - Regular Plan - Daily IDCW Option;1001.0000;26-Aug-2023")</f>
        <v>147154;-;INF00XX01200;ITI Liquid Fund - Regular Plan - Daily IDCW Option;1001.0000;26-Aug-2023</v>
      </c>
      <c r="B1806" s="1"/>
    </row>
    <row r="1807">
      <c r="A1807" s="1" t="str">
        <f>IFERROR(__xludf.DUMMYFUNCTION("""COMPUTED_VALUE"""),"147155;INF00XX01259;INF00XX01226;ITI Liquid Fund - Regular Plan - Fortnightly Income Distribution cum capital withdrawal option Option;1001.0000;26-Aug-2023")</f>
        <v>147155;INF00XX01259;INF00XX01226;ITI Liquid Fund - Regular Plan - Fortnightly Income Distribution cum capital withdrawal option Option;1001.0000;26-Aug-2023</v>
      </c>
      <c r="B1807" s="1"/>
    </row>
    <row r="1808">
      <c r="A1808" s="1" t="str">
        <f>IFERROR(__xludf.DUMMYFUNCTION("""COMPUTED_VALUE"""),"147153;INF00XX01192;-;ITI Liquid Fund - Regular Plan - Growth Option;1202.2309;26-Aug-2023")</f>
        <v>147153;INF00XX01192;-;ITI Liquid Fund - Regular Plan - Growth Option;1202.2309;26-Aug-2023</v>
      </c>
      <c r="B1808" s="1"/>
    </row>
    <row r="1809">
      <c r="A1809" s="1" t="str">
        <f>IFERROR(__xludf.DUMMYFUNCTION("""COMPUTED_VALUE"""),"147156;INF00XX01267;INF00XX01234;ITI Liquid Fund - Regular Plan - Monthly IDCW Option;1001.0000;26-Aug-2023")</f>
        <v>147156;INF00XX01267;INF00XX01234;ITI Liquid Fund - Regular Plan - Monthly IDCW Option;1001.0000;26-Aug-2023</v>
      </c>
      <c r="B1809" s="1"/>
    </row>
    <row r="1810">
      <c r="A1810" s="1" t="str">
        <f>IFERROR(__xludf.DUMMYFUNCTION("""COMPUTED_VALUE"""),"147164;-;INF00XX01218;ITI Liquid Fund - Regular Plan - Weekly IDCW Option;1001.7106;26-Aug-2023")</f>
        <v>147164;-;INF00XX01218;ITI Liquid Fund - Regular Plan - Weekly IDCW Option;1001.7106;26-Aug-2023</v>
      </c>
      <c r="B1810" s="1"/>
    </row>
    <row r="1811">
      <c r="A1811" s="1"/>
      <c r="B1811" s="1"/>
    </row>
    <row r="1812">
      <c r="A1812" s="1" t="str">
        <f>IFERROR(__xludf.DUMMYFUNCTION("""COMPUTED_VALUE"""),"JM Financial Mutual Fund")</f>
        <v>JM Financial Mutual Fund</v>
      </c>
      <c r="B1812" s="1"/>
    </row>
    <row r="1813">
      <c r="A1813" s="1"/>
      <c r="B1813" s="1"/>
    </row>
    <row r="1814">
      <c r="A1814" s="1" t="str">
        <f>IFERROR(__xludf.DUMMYFUNCTION("""COMPUTED_VALUE"""),"120410;INF192K01CN4;-;JM Liquid Fund (Direct) - Bonus Option - Bonus Option - Principal units;20.3487;27-Aug-2023")</f>
        <v>120410;INF192K01CN4;-;JM Liquid Fund (Direct) - Bonus Option - Bonus Option - Principal units;20.3487;27-Aug-2023</v>
      </c>
      <c r="B1814" s="1"/>
    </row>
    <row r="1815">
      <c r="A1815" s="1" t="str">
        <f>IFERROR(__xludf.DUMMYFUNCTION("""COMPUTED_VALUE"""),"120411;-;INF192K01CH6;JM Liquid Fund (Direct) - Daily IDCW;10.4302;27-Aug-2023")</f>
        <v>120411;-;INF192K01CH6;JM Liquid Fund (Direct) - Daily IDCW;10.4302;27-Aug-2023</v>
      </c>
      <c r="B1815" s="1"/>
    </row>
    <row r="1816">
      <c r="A1816" s="1" t="str">
        <f>IFERROR(__xludf.DUMMYFUNCTION("""COMPUTED_VALUE"""),"120406;INF192K01CM6;-;JM Liquid Fund (Direct) - Growth Option;63.2734;27-Aug-2023")</f>
        <v>120406;INF192K01CM6;-;JM Liquid Fund (Direct) - Growth Option;63.2734;27-Aug-2023</v>
      </c>
      <c r="B1816" s="1"/>
    </row>
    <row r="1817">
      <c r="A1817" s="1" t="str">
        <f>IFERROR(__xludf.DUMMYFUNCTION("""COMPUTED_VALUE"""),"120408;INF192K01CK0;INF192K01CL8;JM Liquid Fund (Direct) - Quarterly IDCW;35.9228;27-Aug-2023")</f>
        <v>120408;INF192K01CK0;INF192K01CL8;JM Liquid Fund (Direct) - Quarterly IDCW;35.9228;27-Aug-2023</v>
      </c>
      <c r="B1817" s="1"/>
    </row>
    <row r="1818">
      <c r="A1818" s="1" t="str">
        <f>IFERROR(__xludf.DUMMYFUNCTION("""COMPUTED_VALUE"""),"120407;INF192K01CI4;INF192K01CJ2;JM Liquid Fund (Direct) - Weekly IDCW;11.0164;27-Aug-2023")</f>
        <v>120407;INF192K01CI4;INF192K01CJ2;JM Liquid Fund (Direct) - Weekly IDCW;11.0164;27-Aug-2023</v>
      </c>
      <c r="B1818" s="1"/>
    </row>
    <row r="1819">
      <c r="A1819" s="1" t="str">
        <f>IFERROR(__xludf.DUMMYFUNCTION("""COMPUTED_VALUE"""),"100244;INF192K01866;INF192K01874;JM Liquid Fund (Regular) - Quarterly IDCW;35.4995;27-Aug-2023")</f>
        <v>100244;INF192K01866;INF192K01874;JM Liquid Fund (Regular) - Quarterly IDCW;35.4995;27-Aug-2023</v>
      </c>
      <c r="B1819" s="1"/>
    </row>
    <row r="1820">
      <c r="A1820" s="1" t="str">
        <f>IFERROR(__xludf.DUMMYFUNCTION("""COMPUTED_VALUE"""),"100247;INF192K01981;-;JM Liquid Fund (Regular) - Super Institutional Plan - Growth Option;36.0535;27-Aug-2023")</f>
        <v>100247;INF192K01981;-;JM Liquid Fund (Regular) - Super Institutional Plan - Growth Option;36.0535;27-Aug-2023</v>
      </c>
      <c r="B1820" s="1"/>
    </row>
    <row r="1821">
      <c r="A1821" s="1" t="str">
        <f>IFERROR(__xludf.DUMMYFUNCTION("""COMPUTED_VALUE"""),"100233;INF192K01841;INF192K01858;JM Liquid Fund (Regular) - Weekly IDCW;11.0138;27-Aug-2023")</f>
        <v>100233;INF192K01841;INF192K01858;JM Liquid Fund (Regular) - Weekly IDCW;11.0138;27-Aug-2023</v>
      </c>
      <c r="B1821" s="1"/>
    </row>
    <row r="1822">
      <c r="A1822" s="1" t="str">
        <f>IFERROR(__xludf.DUMMYFUNCTION("""COMPUTED_VALUE"""),"100234;INF192K01882;-;JM Liquid Fund - Growth Option;62.7190;27-Aug-2023")</f>
        <v>100234;INF192K01882;-;JM Liquid Fund - Growth Option;62.7190;27-Aug-2023</v>
      </c>
      <c r="B1822" s="1"/>
    </row>
    <row r="1823">
      <c r="A1823" s="1" t="str">
        <f>IFERROR(__xludf.DUMMYFUNCTION("""COMPUTED_VALUE"""),"148414;-;-;JM Liquid Fund - Unclaimed Application Refund Amount I.E.F. (Direct) - Growth Plan;41.4437;27-Aug-2023")</f>
        <v>148414;-;-;JM Liquid Fund - Unclaimed Application Refund Amount I.E.F. (Direct) - Growth Plan;41.4437;27-Aug-2023</v>
      </c>
      <c r="B1823" s="1"/>
    </row>
    <row r="1824">
      <c r="A1824" s="1" t="str">
        <f>IFERROR(__xludf.DUMMYFUNCTION("""COMPUTED_VALUE"""),"148413;-;-;JM Liquid Fund - Unclaimed Brokerage I.E.F. (Direct) - Growth Plan;41.4437;27-Aug-2023")</f>
        <v>148413;-;-;JM Liquid Fund - Unclaimed Brokerage I.E.F. (Direct) - Growth Plan;41.4437;27-Aug-2023</v>
      </c>
      <c r="B1824" s="1"/>
    </row>
    <row r="1825">
      <c r="A1825" s="1" t="str">
        <f>IFERROR(__xludf.DUMMYFUNCTION("""COMPUTED_VALUE"""),"148415;-;-;JM Liquid Fund - Withheld Brokerage I.E.F. (Direct) - Growth Plan;41.4437;27-Aug-2023")</f>
        <v>148415;-;-;JM Liquid Fund - Withheld Brokerage I.E.F. (Direct) - Growth Plan;41.4437;27-Aug-2023</v>
      </c>
      <c r="B1825" s="1"/>
    </row>
    <row r="1826">
      <c r="A1826" s="1" t="str">
        <f>IFERROR(__xludf.DUMMYFUNCTION("""COMPUTED_VALUE"""),"139258;INF192K01LB0;-;JM Liquid Fund Unclaimed Dividend (Direct) Growth Plan;57.8229;24-Jan-2022")</f>
        <v>139258;INF192K01LB0;-;JM Liquid Fund Unclaimed Dividend (Direct) Growth Plan;57.8229;24-Jan-2022</v>
      </c>
      <c r="B1826" s="1"/>
    </row>
    <row r="1827">
      <c r="A1827" s="1" t="str">
        <f>IFERROR(__xludf.DUMMYFUNCTION("""COMPUTED_VALUE"""),"139260;INF192K01LD6;-;JM Liquid Fund Unclaimed Dividend IEF (Direct) Growth Plan;41.4437;24-Jan-2022")</f>
        <v>139260;INF192K01LD6;-;JM Liquid Fund Unclaimed Dividend IEF (Direct) Growth Plan;41.4437;24-Jan-2022</v>
      </c>
      <c r="B1827" s="1"/>
    </row>
    <row r="1828">
      <c r="A1828" s="1" t="str">
        <f>IFERROR(__xludf.DUMMYFUNCTION("""COMPUTED_VALUE"""),"139257;INF192K01LA2;-;JM Liquid Fund Unclaimed Redemption (Direct) Growth Plan;57.8230;24-Jan-2022")</f>
        <v>139257;INF192K01LA2;-;JM Liquid Fund Unclaimed Redemption (Direct) Growth Plan;57.8230;24-Jan-2022</v>
      </c>
      <c r="B1828" s="1"/>
    </row>
    <row r="1829">
      <c r="A1829" s="1" t="str">
        <f>IFERROR(__xludf.DUMMYFUNCTION("""COMPUTED_VALUE"""),"139259;INF192K01LC8;-;JM Liquid Fund Unclaimed Redemption IEF (Direct) Growth Plan;41.4437;24-Jan-2022")</f>
        <v>139259;INF192K01LC8;-;JM Liquid Fund Unclaimed Redemption IEF (Direct) Growth Plan;41.4437;24-Jan-2022</v>
      </c>
      <c r="B1829" s="1"/>
    </row>
    <row r="1830">
      <c r="A1830" s="1" t="str">
        <f>IFERROR(__xludf.DUMMYFUNCTION("""COMPUTED_VALUE"""),"101549;INF192K01890;-;JM Liquid Fund (Regular) - Bonus Option - Principal Units;20.0828;27-Aug-2023")</f>
        <v>101549;INF192K01890;-;JM Liquid Fund (Regular) - Bonus Option - Principal Units;20.0828;27-Aug-2023</v>
      </c>
      <c r="B1830" s="1"/>
    </row>
    <row r="1831">
      <c r="A1831" s="1" t="str">
        <f>IFERROR(__xludf.DUMMYFUNCTION("""COMPUTED_VALUE"""),"101078;-;INF192K01833;JM Liquid Fund (Regular) - Daily IDCW;10.4302;27-Aug-2023")</f>
        <v>101078;-;INF192K01833;JM Liquid Fund (Regular) - Daily IDCW;10.4302;27-Aug-2023</v>
      </c>
      <c r="B1831" s="1"/>
    </row>
    <row r="1832">
      <c r="A1832" s="1"/>
      <c r="B1832" s="1"/>
    </row>
    <row r="1833">
      <c r="A1833" s="1" t="str">
        <f>IFERROR(__xludf.DUMMYFUNCTION("""COMPUTED_VALUE"""),"Kotak Mahindra Mutual Fund")</f>
        <v>Kotak Mahindra Mutual Fund</v>
      </c>
      <c r="B1833" s="1"/>
    </row>
    <row r="1834">
      <c r="A1834" s="1"/>
      <c r="B1834" s="1"/>
    </row>
    <row r="1835">
      <c r="A1835" s="1" t="str">
        <f>IFERROR(__xludf.DUMMYFUNCTION("""COMPUTED_VALUE"""),"119764;INF174K01NH1;-;Kotak Liquid - Daily Reinvestment of Income Distribution cum capital withdrawal option - Direct;1222.81;25-Aug-2023")</f>
        <v>119764;INF174K01NH1;-;Kotak Liquid - Daily Reinvestment of Income Distribution cum capital withdrawal option - Direct;1222.81;25-Aug-2023</v>
      </c>
      <c r="B1835" s="1"/>
    </row>
    <row r="1836">
      <c r="A1836" s="1" t="str">
        <f>IFERROR(__xludf.DUMMYFUNCTION("""COMPUTED_VALUE"""),"119766;INF174K01NE8;-;Kotak Liquid - Growth - Direct;4674.7581;25-Aug-2023")</f>
        <v>119766;INF174K01NE8;-;Kotak Liquid - Growth - Direct;4674.7581;25-Aug-2023</v>
      </c>
      <c r="B1836" s="1"/>
    </row>
    <row r="1837">
      <c r="A1837" s="1" t="str">
        <f>IFERROR(__xludf.DUMMYFUNCTION("""COMPUTED_VALUE"""),"100833;INF174K01NL3;-;Kotak Liquid Regular Plan Daily Reinvestment of Income Distribution cum capital withdrawal option;1222.81;25-Aug-2023")</f>
        <v>100833;INF174K01NL3;-;Kotak Liquid Regular Plan Daily Reinvestment of Income Distribution cum capital withdrawal option;1222.81;25-Aug-2023</v>
      </c>
      <c r="B1837" s="1"/>
    </row>
    <row r="1838">
      <c r="A1838" s="1" t="str">
        <f>IFERROR(__xludf.DUMMYFUNCTION("""COMPUTED_VALUE"""),"100835;INF174K01NI9;-;Kotak Liquid Regular Plan Growth;4640.6083;25-Aug-2023")</f>
        <v>100835;INF174K01NI9;-;Kotak Liquid Regular Plan Growth;4640.6083;25-Aug-2023</v>
      </c>
      <c r="B1838" s="1"/>
    </row>
    <row r="1839">
      <c r="A1839" s="1" t="str">
        <f>IFERROR(__xludf.DUMMYFUNCTION("""COMPUTED_VALUE"""),"100834;INF174K01NK5;-;Kotak Liquid Regular Plan Weekly Reinvestment of Income Distribution cum capital withdrawal option Dividend;1000.476;17-Sep-2021")</f>
        <v>100834;INF174K01NK5;-;Kotak Liquid Regular Plan Weekly Reinvestment of Income Distribution cum capital withdrawal option Dividend;1000.476;17-Sep-2021</v>
      </c>
      <c r="B1839" s="1"/>
    </row>
    <row r="1840">
      <c r="A1840" s="1" t="str">
        <f>IFERROR(__xludf.DUMMYFUNCTION("""COMPUTED_VALUE"""),"100830;INF174K01FZ9;-;Kotak Liquid-Institutional Plan  (Growth);3046.6062;21-Oct-2016")</f>
        <v>100830;INF174K01FZ9;-;Kotak Liquid-Institutional Plan  (Growth);3046.6062;21-Oct-2016</v>
      </c>
      <c r="B1840" s="1"/>
    </row>
    <row r="1841">
      <c r="A1841" s="1" t="str">
        <f>IFERROR(__xludf.DUMMYFUNCTION("""COMPUTED_VALUE"""),"100832;-;INF174K01GB8;Kotak Liquid-Institutional Plan (Weekly Dividend);1011.079;23-Sep-2013")</f>
        <v>100832;-;INF174K01GB8;Kotak Liquid-Institutional Plan (Weekly Dividend);1011.079;23-Sep-2013</v>
      </c>
      <c r="B1841" s="1"/>
    </row>
    <row r="1842">
      <c r="A1842" s="1" t="str">
        <f>IFERROR(__xludf.DUMMYFUNCTION("""COMPUTED_VALUE"""),"100828;-;INF174K01FY2;Kotak Liquid-Regular (Dividend);1002.9403;21-Oct-2016")</f>
        <v>100828;-;INF174K01FY2;Kotak Liquid-Regular (Dividend);1002.9403;21-Oct-2016</v>
      </c>
      <c r="B1842" s="1"/>
    </row>
    <row r="1843">
      <c r="A1843" s="1" t="str">
        <f>IFERROR(__xludf.DUMMYFUNCTION("""COMPUTED_VALUE"""),"100829;INF174K01NM1;-;Kotak Liquid-Regular (Growth);2893.5255;21-Oct-2016")</f>
        <v>100829;INF174K01NM1;-;Kotak Liquid-Regular (Growth);2893.5255;21-Oct-2016</v>
      </c>
      <c r="B1843" s="1"/>
    </row>
    <row r="1844">
      <c r="A1844" s="1"/>
      <c r="B1844" s="1"/>
    </row>
    <row r="1845">
      <c r="A1845" s="1" t="str">
        <f>IFERROR(__xludf.DUMMYFUNCTION("""COMPUTED_VALUE"""),"LIC Mutual Fund")</f>
        <v>LIC Mutual Fund</v>
      </c>
      <c r="B1845" s="1"/>
    </row>
    <row r="1846">
      <c r="A1846" s="1"/>
      <c r="B1846" s="1"/>
    </row>
    <row r="1847">
      <c r="A1847" s="1" t="str">
        <f>IFERROR(__xludf.DUMMYFUNCTION("""COMPUTED_VALUE"""),"120248;INF767K01DL5;INF767K01DM3;LIC MF Liquid Fund-Direct Plan-Daily IDCW;1014.6694;27-Aug-2023")</f>
        <v>120248;INF767K01DL5;INF767K01DM3;LIC MF Liquid Fund-Direct Plan-Daily IDCW;1014.6694;27-Aug-2023</v>
      </c>
      <c r="B1847" s="1"/>
    </row>
    <row r="1848">
      <c r="A1848" s="1" t="str">
        <f>IFERROR(__xludf.DUMMYFUNCTION("""COMPUTED_VALUE"""),"120249;INF767K01DN1;-;LIC MF Liquid Fund-Direct Plan-Growth;4202.7941;27-Aug-2023")</f>
        <v>120249;INF767K01DN1;-;LIC MF Liquid Fund-Direct Plan-Growth;4202.7941;27-Aug-2023</v>
      </c>
      <c r="B1848" s="1"/>
    </row>
    <row r="1849">
      <c r="A1849" s="1" t="str">
        <f>IFERROR(__xludf.DUMMYFUNCTION("""COMPUTED_VALUE"""),"151930;INF397L01AK7;INF397L01AJ9;LIC MF Liquid Fund-Direct Plan-Monthly IDCW;1020.2237;27-Aug-2023")</f>
        <v>151930;INF397L01AK7;INF397L01AJ9;LIC MF Liquid Fund-Direct Plan-Monthly IDCW;1020.2237;27-Aug-2023</v>
      </c>
      <c r="B1849" s="1"/>
    </row>
    <row r="1850">
      <c r="A1850" s="1" t="str">
        <f>IFERROR(__xludf.DUMMYFUNCTION("""COMPUTED_VALUE"""),"151932;INF397L01AM3;INF397L01AL5;LIC MF Liquid Fund-Direct Plan-Weekly IDCW;1015.4404;27-Aug-2023")</f>
        <v>151932;INF397L01AM3;INF397L01AL5;LIC MF Liquid Fund-Direct Plan-Weekly IDCW;1015.4404;27-Aug-2023</v>
      </c>
      <c r="B1850" s="1"/>
    </row>
    <row r="1851">
      <c r="A1851" s="1" t="str">
        <f>IFERROR(__xludf.DUMMYFUNCTION("""COMPUTED_VALUE"""),"101184;INF767K01IQ3;INF767K01IR1;LIC MF Liquid Fund-Regular Plan-Daily IDCW;1000.1751;27-Aug-2023")</f>
        <v>101184;INF767K01IQ3;INF767K01IR1;LIC MF Liquid Fund-Regular Plan-Daily IDCW;1000.1751;27-Aug-2023</v>
      </c>
      <c r="B1851" s="1"/>
    </row>
    <row r="1852">
      <c r="A1852" s="1" t="str">
        <f>IFERROR(__xludf.DUMMYFUNCTION("""COMPUTED_VALUE"""),"101185;INF767K01IS9;-;LIC MF Liquid Fund-Regular Plan-Growth;4150.6069;27-Aug-2023")</f>
        <v>101185;INF767K01IS9;-;LIC MF Liquid Fund-Regular Plan-Growth;4150.6069;27-Aug-2023</v>
      </c>
      <c r="B1852" s="1"/>
    </row>
    <row r="1853">
      <c r="A1853" s="1" t="str">
        <f>IFERROR(__xludf.DUMMYFUNCTION("""COMPUTED_VALUE"""),"151928;INF397L01976;INF397L01968;LIC MF Liquid Fund-Regular Plan-Monthly IDCW;1005.5358;27-Aug-2023")</f>
        <v>151928;INF397L01976;INF397L01968;LIC MF Liquid Fund-Regular Plan-Monthly IDCW;1005.5358;27-Aug-2023</v>
      </c>
      <c r="B1853" s="1"/>
    </row>
    <row r="1854">
      <c r="A1854" s="1" t="str">
        <f>IFERROR(__xludf.DUMMYFUNCTION("""COMPUTED_VALUE"""),"151927;INF397L01950;INF397L01943;LIC MF Liquid Fund-Regular Plan-Weekly IDCW;1000.9188;27-Aug-2023")</f>
        <v>151927;INF397L01950;INF397L01943;LIC MF Liquid Fund-Regular Plan-Weekly IDCW;1000.9188;27-Aug-2023</v>
      </c>
      <c r="B1854" s="1"/>
    </row>
    <row r="1855">
      <c r="A1855" s="1"/>
      <c r="B1855" s="1"/>
    </row>
    <row r="1856">
      <c r="A1856" s="1" t="str">
        <f>IFERROR(__xludf.DUMMYFUNCTION("""COMPUTED_VALUE"""),"Mahindra Manulife Mutual Fund")</f>
        <v>Mahindra Manulife Mutual Fund</v>
      </c>
      <c r="B1856" s="1"/>
    </row>
    <row r="1857">
      <c r="A1857" s="1"/>
      <c r="B1857" s="1"/>
    </row>
    <row r="1858">
      <c r="A1858" s="1" t="str">
        <f>IFERROR(__xludf.DUMMYFUNCTION("""COMPUTED_VALUE"""),"139535;-;INF174V01051;Mahindra Manulife Liquid Fund - Direct Plan - Daily IDCW;1060.4662;27-Aug-2023")</f>
        <v>139535;-;INF174V01051;Mahindra Manulife Liquid Fund - Direct Plan - Daily IDCW;1060.4662;27-Aug-2023</v>
      </c>
      <c r="B1858" s="1"/>
    </row>
    <row r="1859">
      <c r="A1859" s="1" t="str">
        <f>IFERROR(__xludf.DUMMYFUNCTION("""COMPUTED_VALUE"""),"139536;-;INF174V01069;Mahindra Manulife Liquid Fund - Direct Plan - Weekly IDCW;1003.5388;27-Aug-2023")</f>
        <v>139536;-;INF174V01069;Mahindra Manulife Liquid Fund - Direct Plan - Weekly IDCW;1003.5388;27-Aug-2023</v>
      </c>
      <c r="B1859" s="1"/>
    </row>
    <row r="1860">
      <c r="A1860" s="1" t="str">
        <f>IFERROR(__xludf.DUMMYFUNCTION("""COMPUTED_VALUE"""),"139538;INF174V01044;-;Mahindra Manulife Liquid Fund - Direct Plan -Growth;1506.5323;27-Aug-2023")</f>
        <v>139538;INF174V01044;-;Mahindra Manulife Liquid Fund - Direct Plan -Growth;1506.5323;27-Aug-2023</v>
      </c>
      <c r="B1860" s="1"/>
    </row>
    <row r="1861">
      <c r="A1861" s="1" t="str">
        <f>IFERROR(__xludf.DUMMYFUNCTION("""COMPUTED_VALUE"""),"139534;-;INF174V01028;Mahindra Manulife Liquid Fund - Regular Plan - Daily IDCW;1000.4699;27-Aug-2023")</f>
        <v>139534;-;INF174V01028;Mahindra Manulife Liquid Fund - Regular Plan - Daily IDCW;1000.4699;27-Aug-2023</v>
      </c>
      <c r="B1861" s="1"/>
    </row>
    <row r="1862">
      <c r="A1862" s="1" t="str">
        <f>IFERROR(__xludf.DUMMYFUNCTION("""COMPUTED_VALUE"""),"139537;INF174V01010;-;Mahindra Manulife Liquid Fund - Regular Plan - Growth;1493.6086;27-Aug-2023")</f>
        <v>139537;INF174V01010;-;Mahindra Manulife Liquid Fund - Regular Plan - Growth;1493.6086;27-Aug-2023</v>
      </c>
      <c r="B1862" s="1"/>
    </row>
    <row r="1863">
      <c r="A1863" s="1" t="str">
        <f>IFERROR(__xludf.DUMMYFUNCTION("""COMPUTED_VALUE"""),"139541;-;INF174V01036;Mahindra Manulife Liquid Fund - Regular Plan - Weekly IDCW;1009.9577;27-Aug-2023")</f>
        <v>139541;-;INF174V01036;Mahindra Manulife Liquid Fund - Regular Plan - Weekly IDCW;1009.9577;27-Aug-2023</v>
      </c>
      <c r="B1863" s="1"/>
    </row>
    <row r="1864">
      <c r="A1864" s="1" t="str">
        <f>IFERROR(__xludf.DUMMYFUNCTION("""COMPUTED_VALUE"""),"139540;-;-;Mahindra Manulife Liquid Fund - Unclaimed Redemption / IDCW Beyond 3 years;1000.0000;30-Nov-2021")</f>
        <v>139540;-;-;Mahindra Manulife Liquid Fund - Unclaimed Redemption / IDCW Beyond 3 years;1000.0000;30-Nov-2021</v>
      </c>
      <c r="B1864" s="1"/>
    </row>
    <row r="1865">
      <c r="A1865" s="1" t="str">
        <f>IFERROR(__xludf.DUMMYFUNCTION("""COMPUTED_VALUE"""),"139539;-;-;Mahindra Manulife Liquid Fund - Unclaimed Redemption / IDCW Upto three years;1218.6343;30-Nov-2021")</f>
        <v>139539;-;-;Mahindra Manulife Liquid Fund - Unclaimed Redemption / IDCW Upto three years;1218.6343;30-Nov-2021</v>
      </c>
      <c r="B1865" s="1"/>
    </row>
    <row r="1866">
      <c r="A1866" s="1"/>
      <c r="B1866" s="1"/>
    </row>
    <row r="1867">
      <c r="A1867" s="1" t="str">
        <f>IFERROR(__xludf.DUMMYFUNCTION("""COMPUTED_VALUE"""),"Mirae Asset Mutual Fund")</f>
        <v>Mirae Asset Mutual Fund</v>
      </c>
      <c r="B1867" s="1"/>
    </row>
    <row r="1868">
      <c r="A1868" s="1"/>
      <c r="B1868" s="1"/>
    </row>
    <row r="1869">
      <c r="A1869" s="1" t="str">
        <f>IFERROR(__xludf.DUMMYFUNCTION("""COMPUTED_VALUE"""),"118859;INF769K01CM1;-;Mirae Asset Cash Management Fund - Direct Plan - Growth;2443.0229;25-Aug-2023")</f>
        <v>118859;INF769K01CM1;-;Mirae Asset Cash Management Fund - Direct Plan - Growth;2443.0229;25-Aug-2023</v>
      </c>
      <c r="B1869" s="1"/>
    </row>
    <row r="1870">
      <c r="A1870" s="1" t="str">
        <f>IFERROR(__xludf.DUMMYFUNCTION("""COMPUTED_VALUE"""),"111646;INF769K01788;-;Mirae Asset Cash Management Fund - Growth;2406.2138;25-Aug-2023")</f>
        <v>111646;INF769K01788;-;Mirae Asset Cash Management Fund - Growth;2406.2138;25-Aug-2023</v>
      </c>
      <c r="B1870" s="1"/>
    </row>
    <row r="1871">
      <c r="A1871" s="1" t="str">
        <f>IFERROR(__xludf.DUMMYFUNCTION("""COMPUTED_VALUE"""),"118861;-;INF769K01CO7;Mirae Asset Cash Management Fund Direct  Daily IDCW;1075.8332;25-Aug-2023")</f>
        <v>118861;-;INF769K01CO7;Mirae Asset Cash Management Fund Direct  Daily IDCW;1075.8332;25-Aug-2023</v>
      </c>
      <c r="B1871" s="1"/>
    </row>
    <row r="1872">
      <c r="A1872" s="1" t="str">
        <f>IFERROR(__xludf.DUMMYFUNCTION("""COMPUTED_VALUE"""),"118860;INF769K01CN9;INF769K01CQ2;Mirae Asset Cash Management Fund Direct Monthly IDCW;1134.8739;25-Aug-2023")</f>
        <v>118860;INF769K01CN9;INF769K01CQ2;Mirae Asset Cash Management Fund Direct Monthly IDCW;1134.8739;25-Aug-2023</v>
      </c>
      <c r="B1872" s="1"/>
    </row>
    <row r="1873">
      <c r="A1873" s="1" t="str">
        <f>IFERROR(__xludf.DUMMYFUNCTION("""COMPUTED_VALUE"""),"118862;-;INF769K01CP4;Mirae Asset Cash Management Fund Direct Weekly IDCW;1216.6823;25-Aug-2023")</f>
        <v>118862;-;INF769K01CP4;Mirae Asset Cash Management Fund Direct Weekly IDCW;1216.6823;25-Aug-2023</v>
      </c>
      <c r="B1873" s="1"/>
    </row>
    <row r="1874">
      <c r="A1874" s="1" t="str">
        <f>IFERROR(__xludf.DUMMYFUNCTION("""COMPUTED_VALUE"""),"111645;INF769K01838;INF769K01820;Mirae Asset Cash Management Fund Regular Monthly IDCW;1152.4668;25-Aug-2023")</f>
        <v>111645;INF769K01838;INF769K01820;Mirae Asset Cash Management Fund Regular Monthly IDCW;1152.4668;25-Aug-2023</v>
      </c>
      <c r="B1874" s="1"/>
    </row>
    <row r="1875">
      <c r="A1875" s="1" t="str">
        <f>IFERROR(__xludf.DUMMYFUNCTION("""COMPUTED_VALUE"""),"111644;-;INF769K01812;Mirae Asset Cash Management Fund Regular Weekly IDCW;1152.9973;25-Aug-2023")</f>
        <v>111644;-;INF769K01812;Mirae Asset Cash Management Fund Regular Weekly IDCW;1152.9973;25-Aug-2023</v>
      </c>
      <c r="B1875" s="1"/>
    </row>
    <row r="1876">
      <c r="A1876" s="1" t="str">
        <f>IFERROR(__xludf.DUMMYFUNCTION("""COMPUTED_VALUE"""),"111647;-;INF769K01804;Mirae Asset Cash Management Fund RegularDaily IDCW ;1066.4347;25-Aug-2023")</f>
        <v>111647;-;INF769K01804;Mirae Asset Cash Management Fund RegularDaily IDCW ;1066.4347;25-Aug-2023</v>
      </c>
      <c r="B1876" s="1"/>
    </row>
    <row r="1877">
      <c r="A1877" s="1"/>
      <c r="B1877" s="1"/>
    </row>
    <row r="1878">
      <c r="A1878" s="1" t="str">
        <f>IFERROR(__xludf.DUMMYFUNCTION("""COMPUTED_VALUE"""),"Motilal Oswal Mutual Fund")</f>
        <v>Motilal Oswal Mutual Fund</v>
      </c>
      <c r="B1878" s="1"/>
    </row>
    <row r="1879">
      <c r="A1879" s="1"/>
      <c r="B1879" s="1"/>
    </row>
    <row r="1880">
      <c r="A1880" s="1" t="str">
        <f>IFERROR(__xludf.DUMMYFUNCTION("""COMPUTED_VALUE"""),"145834;INF247L01734;-;Motilal Oswal Liquid Fund - Direct Growth;12.3177;27-Aug-2023")</f>
        <v>145834;INF247L01734;-;Motilal Oswal Liquid Fund - Direct Growth;12.3177;27-Aug-2023</v>
      </c>
      <c r="B1880" s="1"/>
    </row>
    <row r="1881">
      <c r="A1881" s="1" t="str">
        <f>IFERROR(__xludf.DUMMYFUNCTION("""COMPUTED_VALUE"""),"145946;INF247L01726;-;Motilal Oswal Liquid Fund - Regular Growth;12.2313;27-Aug-2023")</f>
        <v>145946;INF247L01726;-;Motilal Oswal Liquid Fund - Regular Growth;12.2313;27-Aug-2023</v>
      </c>
      <c r="B1881" s="1"/>
    </row>
    <row r="1882">
      <c r="A1882" s="1" t="str">
        <f>IFERROR(__xludf.DUMMYFUNCTION("""COMPUTED_VALUE"""),"147442;-;-;Motilal Oswal Liquid Fund - Unclaimed Dividend - Greater than 3 years;10.0000;27-Aug-2023")</f>
        <v>147442;-;-;Motilal Oswal Liquid Fund - Unclaimed Dividend - Greater than 3 years;10.0000;27-Aug-2023</v>
      </c>
      <c r="B1882" s="1"/>
    </row>
    <row r="1883">
      <c r="A1883" s="1" t="str">
        <f>IFERROR(__xludf.DUMMYFUNCTION("""COMPUTED_VALUE"""),"147441;-;-;Motilal Oswal Liquid Fund - Unclaimed Dividend- Upto 3 years;11.9707;27-Aug-2023")</f>
        <v>147441;-;-;Motilal Oswal Liquid Fund - Unclaimed Dividend- Upto 3 years;11.9707;27-Aug-2023</v>
      </c>
      <c r="B1883" s="1"/>
    </row>
    <row r="1884">
      <c r="A1884" s="1" t="str">
        <f>IFERROR(__xludf.DUMMYFUNCTION("""COMPUTED_VALUE"""),"147443;-;-;Motilal Oswal Liquid Fund - Unclaimed Redemption - Greater than 3 years;10.0000;27-Aug-2023")</f>
        <v>147443;-;-;Motilal Oswal Liquid Fund - Unclaimed Redemption - Greater than 3 years;10.0000;27-Aug-2023</v>
      </c>
      <c r="B1884" s="1"/>
    </row>
    <row r="1885">
      <c r="A1885" s="1" t="str">
        <f>IFERROR(__xludf.DUMMYFUNCTION("""COMPUTED_VALUE"""),"147444;-;-;Motilal Oswal Liquid Fund - Unclaimed Redemption - Upto 3 years;11.7505;27-Aug-2023")</f>
        <v>147444;-;-;Motilal Oswal Liquid Fund - Unclaimed Redemption - Upto 3 years;11.7505;27-Aug-2023</v>
      </c>
      <c r="B1885" s="1"/>
    </row>
    <row r="1886">
      <c r="A1886" s="1" t="str">
        <f>IFERROR(__xludf.DUMMYFUNCTION("""COMPUTED_VALUE"""),"146218;INF247L01791;INF247L01783;Motilal Oswal Liquid Fund Direct - IDCW  Quarterly Payout/Reinvestment;10.1051;27-Aug-2023")</f>
        <v>146218;INF247L01791;INF247L01783;Motilal Oswal Liquid Fund Direct - IDCW  Quarterly Payout/Reinvestment;10.1051;27-Aug-2023</v>
      </c>
      <c r="B1886" s="1"/>
    </row>
    <row r="1887">
      <c r="A1887" s="1" t="str">
        <f>IFERROR(__xludf.DUMMYFUNCTION("""COMPUTED_VALUE"""),"146226;-;INF247L01759;Motilal Oswal Liquid Fund Direct - IDCW Fortnightly Reinvestment;10.0079;27-Aug-2023")</f>
        <v>146226;-;INF247L01759;Motilal Oswal Liquid Fund Direct - IDCW Fortnightly Reinvestment;10.0079;27-Aug-2023</v>
      </c>
      <c r="B1887" s="1"/>
    </row>
    <row r="1888">
      <c r="A1888" s="1" t="str">
        <f>IFERROR(__xludf.DUMMYFUNCTION("""COMPUTED_VALUE"""),"146223;INF247L01775;INF247L01767;Motilal Oswal Liquid Fund Direct - IDCW Monthly Payout/Reinvestment;10.0336;27-Aug-2023")</f>
        <v>146223;INF247L01775;INF247L01767;Motilal Oswal Liquid Fund Direct - IDCW Monthly Payout/Reinvestment;10.0336;27-Aug-2023</v>
      </c>
      <c r="B1888" s="1"/>
    </row>
    <row r="1889">
      <c r="A1889" s="1" t="str">
        <f>IFERROR(__xludf.DUMMYFUNCTION("""COMPUTED_VALUE"""),"146228;-;INF247L01742;Motilal Oswal Liquid Fund Direct - IDCW Reinvestment;10.0077;27-Aug-2023")</f>
        <v>146228;-;INF247L01742;Motilal Oswal Liquid Fund Direct - IDCW Reinvestment;10.0077;27-Aug-2023</v>
      </c>
      <c r="B1889" s="1"/>
    </row>
    <row r="1890">
      <c r="A1890" s="1" t="str">
        <f>IFERROR(__xludf.DUMMYFUNCTION("""COMPUTED_VALUE"""),"146229;-;INF247L01809;Motilal Oswal Liquid Fund Direct - IDCW Weekly Reinvestment;10.0094;27-Aug-2023")</f>
        <v>146229;-;INF247L01809;Motilal Oswal Liquid Fund Direct - IDCW Weekly Reinvestment;10.0094;27-Aug-2023</v>
      </c>
      <c r="B1890" s="1"/>
    </row>
    <row r="1891">
      <c r="A1891" s="1" t="str">
        <f>IFERROR(__xludf.DUMMYFUNCTION("""COMPUTED_VALUE"""),"146227;-;INF247L01817;Motilal Oswal Liquid Fund Regular - IDCW Daily Reinvestment;10.0055;27-Aug-2023")</f>
        <v>146227;-;INF247L01817;Motilal Oswal Liquid Fund Regular - IDCW Daily Reinvestment;10.0055;27-Aug-2023</v>
      </c>
      <c r="B1891" s="1"/>
    </row>
    <row r="1892">
      <c r="A1892" s="1" t="str">
        <f>IFERROR(__xludf.DUMMYFUNCTION("""COMPUTED_VALUE"""),"146230;-;INF247L01825;Motilal Oswal Liquid Fund Regular - IDCW Fortnightly Reinvestment;10.0077;27-Aug-2023")</f>
        <v>146230;-;INF247L01825;Motilal Oswal Liquid Fund Regular - IDCW Fortnightly Reinvestment;10.0077;27-Aug-2023</v>
      </c>
      <c r="B1892" s="1"/>
    </row>
    <row r="1893">
      <c r="A1893" s="1" t="str">
        <f>IFERROR(__xludf.DUMMYFUNCTION("""COMPUTED_VALUE"""),"146220;INF247L01841;INF247L01833;Motilal Oswal Liquid Fund Regular - IDCW Monthly Payout/Reinvestment;10.0335;27-Aug-2023")</f>
        <v>146220;INF247L01841;INF247L01833;Motilal Oswal Liquid Fund Regular - IDCW Monthly Payout/Reinvestment;10.0335;27-Aug-2023</v>
      </c>
      <c r="B1893" s="1"/>
    </row>
    <row r="1894">
      <c r="A1894" s="1" t="str">
        <f>IFERROR(__xludf.DUMMYFUNCTION("""COMPUTED_VALUE"""),"146222;INF247L01866;INF247L01858;Motilal Oswal Liquid Fund Regular - IDCW Quarterly Payout/Reinvestment;10.1032;27-Aug-2023")</f>
        <v>146222;INF247L01866;INF247L01858;Motilal Oswal Liquid Fund Regular - IDCW Quarterly Payout/Reinvestment;10.1032;27-Aug-2023</v>
      </c>
      <c r="B1894" s="1"/>
    </row>
    <row r="1895">
      <c r="A1895" s="1" t="str">
        <f>IFERROR(__xludf.DUMMYFUNCTION("""COMPUTED_VALUE"""),"146224;-;INF247L01874;Motilal Oswal Liquid Fund Regular - IDCW Weekly Reinvestment;10.0165;27-Aug-2023")</f>
        <v>146224;-;INF247L01874;Motilal Oswal Liquid Fund Regular - IDCW Weekly Reinvestment;10.0165;27-Aug-2023</v>
      </c>
      <c r="B1895" s="1"/>
    </row>
    <row r="1896">
      <c r="A1896" s="1"/>
      <c r="B1896" s="1"/>
    </row>
    <row r="1897">
      <c r="A1897" s="1" t="str">
        <f>IFERROR(__xludf.DUMMYFUNCTION("""COMPUTED_VALUE"""),"Navi Mutual Fund")</f>
        <v>Navi Mutual Fund</v>
      </c>
      <c r="B1897" s="1"/>
    </row>
    <row r="1898">
      <c r="A1898" s="1"/>
      <c r="B1898" s="1"/>
    </row>
    <row r="1899">
      <c r="A1899" s="1" t="str">
        <f>IFERROR(__xludf.DUMMYFUNCTION("""COMPUTED_VALUE"""),"119163;-;INF959L01GK1;Navi Liquid Fund - Direct Plan Daily IDCW - ReInvestment;10.0129;27-Aug-2023")</f>
        <v>119163;-;INF959L01GK1;Navi Liquid Fund - Direct Plan Daily IDCW - ReInvestment;10.0129;27-Aug-2023</v>
      </c>
      <c r="B1899" s="1"/>
    </row>
    <row r="1900">
      <c r="A1900" s="1" t="str">
        <f>IFERROR(__xludf.DUMMYFUNCTION("""COMPUTED_VALUE"""),"119161;INF959L01GG9;INF959L01GH7;Navi Liquid Fund - Direct Plan Monthly IDCW - Payout;10.0162;27-Aug-2023")</f>
        <v>119161;INF959L01GG9;INF959L01GH7;Navi Liquid Fund - Direct Plan Monthly IDCW - Payout;10.0162;27-Aug-2023</v>
      </c>
      <c r="B1900" s="1"/>
    </row>
    <row r="1901">
      <c r="A1901" s="1" t="str">
        <f>IFERROR(__xludf.DUMMYFUNCTION("""COMPUTED_VALUE"""),"119162;INF959L01GI5;INF959L01GJ3;Navi Liquid Fund - Direct Plan Weekly IDCW - Payout;10.015;27-Aug-2023")</f>
        <v>119162;INF959L01GI5;INF959L01GJ3;Navi Liquid Fund - Direct Plan Weekly IDCW - Payout;10.015;27-Aug-2023</v>
      </c>
      <c r="B1901" s="1"/>
    </row>
    <row r="1902">
      <c r="A1902" s="1" t="str">
        <f>IFERROR(__xludf.DUMMYFUNCTION("""COMPUTED_VALUE"""),"112645;-;INF959L01GM7;Navi Liquid Fund - Regular Plan Daily IDCW;10.0129;27-Aug-2023")</f>
        <v>112645;-;INF959L01GM7;Navi Liquid Fund - Regular Plan Daily IDCW;10.0129;27-Aug-2023</v>
      </c>
      <c r="B1902" s="1"/>
    </row>
    <row r="1903">
      <c r="A1903" s="1" t="str">
        <f>IFERROR(__xludf.DUMMYFUNCTION("""COMPUTED_VALUE"""),"112647;INF959L01GN5;INF959L01GO3;Navi Liquid Fund - Regular Plan Monthly IDCW;10.0161;27-Aug-2023")</f>
        <v>112647;INF959L01GN5;INF959L01GO3;Navi Liquid Fund - Regular Plan Monthly IDCW;10.0161;27-Aug-2023</v>
      </c>
      <c r="B1903" s="1"/>
    </row>
    <row r="1904">
      <c r="A1904" s="1" t="str">
        <f>IFERROR(__xludf.DUMMYFUNCTION("""COMPUTED_VALUE"""),"112646;INF959L01GP0;INF959L01GQ8;Navi Liquid Fund - Regular Plan Weekly IDCW;10.0153;27-Aug-2023")</f>
        <v>112646;INF959L01GP0;INF959L01GQ8;Navi Liquid Fund - Regular Plan Weekly IDCW;10.0153;27-Aug-2023</v>
      </c>
      <c r="B1904" s="1"/>
    </row>
    <row r="1905">
      <c r="A1905" s="1" t="str">
        <f>IFERROR(__xludf.DUMMYFUNCTION("""COMPUTED_VALUE"""),"119164;INF959L01GF1;-;Navi Liquid Fund-Direct Plan-Growth Option;25.3414;27-Aug-2023")</f>
        <v>119164;INF959L01GF1;-;Navi Liquid Fund-Direct Plan-Growth Option;25.3414;27-Aug-2023</v>
      </c>
      <c r="B1905" s="1"/>
    </row>
    <row r="1906">
      <c r="A1906" s="1" t="str">
        <f>IFERROR(__xludf.DUMMYFUNCTION("""COMPUTED_VALUE"""),"112636;INF959L01GL9;-;Navi Liquid Fund-Regular Plan-Growth Option;25.141;27-Aug-2023")</f>
        <v>112636;INF959L01GL9;-;Navi Liquid Fund-Regular Plan-Growth Option;25.141;27-Aug-2023</v>
      </c>
      <c r="B1906" s="1"/>
    </row>
    <row r="1907">
      <c r="A1907" s="1" t="str">
        <f>IFERROR(__xludf.DUMMYFUNCTION("""COMPUTED_VALUE"""),"140437;INF959L01CO2;-;Navi Liquid Fund-Unclaimed Redemption and Dividend Plan greater than 3 years;10;27-Aug-2023")</f>
        <v>140437;INF959L01CO2;-;Navi Liquid Fund-Unclaimed Redemption and Dividend Plan greater than 3 years;10;27-Aug-2023</v>
      </c>
      <c r="B1907" s="1"/>
    </row>
    <row r="1908">
      <c r="A1908" s="1" t="str">
        <f>IFERROR(__xludf.DUMMYFUNCTION("""COMPUTED_VALUE"""),"139386;INF959L01CN4;-;Navi Liquid Fund-Unclaimed Redemption and Dividend Plan less than 3 years;25.1755;27-Aug-2023")</f>
        <v>139386;INF959L01CN4;-;Navi Liquid Fund-Unclaimed Redemption and Dividend Plan less than 3 years;25.1755;27-Aug-2023</v>
      </c>
      <c r="B1908" s="1"/>
    </row>
    <row r="1909">
      <c r="A1909" s="1"/>
      <c r="B1909" s="1"/>
    </row>
    <row r="1910">
      <c r="A1910" s="1" t="str">
        <f>IFERROR(__xludf.DUMMYFUNCTION("""COMPUTED_VALUE"""),"Nippon India Mutual Fund")</f>
        <v>Nippon India Mutual Fund</v>
      </c>
      <c r="B1910" s="1"/>
    </row>
    <row r="1911">
      <c r="A1911" s="1"/>
      <c r="B1911" s="1"/>
    </row>
    <row r="1912">
      <c r="A1912" s="1" t="str">
        <f>IFERROR(__xludf.DUMMYFUNCTION("""COMPUTED_VALUE"""),"100852;-;INF204K01UM1;NIPPON INDIA LIQUID FUND - DAILY IDCW OPTION;1529.0198;26-Aug-2023")</f>
        <v>100852;-;INF204K01UM1;NIPPON INDIA LIQUID FUND - DAILY IDCW OPTION;1529.0198;26-Aug-2023</v>
      </c>
      <c r="B1912" s="1"/>
    </row>
    <row r="1913">
      <c r="A1913" s="1" t="str">
        <f>IFERROR(__xludf.DUMMYFUNCTION("""COMPUTED_VALUE"""),"118695;-;INF204K01ZG2;NIPPON INDIA LIQUID FUND - DIRECT Plan - DAILY IDCW OPTION;1529.0256;26-Aug-2023")</f>
        <v>118695;-;INF204K01ZG2;NIPPON INDIA LIQUID FUND - DIRECT Plan - DAILY IDCW OPTION;1529.0256;26-Aug-2023</v>
      </c>
      <c r="B1913" s="1"/>
    </row>
    <row r="1914">
      <c r="A1914" s="1" t="str">
        <f>IFERROR(__xludf.DUMMYFUNCTION("""COMPUTED_VALUE"""),"118696;INF204K01ZI8;INF204K01ZJ6;NIPPON INDIA LIQUID FUND - DIRECT Plan - MONTHLY IDCW OPTION;1587.4250;26-Aug-2023")</f>
        <v>118696;INF204K01ZI8;INF204K01ZJ6;NIPPON INDIA LIQUID FUND - DIRECT Plan - MONTHLY IDCW OPTION;1587.4250;26-Aug-2023</v>
      </c>
      <c r="B1914" s="1"/>
    </row>
    <row r="1915">
      <c r="A1915" s="1" t="str">
        <f>IFERROR(__xludf.DUMMYFUNCTION("""COMPUTED_VALUE"""),"118698;INF204K01ZK4;INF204K01ZL2;NIPPON INDIA LIQUID FUND - DIRECT Plan - QUARTERLY IDCW OPTION;1017.5593;26-Aug-2023")</f>
        <v>118698;INF204K01ZK4;INF204K01ZL2;NIPPON INDIA LIQUID FUND - DIRECT Plan - QUARTERLY IDCW OPTION;1017.5593;26-Aug-2023</v>
      </c>
      <c r="B1915" s="1"/>
    </row>
    <row r="1916">
      <c r="A1916" s="1" t="str">
        <f>IFERROR(__xludf.DUMMYFUNCTION("""COMPUTED_VALUE"""),"118700;-;INF204K01ZM0;NIPPON INDIA LIQUID FUND - DIRECT Plan - WEEKLY IDCW OPTION;1530.5865;26-Aug-2023")</f>
        <v>118700;-;INF204K01ZM0;NIPPON INDIA LIQUID FUND - DIRECT Plan - WEEKLY IDCW OPTION;1530.5865;26-Aug-2023</v>
      </c>
      <c r="B1916" s="1"/>
    </row>
    <row r="1917">
      <c r="A1917" s="1" t="str">
        <f>IFERROR(__xludf.DUMMYFUNCTION("""COMPUTED_VALUE"""),"118701;INF204K01ZH0;-;Nippon India Liquid Fund - Direct Plan Growth Plan - Growth Option;5661.4870;26-Aug-2023")</f>
        <v>118701;INF204K01ZH0;-;Nippon India Liquid Fund - Direct Plan Growth Plan - Growth Option;5661.4870;26-Aug-2023</v>
      </c>
      <c r="B1917" s="1"/>
    </row>
    <row r="1918">
      <c r="A1918" s="1" t="str">
        <f>IFERROR(__xludf.DUMMYFUNCTION("""COMPUTED_VALUE"""),"100855;INF204K01UO7;INF204K01UP4;NIPPON INDIA LIQUID FUND - MONTHLY IDCW OPTION;1584.1158;26-Aug-2023")</f>
        <v>100855;INF204K01UO7;INF204K01UP4;NIPPON INDIA LIQUID FUND - MONTHLY IDCW OPTION;1584.1158;26-Aug-2023</v>
      </c>
      <c r="B1918" s="1"/>
    </row>
    <row r="1919">
      <c r="A1919" s="1" t="str">
        <f>IFERROR(__xludf.DUMMYFUNCTION("""COMPUTED_VALUE"""),"112340;INF204K01UQ2;INF204K01UR0;NIPPON INDIA LIQUID FUND - QUARTERLY IDCW OPTION;1015.5419;26-Aug-2023")</f>
        <v>112340;INF204K01UQ2;INF204K01UR0;NIPPON INDIA LIQUID FUND - QUARTERLY IDCW OPTION;1015.5419;26-Aug-2023</v>
      </c>
      <c r="B1919" s="1"/>
    </row>
    <row r="1920">
      <c r="A1920" s="1" t="str">
        <f>IFERROR(__xludf.DUMMYFUNCTION("""COMPUTED_VALUE"""),"100837;INF204K01UL3;-;Nippon India Liquid Fund - Retail Option - Growth Plan;5014.6555;26-Aug-2023")</f>
        <v>100837;INF204K01UL3;-;Nippon India Liquid Fund - Retail Option - Growth Plan;5014.6555;26-Aug-2023</v>
      </c>
      <c r="B1920" s="1"/>
    </row>
    <row r="1921">
      <c r="A1921" s="1" t="str">
        <f>IFERROR(__xludf.DUMMYFUNCTION("""COMPUTED_VALUE"""),"100842;-;INF204K01UJ7;NIPPON INDIA LIQUID FUND - RETAIL Plan - DAILY IDCW OPTION;1524.5339;26-Aug-2023")</f>
        <v>100842;-;INF204K01UJ7;NIPPON INDIA LIQUID FUND - RETAIL Plan - DAILY IDCW OPTION;1524.5339;26-Aug-2023</v>
      </c>
      <c r="B1921" s="1"/>
    </row>
    <row r="1922">
      <c r="A1922" s="1" t="str">
        <f>IFERROR(__xludf.DUMMYFUNCTION("""COMPUTED_VALUE"""),"100843;INF204K01UT6;INF204K01UU4;NIPPON INDIA LIQUID FUND - RETAIL plan - MONTHLY IDCW OPTION;1326.6792;26-Aug-2023")</f>
        <v>100843;INF204K01UT6;INF204K01UU4;NIPPON INDIA LIQUID FUND - RETAIL plan - MONTHLY IDCW OPTION;1326.6792;26-Aug-2023</v>
      </c>
      <c r="B1922" s="1"/>
    </row>
    <row r="1923">
      <c r="A1923" s="1" t="str">
        <f>IFERROR(__xludf.DUMMYFUNCTION("""COMPUTED_VALUE"""),"100844;INF204K01UV2;INF204K01UW0;NIPPON INDIA LIQUID FUND - RETAIL Plan - QUARTERLY IDCW OPTION;1228.3093;26-Aug-2023")</f>
        <v>100844;INF204K01UV2;INF204K01UW0;NIPPON INDIA LIQUID FUND - RETAIL Plan - QUARTERLY IDCW OPTION;1228.3093;26-Aug-2023</v>
      </c>
      <c r="B1923" s="1"/>
    </row>
    <row r="1924">
      <c r="A1924" s="1" t="str">
        <f>IFERROR(__xludf.DUMMYFUNCTION("""COMPUTED_VALUE"""),"100838;-;INF204K01UK5;NIPPON INDIA LIQUID FUND - RETAIL Plan - WEEKLY IDCW OPTION;1034.3376;26-Aug-2023")</f>
        <v>100838;-;INF204K01UK5;NIPPON INDIA LIQUID FUND - RETAIL Plan - WEEKLY IDCW OPTION;1034.3376;26-Aug-2023</v>
      </c>
      <c r="B1924" s="1"/>
    </row>
    <row r="1925">
      <c r="A1925" s="1" t="str">
        <f>IFERROR(__xludf.DUMMYFUNCTION("""COMPUTED_VALUE"""),"100853;-;INF204K01US8;NIPPON INDIA LIQUID FUND - WEEKLY IDCW OPTION;1530.5800;26-Aug-2023")</f>
        <v>100853;-;INF204K01US8;NIPPON INDIA LIQUID FUND - WEEKLY IDCW OPTION;1530.5800;26-Aug-2023</v>
      </c>
      <c r="B1925" s="1"/>
    </row>
    <row r="1926">
      <c r="A1926" s="1" t="str">
        <f>IFERROR(__xludf.DUMMYFUNCTION("""COMPUTED_VALUE"""),"100851;INF204K01UN9;-;Nippon India Liquid Fund -Growth Plan;5603.0900;26-Aug-2023")</f>
        <v>100851;INF204K01UN9;-;Nippon India Liquid Fund -Growth Plan;5603.0900;26-Aug-2023</v>
      </c>
      <c r="B1926" s="1"/>
    </row>
    <row r="1927">
      <c r="A1927" s="1" t="str">
        <f>IFERROR(__xludf.DUMMYFUNCTION("""COMPUTED_VALUE"""),"100849;-;-;Reliance Liquid Fund-Cash Plan-Daily Dividend Reinvestment Option;1114.1500;20-May-2018")</f>
        <v>100849;-;-;Reliance Liquid Fund-Cash Plan-Daily Dividend Reinvestment Option;1114.1500;20-May-2018</v>
      </c>
      <c r="B1927" s="1"/>
    </row>
    <row r="1928">
      <c r="A1928" s="1" t="str">
        <f>IFERROR(__xludf.DUMMYFUNCTION("""COMPUTED_VALUE"""),"100845;-;-;Reliance Liquid Fund-Cash Plan-Growth Plan;2714.7678;20-May-2018")</f>
        <v>100845;-;-;Reliance Liquid Fund-Cash Plan-Growth Plan;2714.7678;20-May-2018</v>
      </c>
      <c r="B1928" s="1"/>
    </row>
    <row r="1929">
      <c r="A1929" s="1" t="str">
        <f>IFERROR(__xludf.DUMMYFUNCTION("""COMPUTED_VALUE"""),"114251;-;-;Reliance Liquid Fund-Cash Plan-Monthly Dividend Plan;1004.4865;20-May-2018")</f>
        <v>114251;-;-;Reliance Liquid Fund-Cash Plan-Monthly Dividend Plan;1004.4865;20-May-2018</v>
      </c>
      <c r="B1929" s="1"/>
    </row>
    <row r="1930">
      <c r="A1930" s="1" t="str">
        <f>IFERROR(__xludf.DUMMYFUNCTION("""COMPUTED_VALUE"""),"114252;-;-;Reliance Liquid Fund-Cash Plan-Quarterly Dividend Plan;1013.8310;20-May-2018")</f>
        <v>114252;-;-;Reliance Liquid Fund-Cash Plan-Quarterly Dividend Plan;1013.8310;20-May-2018</v>
      </c>
      <c r="B1930" s="1"/>
    </row>
    <row r="1931">
      <c r="A1931" s="1" t="str">
        <f>IFERROR(__xludf.DUMMYFUNCTION("""COMPUTED_VALUE"""),"100848;-;-;Reliance Liquid Fund-Cash Plan-Weekly Dividend Reinvestment Option;1092.0644;20-May-2018")</f>
        <v>100848;-;-;Reliance Liquid Fund-Cash Plan-Weekly Dividend Reinvestment Option;1092.0644;20-May-2018</v>
      </c>
      <c r="B1931" s="1"/>
    </row>
    <row r="1932">
      <c r="A1932" s="1"/>
      <c r="B1932" s="1"/>
    </row>
    <row r="1933">
      <c r="A1933" s="1" t="str">
        <f>IFERROR(__xludf.DUMMYFUNCTION("""COMPUTED_VALUE"""),"PGIM India Mutual Fund")</f>
        <v>PGIM India Mutual Fund</v>
      </c>
      <c r="B1933" s="1"/>
    </row>
    <row r="1934">
      <c r="A1934" s="1"/>
      <c r="B1934" s="1"/>
    </row>
    <row r="1935">
      <c r="A1935" s="1" t="str">
        <f>IFERROR(__xludf.DUMMYFUNCTION("""COMPUTED_VALUE"""),"138306;INF223J01WV0;-;PGIM India INSTA CASH FUND - Annual Bonus Option;144.9174;08-May-2019")</f>
        <v>138306;INF223J01WV0;-;PGIM India INSTA CASH FUND - Annual Bonus Option;144.9174;08-May-2019</v>
      </c>
      <c r="B1935" s="1"/>
    </row>
    <row r="1936">
      <c r="A1936" s="1" t="str">
        <f>IFERROR(__xludf.DUMMYFUNCTION("""COMPUTED_VALUE"""),"138305;INF223J01WW8;-;PGIM India Insta Cash Fund - Direct Plan -  Annual Bonus Option;148.9974;11-Jun-2019")</f>
        <v>138305;INF223J01WW8;-;PGIM India Insta Cash Fund - Direct Plan -  Annual Bonus Option;148.9974;11-Jun-2019</v>
      </c>
      <c r="B1936" s="1"/>
    </row>
    <row r="1937">
      <c r="A1937" s="1" t="str">
        <f>IFERROR(__xludf.DUMMYFUNCTION("""COMPUTED_VALUE"""),"138302;INF223J01NQ9;-;PGIM India Insta Cash Fund - Direct Plan -  Regular Bonus;138.2962;01-Aug-2016")</f>
        <v>138302;INF223J01NQ9;-;PGIM India Insta Cash Fund - Direct Plan -  Regular Bonus;138.2962;01-Aug-2016</v>
      </c>
      <c r="B1937" s="1"/>
    </row>
    <row r="1938">
      <c r="A1938" s="1" t="str">
        <f>IFERROR(__xludf.DUMMYFUNCTION("""COMPUTED_VALUE"""),"138296;INF223J01NO4;INF223J01NP1;PGIM India Insta Cash Fund - Direct Plan - Annual Dividend;144.7765;28-Jul-2019")</f>
        <v>138296;INF223J01NO4;INF223J01NP1;PGIM India Insta Cash Fund - Direct Plan - Annual Dividend;144.7765;28-Jul-2019</v>
      </c>
      <c r="B1938" s="1"/>
    </row>
    <row r="1939">
      <c r="A1939" s="1" t="str">
        <f>IFERROR(__xludf.DUMMYFUNCTION("""COMPUTED_VALUE"""),"138300;INF223J01NX5;-;PGIM India Insta Cash Fund - Direct Plan - Quarterly Dividend;145.6889;28-Jul-2019")</f>
        <v>138300;INF223J01NX5;-;PGIM India Insta Cash Fund - Direct Plan - Quarterly Dividend;145.6889;28-Jul-2019</v>
      </c>
      <c r="B1939" s="1"/>
    </row>
    <row r="1940">
      <c r="A1940" s="1" t="str">
        <f>IFERROR(__xludf.DUMMYFUNCTION("""COMPUTED_VALUE"""),"138303;INF223J01VE8;-;PGIM India Insta Cash Fund - Direct Plan -Monthly Bonus;132.9596;01-Aug-2016")</f>
        <v>138303;INF223J01VE8;-;PGIM India Insta Cash Fund - Direct Plan -Monthly Bonus;132.9596;01-Aug-2016</v>
      </c>
      <c r="B1940" s="1"/>
    </row>
    <row r="1941">
      <c r="A1941" s="1" t="str">
        <f>IFERROR(__xludf.DUMMYFUNCTION("""COMPUTED_VALUE"""),"138294;INF223J01IN6;INF223J01IO4;PGIM India Insta Cash Fund - Quarterly Dividend Option;143.9385;28-Jul-2019")</f>
        <v>138294;INF223J01IN6;INF223J01IO4;PGIM India Insta Cash Fund - Quarterly Dividend Option;143.9385;28-Jul-2019</v>
      </c>
      <c r="B1941" s="1"/>
    </row>
    <row r="1942">
      <c r="A1942" s="1" t="str">
        <f>IFERROR(__xludf.DUMMYFUNCTION("""COMPUTED_VALUE"""),"138284;INF223J01BH3;-;PGIM India INSTA CASH FUND - Regular Plan BONUS OPTION;13.7989;11-Sep-2018")</f>
        <v>138284;INF223J01BH3;-;PGIM India INSTA CASH FUND - Regular Plan BONUS OPTION;13.7989;11-Sep-2018</v>
      </c>
      <c r="B1942" s="1"/>
    </row>
    <row r="1943">
      <c r="A1943" s="1" t="str">
        <f>IFERROR(__xludf.DUMMYFUNCTION("""COMPUTED_VALUE"""),"138292;INF223J01IP1;INF223J01IQ9;PGIM India Insta Cash Fund- Annual Dividend Option;144.7569;28-Jul-2019")</f>
        <v>138292;INF223J01IP1;INF223J01IQ9;PGIM India Insta Cash Fund- Annual Dividend Option;144.7569;28-Jul-2019</v>
      </c>
      <c r="B1943" s="1"/>
    </row>
    <row r="1944">
      <c r="A1944" s="1" t="str">
        <f>IFERROR(__xludf.DUMMYFUNCTION("""COMPUTED_VALUE"""),"138278;INF223J01BN1;-;PGIM India Insta Cash Fund-DIVIDEND-WEEKLY DIVIDEND;10.3577;28-Jul-2019")</f>
        <v>138278;INF223J01BN1;-;PGIM India Insta Cash Fund-DIVIDEND-WEEKLY DIVIDEND;10.3577;28-Jul-2019</v>
      </c>
      <c r="B1944" s="1"/>
    </row>
    <row r="1945">
      <c r="A1945" s="1" t="str">
        <f>IFERROR(__xludf.DUMMYFUNCTION("""COMPUTED_VALUE"""),"138283;INF223J01BA8;-;PGIM India Insta Cash Fund-Institutional Plan-Daily Dividend;10.0516;28-Jul-2019")</f>
        <v>138283;INF223J01BA8;-;PGIM India Insta Cash Fund-Institutional Plan-Daily Dividend;10.0516;28-Jul-2019</v>
      </c>
      <c r="B1945" s="1"/>
    </row>
    <row r="1946">
      <c r="A1946" s="1" t="str">
        <f>IFERROR(__xludf.DUMMYFUNCTION("""COMPUTED_VALUE"""),"138282;INF223J01BB6;-;PGIM India Insta Cash Fund-Institutional Plan-Growth;26.2743;28-Jul-2019")</f>
        <v>138282;INF223J01BB6;-;PGIM India Insta Cash Fund-Institutional Plan-Growth;26.2743;28-Jul-2019</v>
      </c>
      <c r="B1946" s="1"/>
    </row>
    <row r="1947">
      <c r="A1947" s="1" t="str">
        <f>IFERROR(__xludf.DUMMYFUNCTION("""COMPUTED_VALUE"""),"138304;INF223J01VD0;-;PGIM India INSTA CASH FUND-Monthly Bonus Option;140.0664;28-Jul-2019")</f>
        <v>138304;INF223J01VD0;-;PGIM India INSTA CASH FUND-Monthly Bonus Option;140.0664;28-Jul-2019</v>
      </c>
      <c r="B1947" s="1"/>
    </row>
    <row r="1948">
      <c r="A1948" s="1" t="str">
        <f>IFERROR(__xludf.DUMMYFUNCTION("""COMPUTED_VALUE"""),"138286;INF223J01BQ4;-;PGIM India Liquid Fund - Bonus Option;186.8975;21-Jan-2022")</f>
        <v>138286;INF223J01BQ4;-;PGIM India Liquid Fund - Bonus Option;186.8975;21-Jan-2022</v>
      </c>
      <c r="B1948" s="1"/>
    </row>
    <row r="1949">
      <c r="A1949" s="1" t="str">
        <f>IFERROR(__xludf.DUMMYFUNCTION("""COMPUTED_VALUE"""),"138285;-;INF223J01BO9;PGIM India Liquid Fund - Daily Dividend;100.304;26-Aug-2023")</f>
        <v>138285;-;INF223J01BO9;PGIM India Liquid Fund - Daily Dividend;100.304;26-Aug-2023</v>
      </c>
      <c r="B1949" s="1"/>
    </row>
    <row r="1950">
      <c r="A1950" s="1" t="str">
        <f>IFERROR(__xludf.DUMMYFUNCTION("""COMPUTED_VALUE"""),"138297;INF223J01NR7;-;PGIM India Liquid Fund - Direct Plan - Daily Dividend;108.57;26-Aug-2023")</f>
        <v>138297;INF223J01NR7;-;PGIM India Liquid Fund - Direct Plan - Daily Dividend;108.57;26-Aug-2023</v>
      </c>
      <c r="B1950" s="1"/>
    </row>
    <row r="1951">
      <c r="A1951" s="1" t="str">
        <f>IFERROR(__xludf.DUMMYFUNCTION("""COMPUTED_VALUE"""),"138299;INF223J01NS5;-;PGIM India Liquid Fund - Direct Plan - Growth;301.7126;26-Aug-2023")</f>
        <v>138299;INF223J01NS5;-;PGIM India Liquid Fund - Direct Plan - Growth;301.7126;26-Aug-2023</v>
      </c>
      <c r="B1951" s="1"/>
    </row>
    <row r="1952">
      <c r="A1952" s="1" t="str">
        <f>IFERROR(__xludf.DUMMYFUNCTION("""COMPUTED_VALUE"""),"138298;INF223J01NT3;INF223J01NU1;PGIM India Liquid Fund - Direct Plan - Monthly Dividend;112.6058;26-Aug-2023")</f>
        <v>138298;INF223J01NT3;INF223J01NU1;PGIM India Liquid Fund - Direct Plan - Monthly Dividend;112.6058;26-Aug-2023</v>
      </c>
      <c r="B1952" s="1"/>
    </row>
    <row r="1953">
      <c r="A1953" s="1" t="str">
        <f>IFERROR(__xludf.DUMMYFUNCTION("""COMPUTED_VALUE"""),"138301;INF223J01NV9;INF223J01NW7;PGIM India Liquid Fund - Direct Plan - Weekly Dividend;100.5233;26-Aug-2023")</f>
        <v>138301;INF223J01NV9;INF223J01NW7;PGIM India Liquid Fund - Direct Plan - Weekly Dividend;100.5233;26-Aug-2023</v>
      </c>
      <c r="B1953" s="1"/>
    </row>
    <row r="1954">
      <c r="A1954" s="1" t="str">
        <f>IFERROR(__xludf.DUMMYFUNCTION("""COMPUTED_VALUE"""),"138288;INF223J01BP6;-;PGIM India Liquid Fund - Growth;298.8425;26-Aug-2023")</f>
        <v>138288;INF223J01BP6;-;PGIM India Liquid Fund - Growth;298.8425;26-Aug-2023</v>
      </c>
      <c r="B1954" s="1"/>
    </row>
    <row r="1955">
      <c r="A1955" s="1" t="str">
        <f>IFERROR(__xludf.DUMMYFUNCTION("""COMPUTED_VALUE"""),"138287;INF223J01BL5;-;PGIM India Liquid Fund - Monthly Dividend;113.1969;26-Aug-2023")</f>
        <v>138287;INF223J01BL5;-;PGIM India Liquid Fund - Monthly Dividend;113.1969;26-Aug-2023</v>
      </c>
      <c r="B1955" s="1"/>
    </row>
    <row r="1956">
      <c r="A1956" s="1" t="str">
        <f>IFERROR(__xludf.DUMMYFUNCTION("""COMPUTED_VALUE"""),"138289;INF223J01BU6;-;PGIM India Liquid Fund - Weekly Dividend;100.5229;26-Aug-2023")</f>
        <v>138289;INF223J01BU6;-;PGIM India Liquid Fund - Weekly Dividend;100.5229;26-Aug-2023</v>
      </c>
      <c r="B1956" s="1"/>
    </row>
    <row r="1957">
      <c r="A1957" s="1" t="str">
        <f>IFERROR(__xludf.DUMMYFUNCTION("""COMPUTED_VALUE"""),"138280;-;INF223J01BI1;PGIM India Liquid Fund-DIVIDEND-Daily Dividend;10.301;28-Jul-2019")</f>
        <v>138280;-;INF223J01BI1;PGIM India Liquid Fund-DIVIDEND-Daily Dividend;10.301;28-Jul-2019</v>
      </c>
      <c r="B1957" s="1"/>
    </row>
    <row r="1958">
      <c r="A1958" s="1" t="str">
        <f>IFERROR(__xludf.DUMMYFUNCTION("""COMPUTED_VALUE"""),"138279;INF223J01BR2;INF223J01BS0;PGIM India Liquid Fund-DIVIDEND-MONTHLY DIVIDEND;10.0577;30-Jul-2018")</f>
        <v>138279;INF223J01BR2;INF223J01BS0;PGIM India Liquid Fund-DIVIDEND-MONTHLY DIVIDEND;10.0577;30-Jul-2018</v>
      </c>
      <c r="B1958" s="1"/>
    </row>
    <row r="1959">
      <c r="A1959" s="1" t="str">
        <f>IFERROR(__xludf.DUMMYFUNCTION("""COMPUTED_VALUE"""),"138281;INF223J01BJ9;-;PGIM India Liquid Fund-Growth-GROWTH;27.706;28-Jul-2019")</f>
        <v>138281;INF223J01BJ9;-;PGIM India Liquid Fund-Growth-GROWTH;27.706;28-Jul-2019</v>
      </c>
      <c r="B1959" s="1"/>
    </row>
    <row r="1960">
      <c r="A1960" s="1"/>
      <c r="B1960" s="1"/>
    </row>
    <row r="1961">
      <c r="A1961" s="1" t="str">
        <f>IFERROR(__xludf.DUMMYFUNCTION("""COMPUTED_VALUE"""),"PPFAS Mutual Fund")</f>
        <v>PPFAS Mutual Fund</v>
      </c>
      <c r="B1961" s="1"/>
    </row>
    <row r="1962">
      <c r="A1962" s="1"/>
      <c r="B1962" s="1"/>
    </row>
    <row r="1963">
      <c r="A1963" s="1" t="str">
        <f>IFERROR(__xludf.DUMMYFUNCTION("""COMPUTED_VALUE"""),"143263;-;INF879O01118;Parag Parikh Liquid Fund- Direct Plan- Daily Reinvestment of IDCW;1000.5405;27-Aug-2023")</f>
        <v>143263;-;INF879O01118;Parag Parikh Liquid Fund- Direct Plan- Daily Reinvestment of IDCW;1000.5405;27-Aug-2023</v>
      </c>
      <c r="B1963" s="1"/>
    </row>
    <row r="1964">
      <c r="A1964" s="1" t="str">
        <f>IFERROR(__xludf.DUMMYFUNCTION("""COMPUTED_VALUE"""),"143269;INF879O01068;-;Parag Parikh Liquid Fund- Direct Plan- Growth;1288.9373;27-Aug-2023")</f>
        <v>143269;INF879O01068;-;Parag Parikh Liquid Fund- Direct Plan- Growth;1288.9373;27-Aug-2023</v>
      </c>
      <c r="B1964" s="1"/>
    </row>
    <row r="1965">
      <c r="A1965" s="1" t="str">
        <f>IFERROR(__xludf.DUMMYFUNCTION("""COMPUTED_VALUE"""),"143262;INF879O01076;INF879O01084;Parag Parikh Liquid Fund- Direct Plan- Monthly IDCW;1007.7471;27-Aug-2023")</f>
        <v>143262;INF879O01076;INF879O01084;Parag Parikh Liquid Fund- Direct Plan- Monthly IDCW;1007.7471;27-Aug-2023</v>
      </c>
      <c r="B1965" s="1"/>
    </row>
    <row r="1966">
      <c r="A1966" s="1" t="str">
        <f>IFERROR(__xludf.DUMMYFUNCTION("""COMPUTED_VALUE"""),"143265;-;INF879O01134;Parag Parikh Liquid Fund- Direct Plan- Weekly Reinvestment of IDCW;1002.0860;27-Aug-2023")</f>
        <v>143265;-;INF879O01134;Parag Parikh Liquid Fund- Direct Plan- Weekly Reinvestment of IDCW;1002.0860;27-Aug-2023</v>
      </c>
      <c r="B1966" s="1"/>
    </row>
    <row r="1967">
      <c r="A1967" s="1" t="str">
        <f>IFERROR(__xludf.DUMMYFUNCTION("""COMPUTED_VALUE"""),"143264;-;INF879O01126;Parag Parikh Liquid Fund- Regular Plan- Daily Reinvestment of IDCW;1000.5404;27-Aug-2023")</f>
        <v>143264;-;INF879O01126;Parag Parikh Liquid Fund- Regular Plan- Daily Reinvestment of IDCW;1000.5404;27-Aug-2023</v>
      </c>
      <c r="B1967" s="1"/>
    </row>
    <row r="1968">
      <c r="A1968" s="1" t="str">
        <f>IFERROR(__xludf.DUMMYFUNCTION("""COMPUTED_VALUE"""),"143260;INF879O01035;-;Parag Parikh Liquid Fund- Regular Plan- Growth;1282.0196;27-Aug-2023")</f>
        <v>143260;INF879O01035;-;Parag Parikh Liquid Fund- Regular Plan- Growth;1282.0196;27-Aug-2023</v>
      </c>
      <c r="B1968" s="1"/>
    </row>
    <row r="1969">
      <c r="A1969" s="1" t="str">
        <f>IFERROR(__xludf.DUMMYFUNCTION("""COMPUTED_VALUE"""),"143261;INF879O01043;INF879O01050;Parag Parikh Liquid Fund- Regular Plan- Monthly IDCW;1007.6718;27-Aug-2023")</f>
        <v>143261;INF879O01043;INF879O01050;Parag Parikh Liquid Fund- Regular Plan- Monthly IDCW;1007.6718;27-Aug-2023</v>
      </c>
      <c r="B1969" s="1"/>
    </row>
    <row r="1970">
      <c r="A1970" s="1" t="str">
        <f>IFERROR(__xludf.DUMMYFUNCTION("""COMPUTED_VALUE"""),"143266;-;INF879O01142;Parag Parikh Liquid Fund- Regular Plan- Weekly Reinvestment of IDCW;1002.0695;27-Aug-2023")</f>
        <v>143266;-;INF879O01142;Parag Parikh Liquid Fund- Regular Plan- Weekly Reinvestment of IDCW;1002.0695;27-Aug-2023</v>
      </c>
      <c r="B1970" s="1"/>
    </row>
    <row r="1971">
      <c r="A1971" s="1"/>
      <c r="B1971" s="1"/>
    </row>
    <row r="1972">
      <c r="A1972" s="1" t="str">
        <f>IFERROR(__xludf.DUMMYFUNCTION("""COMPUTED_VALUE"""),"quant Mutual Fund")</f>
        <v>quant Mutual Fund</v>
      </c>
      <c r="B1972" s="1"/>
    </row>
    <row r="1973">
      <c r="A1973" s="1"/>
      <c r="B1973" s="1"/>
    </row>
    <row r="1974">
      <c r="A1974" s="1" t="str">
        <f>IFERROR(__xludf.DUMMYFUNCTION("""COMPUTED_VALUE"""),"120837;INF966L01820;-;quant Liquid Fund - Growth Option - Direct Plan;37.2498;27-Aug-2023")</f>
        <v>120837;INF966L01820;-;quant Liquid Fund - Growth Option - Direct Plan;37.2498;27-Aug-2023</v>
      </c>
      <c r="B1974" s="1"/>
    </row>
    <row r="1975">
      <c r="A1975" s="1" t="str">
        <f>IFERROR(__xludf.DUMMYFUNCTION("""COMPUTED_VALUE"""),"103225;INF966L01317;-;quant Liquid Fund - Growth Option - Regular Plan;36.4718;27-Aug-2023")</f>
        <v>103225;INF966L01317;-;quant Liquid Fund - Growth Option - Regular Plan;36.4718;27-Aug-2023</v>
      </c>
      <c r="B1975" s="1"/>
    </row>
    <row r="1976">
      <c r="A1976" s="1" t="str">
        <f>IFERROR(__xludf.DUMMYFUNCTION("""COMPUTED_VALUE"""),"120838;INF966L01796;INF966L01812;quant Liquid Fund - Monthly IDCW Option - Direct Plan;15.6468;27-Aug-2023")</f>
        <v>120838;INF966L01796;INF966L01812;quant Liquid Fund - Monthly IDCW Option - Direct Plan;15.6468;27-Aug-2023</v>
      </c>
      <c r="B1976" s="1"/>
    </row>
    <row r="1977">
      <c r="A1977" s="1" t="str">
        <f>IFERROR(__xludf.DUMMYFUNCTION("""COMPUTED_VALUE"""),"103228;INF966L01291;INF966L01309;quant Liquid Fund - Monthly IDCW Option - Regular Plan;15.2392;27-Aug-2023")</f>
        <v>103228;INF966L01291;INF966L01309;quant Liquid Fund - Monthly IDCW Option - Regular Plan;15.2392;27-Aug-2023</v>
      </c>
      <c r="B1977" s="1"/>
    </row>
    <row r="1978">
      <c r="A1978" s="1" t="str">
        <f>IFERROR(__xludf.DUMMYFUNCTION("""COMPUTED_VALUE"""),"120839;INF966L01788;INF966L01804;quant Liquid Fund - Weekly IDCW Option - Direct Plan;14.1608;27-Aug-2023")</f>
        <v>120839;INF966L01788;INF966L01804;quant Liquid Fund - Weekly IDCW Option - Direct Plan;14.1608;27-Aug-2023</v>
      </c>
      <c r="B1978" s="1"/>
    </row>
    <row r="1979">
      <c r="A1979" s="1" t="str">
        <f>IFERROR(__xludf.DUMMYFUNCTION("""COMPUTED_VALUE"""),"103227;INF966L01499;INF966L01283;quant Liquid Fund - Weekly IDCW Option - Regular Plan;13.4207;27-Aug-2023")</f>
        <v>103227;INF966L01499;INF966L01283;quant Liquid Fund - Weekly IDCW Option - Regular Plan;13.4207;27-Aug-2023</v>
      </c>
      <c r="B1979" s="1"/>
    </row>
    <row r="1980">
      <c r="A1980" s="1" t="str">
        <f>IFERROR(__xludf.DUMMYFUNCTION("""COMPUTED_VALUE"""),"120836;-;INF966L01770;quant Liquid Fund-Daily IDCW Option - Direct Plan;13.2345;27-Aug-2023")</f>
        <v>120836;-;INF966L01770;quant Liquid Fund-Daily IDCW Option - Direct Plan;13.2345;27-Aug-2023</v>
      </c>
      <c r="B1980" s="1"/>
    </row>
    <row r="1981">
      <c r="A1981" s="1" t="str">
        <f>IFERROR(__xludf.DUMMYFUNCTION("""COMPUTED_VALUE"""),"103226;-;INF966L01275;quant Liquid Fund-Daily IDCW Option - Regular Plan;12.8717;27-Aug-2023")</f>
        <v>103226;-;INF966L01275;quant Liquid Fund-Daily IDCW Option - Regular Plan;12.8717;27-Aug-2023</v>
      </c>
      <c r="B1981" s="1"/>
    </row>
    <row r="1982">
      <c r="A1982" s="1" t="str">
        <f>IFERROR(__xludf.DUMMYFUNCTION("""COMPUTED_VALUE"""),"148513;-;-;quant Liquid Fund-Unclaimed Dividend Investor Education Plan-Growth Option;11.5839;27-Aug-2023")</f>
        <v>148513;-;-;quant Liquid Fund-Unclaimed Dividend Investor Education Plan-Growth Option;11.5839;27-Aug-2023</v>
      </c>
      <c r="B1982" s="1"/>
    </row>
    <row r="1983">
      <c r="A1983" s="1" t="str">
        <f>IFERROR(__xludf.DUMMYFUNCTION("""COMPUTED_VALUE"""),"148510;-;-;quant Liquid Fund-Unclaimed Dividend-Growth Option;11.5845;27-Aug-2023")</f>
        <v>148510;-;-;quant Liquid Fund-Unclaimed Dividend-Growth Option;11.5845;27-Aug-2023</v>
      </c>
      <c r="B1983" s="1"/>
    </row>
    <row r="1984">
      <c r="A1984" s="1" t="str">
        <f>IFERROR(__xludf.DUMMYFUNCTION("""COMPUTED_VALUE"""),"148511;-;-;quant Liquid Fund-Unclaimed Redemption Investor Education Plan-Growth Option;11.5839;27-Aug-2023")</f>
        <v>148511;-;-;quant Liquid Fund-Unclaimed Redemption Investor Education Plan-Growth Option;11.5839;27-Aug-2023</v>
      </c>
      <c r="B1984" s="1"/>
    </row>
    <row r="1985">
      <c r="A1985" s="1" t="str">
        <f>IFERROR(__xludf.DUMMYFUNCTION("""COMPUTED_VALUE"""),"148512;-;-;quant Liquid Fund-Unclaimed Redemption Plan-Growth Option;11.6123;27-Aug-2023")</f>
        <v>148512;-;-;quant Liquid Fund-Unclaimed Redemption Plan-Growth Option;11.6123;27-Aug-2023</v>
      </c>
      <c r="B1985" s="1"/>
    </row>
    <row r="1986">
      <c r="A1986" s="1"/>
      <c r="B1986" s="1"/>
    </row>
    <row r="1987">
      <c r="A1987" s="1" t="str">
        <f>IFERROR(__xludf.DUMMYFUNCTION("""COMPUTED_VALUE"""),"Quantum Mutual Fund")</f>
        <v>Quantum Mutual Fund</v>
      </c>
      <c r="B1987" s="1"/>
    </row>
    <row r="1988">
      <c r="A1988" s="1"/>
      <c r="B1988" s="1"/>
    </row>
    <row r="1989">
      <c r="A1989" s="1" t="str">
        <f>IFERROR(__xludf.DUMMYFUNCTION("""COMPUTED_VALUE"""),"103736;-;INF082J01135;Quantum Liquid Fund - Direct Plan Daily IDCW;10.0085;27-Aug-2023")</f>
        <v>103736;-;INF082J01135;Quantum Liquid Fund - Direct Plan Daily IDCW;10.0085;27-Aug-2023</v>
      </c>
      <c r="B1989" s="1"/>
    </row>
    <row r="1990">
      <c r="A1990" s="1" t="str">
        <f>IFERROR(__xludf.DUMMYFUNCTION("""COMPUTED_VALUE"""),"103734;INF082J01127;-;Quantum Liquid Fund - Direct Plan Growth Option;31.1123;27-Aug-2023")</f>
        <v>103734;INF082J01127;-;Quantum Liquid Fund - Direct Plan Growth Option;31.1123;27-Aug-2023</v>
      </c>
      <c r="B1990" s="1"/>
    </row>
    <row r="1991">
      <c r="A1991" s="1" t="str">
        <f>IFERROR(__xludf.DUMMYFUNCTION("""COMPUTED_VALUE"""),"103735;INF082J01143;INF082J01200;Quantum Liquid Fund - Direct Plan Monthly IDCW;10.0151;27-Aug-2023")</f>
        <v>103735;INF082J01143;INF082J01200;Quantum Liquid Fund - Direct Plan Monthly IDCW;10.0151;27-Aug-2023</v>
      </c>
      <c r="B1991" s="1"/>
    </row>
    <row r="1992">
      <c r="A1992" s="1" t="str">
        <f>IFERROR(__xludf.DUMMYFUNCTION("""COMPUTED_VALUE"""),"141065;-;INF082J01317;Quantum Liquid Fund - Regular Plan Daily IDCW;10.0002;27-Aug-2023")</f>
        <v>141065;-;INF082J01317;Quantum Liquid Fund - Regular Plan Daily IDCW;10.0002;27-Aug-2023</v>
      </c>
      <c r="B1992" s="1"/>
    </row>
    <row r="1993">
      <c r="A1993" s="1" t="str">
        <f>IFERROR(__xludf.DUMMYFUNCTION("""COMPUTED_VALUE"""),"141066;INF082J01309;-;Quantum Liquid Fund - Regular Plan Growth Option;30.9520;27-Aug-2023")</f>
        <v>141066;INF082J01309;-;Quantum Liquid Fund - Regular Plan Growth Option;30.9520;27-Aug-2023</v>
      </c>
      <c r="B1993" s="1"/>
    </row>
    <row r="1994">
      <c r="A1994" s="1" t="str">
        <f>IFERROR(__xludf.DUMMYFUNCTION("""COMPUTED_VALUE"""),"141067;INF082J01325;INF082J01333;Quantum Liquid Fund - Regular Plan Monthly IDCW;10.0103;27-Aug-2023")</f>
        <v>141067;INF082J01325;INF082J01333;Quantum Liquid Fund - Regular Plan Monthly IDCW;10.0103;27-Aug-2023</v>
      </c>
      <c r="B1994" s="1"/>
    </row>
    <row r="1995">
      <c r="A1995" s="1"/>
      <c r="B1995" s="1"/>
    </row>
    <row r="1996">
      <c r="A1996" s="1" t="str">
        <f>IFERROR(__xludf.DUMMYFUNCTION("""COMPUTED_VALUE"""),"SBI Mutual Fund")</f>
        <v>SBI Mutual Fund</v>
      </c>
      <c r="B1996" s="1"/>
    </row>
    <row r="1997">
      <c r="A1997" s="1"/>
      <c r="B1997" s="1"/>
    </row>
    <row r="1998">
      <c r="A1998" s="1" t="str">
        <f>IFERROR(__xludf.DUMMYFUNCTION("""COMPUTED_VALUE"""),"119804;INF200K01UR8;INF200K01US6;SBI Liquid Fund - Direct Paln - Fortnightly Income Distribution cum Capital Withdrawal Option (IDCW);1182.4268;25-Aug-2023")</f>
        <v>119804;INF200K01UR8;INF200K01US6;SBI Liquid Fund - Direct Paln - Fortnightly Income Distribution cum Capital Withdrawal Option (IDCW);1182.4268;25-Aug-2023</v>
      </c>
      <c r="B1998" s="1"/>
    </row>
    <row r="1999">
      <c r="A1999" s="1" t="str">
        <f>IFERROR(__xludf.DUMMYFUNCTION("""COMPUTED_VALUE"""),"119805;-;INF200K01UQ0;SBI Liquid Fund - Direct Plan - Daily Income Distribution cum Capital Withdrawal Option (IDCW);1144.0484;25-Aug-2023")</f>
        <v>119805;-;INF200K01UQ0;SBI Liquid Fund - Direct Plan - Daily Income Distribution cum Capital Withdrawal Option (IDCW);1144.0484;25-Aug-2023</v>
      </c>
      <c r="B1999" s="1"/>
    </row>
    <row r="2000">
      <c r="A2000" s="1" t="str">
        <f>IFERROR(__xludf.DUMMYFUNCTION("""COMPUTED_VALUE"""),"119799;INF200K01UU2;INF200K01UV0;SBI Liquid Fund - Direct Plan - Weekly Income Distribution cum Capital Withdrawal Option (IDCW);1236.6993;25-Aug-2023")</f>
        <v>119799;INF200K01UU2;INF200K01UV0;SBI Liquid Fund - Direct Plan - Weekly Income Distribution cum Capital Withdrawal Option (IDCW);1236.6993;25-Aug-2023</v>
      </c>
      <c r="B2000" s="1"/>
    </row>
    <row r="2001">
      <c r="A2001" s="1" t="str">
        <f>IFERROR(__xludf.DUMMYFUNCTION("""COMPUTED_VALUE"""),"119800;INF200K01UT4;-;SBI Liquid Fund - DIRECT PLAN -Growth;3620.9605;25-Aug-2023")</f>
        <v>119800;INF200K01UT4;-;SBI Liquid Fund - DIRECT PLAN -Growth;3620.9605;25-Aug-2023</v>
      </c>
      <c r="B2001" s="1"/>
    </row>
    <row r="2002">
      <c r="A2002" s="1" t="str">
        <f>IFERROR(__xludf.DUMMYFUNCTION("""COMPUTED_VALUE"""),"105274;INF200K01LU1;-;SBI Liquid Fund - Institutional - Growth;3625.2108;25-Aug-2023")</f>
        <v>105274;INF200K01LU1;-;SBI Liquid Fund - Institutional - Growth;3625.2108;25-Aug-2023</v>
      </c>
      <c r="B2002" s="1"/>
    </row>
    <row r="2003">
      <c r="A2003" s="1" t="str">
        <f>IFERROR(__xludf.DUMMYFUNCTION("""COMPUTED_VALUE"""),"105275;-;INF200K01LR7;SBI Liquid Fund - Institutional Daily Income Distribution cum Capital Withdrawal Option (IDCW);1164.6339;25-Aug-2023")</f>
        <v>105275;-;INF200K01LR7;SBI Liquid Fund - Institutional Daily Income Distribution cum Capital Withdrawal Option (IDCW);1164.6339;25-Aug-2023</v>
      </c>
      <c r="B2003" s="1"/>
    </row>
    <row r="2004">
      <c r="A2004" s="1" t="str">
        <f>IFERROR(__xludf.DUMMYFUNCTION("""COMPUTED_VALUE"""),"105279;INF200K01LS5;INF200K01LT3;SBI Liquid Fund - Institutional Fortnightly Income Distribution cum Capital Withdrawal Option (IDCW);1191.7182;25-Aug-2023")</f>
        <v>105279;INF200K01LS5;INF200K01LT3;SBI Liquid Fund - Institutional Fortnightly Income Distribution cum Capital Withdrawal Option (IDCW);1191.7182;25-Aug-2023</v>
      </c>
      <c r="B2004" s="1"/>
    </row>
    <row r="2005">
      <c r="A2005" s="1" t="str">
        <f>IFERROR(__xludf.DUMMYFUNCTION("""COMPUTED_VALUE"""),"105278;INF200K01LV9;INF200K01LW7;SBI Liquid Fund - Institutional Weekly Income Distribution cum Capital Withdrawal Option (IDCW);N.A.;09-Aug-2019")</f>
        <v>105278;INF200K01LV9;INF200K01LW7;SBI Liquid Fund - Institutional Weekly Income Distribution cum Capital Withdrawal Option (IDCW);N.A.;09-Aug-2019</v>
      </c>
      <c r="B2005" s="1"/>
    </row>
    <row r="2006">
      <c r="A2006" s="1" t="str">
        <f>IFERROR(__xludf.DUMMYFUNCTION("""COMPUTED_VALUE"""),"105281;-;INF200K01LX5;SBI Liquid Fund - Regular Plan - Daily Income Distribution cum Capital Withdrawal Option (IDCW);1140.7391;25-Aug-2023")</f>
        <v>105281;-;INF200K01LX5;SBI Liquid Fund - Regular Plan - Daily Income Distribution cum Capital Withdrawal Option (IDCW);1140.7391;25-Aug-2023</v>
      </c>
      <c r="B2006" s="1"/>
    </row>
    <row r="2007">
      <c r="A2007" s="1" t="str">
        <f>IFERROR(__xludf.DUMMYFUNCTION("""COMPUTED_VALUE"""),"105283;INF200K01LY3;INF200K01LZ0;SBI Liquid Fund - Regular Plan - Fortnightly Income Distribution cum Capital Withdrawal Option (IDCW);1178.5795;25-Aug-2023")</f>
        <v>105283;INF200K01LY3;INF200K01LZ0;SBI Liquid Fund - Regular Plan - Fortnightly Income Distribution cum Capital Withdrawal Option (IDCW);1178.5795;25-Aug-2023</v>
      </c>
      <c r="B2007" s="1"/>
    </row>
    <row r="2008">
      <c r="A2008" s="1" t="str">
        <f>IFERROR(__xludf.DUMMYFUNCTION("""COMPUTED_VALUE"""),"105282;INF200K01MB9;INF200K01MC7;SBI Liquid Fund - Regular Plan - Weekly Income Distribution cum Capital Withdrawal Option (IDCW);1232.6556;25-Aug-2023")</f>
        <v>105282;INF200K01MB9;INF200K01MC7;SBI Liquid Fund - Regular Plan - Weekly Income Distribution cum Capital Withdrawal Option (IDCW);1232.6556;25-Aug-2023</v>
      </c>
      <c r="B2008" s="1"/>
    </row>
    <row r="2009">
      <c r="A2009" s="1" t="str">
        <f>IFERROR(__xludf.DUMMYFUNCTION("""COMPUTED_VALUE"""),"105280;INF200K01MA1;-;SBI Liquid Fund - REGULAR PLAN -Growth;3591.2487;25-Aug-2023")</f>
        <v>105280;INF200K01MA1;-;SBI Liquid Fund - REGULAR PLAN -Growth;3591.2487;25-Aug-2023</v>
      </c>
      <c r="B2009" s="1"/>
    </row>
    <row r="2010">
      <c r="A2010" s="1"/>
      <c r="B2010" s="1"/>
    </row>
    <row r="2011">
      <c r="A2011" s="1" t="str">
        <f>IFERROR(__xludf.DUMMYFUNCTION("""COMPUTED_VALUE"""),"Sundaram Mutual Fund")</f>
        <v>Sundaram Mutual Fund</v>
      </c>
      <c r="B2011" s="1"/>
    </row>
    <row r="2012">
      <c r="A2012" s="1"/>
      <c r="B2012" s="1"/>
    </row>
    <row r="2013">
      <c r="A2013" s="1" t="str">
        <f>IFERROR(__xludf.DUMMYFUNCTION("""COMPUTED_VALUE"""),"149744;-;INF903JA1JK3;Sundaram  Liquid Fund (Formerly Known as Principal Cash Management Fund) Direct Quarterly IDCW;1076.1300;25-Aug-2023")</f>
        <v>149744;-;INF903JA1JK3;Sundaram  Liquid Fund (Formerly Known as Principal Cash Management Fund) Direct Quarterly IDCW;1076.1300;25-Aug-2023</v>
      </c>
      <c r="B2013" s="1"/>
    </row>
    <row r="2014">
      <c r="A2014" s="1" t="str">
        <f>IFERROR(__xludf.DUMMYFUNCTION("""COMPUTED_VALUE"""),"149742;-;INF903JA1JI7;Sundaram Liquid Fund (Formerly Known as  Principal Cash Management Fund) Regular Plan Principal Units;1121.2347;25-Aug-2023")</f>
        <v>149742;-;INF903JA1JI7;Sundaram Liquid Fund (Formerly Known as  Principal Cash Management Fund) Regular Plan Principal Units;1121.2347;25-Aug-2023</v>
      </c>
      <c r="B2014" s="1"/>
    </row>
    <row r="2015">
      <c r="A2015" s="1" t="str">
        <f>IFERROR(__xludf.DUMMYFUNCTION("""COMPUTED_VALUE"""),"149663;-;INF173K01GT2;Sundaram Liquid Fund (Formerly Known as Principal Cash Management Fund )- Direct Plan - Income Distribution CUM Capital Withdrawal Option - Daily;1000.6367;25-Aug-2023")</f>
        <v>149663;-;INF173K01GT2;Sundaram Liquid Fund (Formerly Known as Principal Cash Management Fund )- Direct Plan - Income Distribution CUM Capital Withdrawal Option - Daily;1000.6367;25-Aug-2023</v>
      </c>
      <c r="B2015" s="1"/>
    </row>
    <row r="2016">
      <c r="A2016" s="1" t="str">
        <f>IFERROR(__xludf.DUMMYFUNCTION("""COMPUTED_VALUE"""),"149658;-;INF173K01DB7;Sundaram Liquid Fund (Formerly Known as Principal Cash Management Fund) - Daily Income Distribution CUM Capital Withdrawal;1000.8893;25-Aug-2023")</f>
        <v>149658;-;INF173K01DB7;Sundaram Liquid Fund (Formerly Known as Principal Cash Management Fund) - Daily Income Distribution CUM Capital Withdrawal;1000.8893;25-Aug-2023</v>
      </c>
      <c r="B2016" s="1"/>
    </row>
    <row r="2017">
      <c r="A2017" s="1" t="str">
        <f>IFERROR(__xludf.DUMMYFUNCTION("""COMPUTED_VALUE"""),"149664;INF173K01GU0;-;Sundaram Liquid Fund (Formerly Known as Principal Cash Management Fund) - Direct Plan - Growth Option;2043.0460;25-Aug-2023")</f>
        <v>149664;INF173K01GU0;-;Sundaram Liquid Fund (Formerly Known as Principal Cash Management Fund) - Direct Plan - Growth Option;2043.0460;25-Aug-2023</v>
      </c>
      <c r="B2017" s="1"/>
    </row>
    <row r="2018">
      <c r="A2018" s="1" t="str">
        <f>IFERROR(__xludf.DUMMYFUNCTION("""COMPUTED_VALUE"""),"149660;INF173K01DD3;INF173K01DE1;Sundaram Liquid Fund (Formerly Known as Principal Cash Management Fund) - Monthly Income Distribution CUM Capital Withdrawal Option;1025.6321;25-Aug-2023")</f>
        <v>149660;INF173K01DD3;INF173K01DE1;Sundaram Liquid Fund (Formerly Known as Principal Cash Management Fund) - Monthly Income Distribution CUM Capital Withdrawal Option;1025.6321;25-Aug-2023</v>
      </c>
      <c r="B2018" s="1"/>
    </row>
    <row r="2019">
      <c r="A2019" s="1" t="str">
        <f>IFERROR(__xludf.DUMMYFUNCTION("""COMPUTED_VALUE"""),"149662;INF173K01GV8;INF173K01GW6;Sundaram Liquid Fund (Formerly Known as Principal Cash Management Fund) -Direct Plan - Income Distribution CUM Capital Withdrawal Option - Monthly;1025.7141;25-Aug-2023")</f>
        <v>149662;INF173K01GV8;INF173K01GW6;Sundaram Liquid Fund (Formerly Known as Principal Cash Management Fund) -Direct Plan - Income Distribution CUM Capital Withdrawal Option - Monthly;1025.7141;25-Aug-2023</v>
      </c>
      <c r="B2019" s="1"/>
    </row>
    <row r="2020">
      <c r="A2020" s="1" t="str">
        <f>IFERROR(__xludf.DUMMYFUNCTION("""COMPUTED_VALUE"""),"149661;INF173K01DA9;-;Sundaram Liquid Fund (Formerly Known as Principal Cash Management Fund) -Growth Option;2025.6074;25-Aug-2023")</f>
        <v>149661;INF173K01DA9;-;Sundaram Liquid Fund (Formerly Known as Principal Cash Management Fund) -Growth Option;2025.6074;25-Aug-2023</v>
      </c>
      <c r="B2020" s="1"/>
    </row>
    <row r="2021">
      <c r="A2021" s="1" t="str">
        <f>IFERROR(__xludf.DUMMYFUNCTION("""COMPUTED_VALUE"""),"149738;-;INF903JA1JJ5;Sundaram Liquid Fund (Formerly Known as Principal Cash Management Fund) Direct Fortnightly IDCW;1026.8204;25-Aug-2023")</f>
        <v>149738;-;INF903JA1JJ5;Sundaram Liquid Fund (Formerly Known as Principal Cash Management Fund) Direct Fortnightly IDCW;1026.8204;25-Aug-2023</v>
      </c>
      <c r="B2021" s="1"/>
    </row>
    <row r="2022">
      <c r="A2022" s="1" t="str">
        <f>IFERROR(__xludf.DUMMYFUNCTION("""COMPUTED_VALUE"""),"149737;-;INF903JA1JH9;Sundaram Liquid Fund (Formerly Known as Principal Cash Management Fund) Direct Principal Units;1123.4960;25-Aug-2023")</f>
        <v>149737;-;INF903JA1JH9;Sundaram Liquid Fund (Formerly Known as Principal Cash Management Fund) Direct Principal Units;1123.4960;25-Aug-2023</v>
      </c>
      <c r="B2022" s="1"/>
    </row>
    <row r="2023">
      <c r="A2023" s="1" t="str">
        <f>IFERROR(__xludf.DUMMYFUNCTION("""COMPUTED_VALUE"""),"149739;-;INF903JA1JF3;Sundaram Liquid Fund (Formerly Known as Principal Cash Management Fund) Regular Fortnightly IDCW;1026.7160;25-Aug-2023")</f>
        <v>149739;-;INF903JA1JF3;Sundaram Liquid Fund (Formerly Known as Principal Cash Management Fund) Regular Fortnightly IDCW;1026.7160;25-Aug-2023</v>
      </c>
      <c r="B2023" s="1"/>
    </row>
    <row r="2024">
      <c r="A2024" s="1" t="str">
        <f>IFERROR(__xludf.DUMMYFUNCTION("""COMPUTED_VALUE"""),"149740;-;INF903JA1JG1;Sundaram Liquid Fund (Formerly Known as Principal Cash Management Fund) Regular Quarterly IDCW;1073.9309;25-Aug-2023")</f>
        <v>149740;-;INF903JA1JG1;Sundaram Liquid Fund (Formerly Known as Principal Cash Management Fund) Regular Quarterly IDCW;1073.9309;25-Aug-2023</v>
      </c>
      <c r="B2024" s="1"/>
    </row>
    <row r="2025">
      <c r="A2025" s="1" t="str">
        <f>IFERROR(__xludf.DUMMYFUNCTION("""COMPUTED_VALUE"""),"149745;-;-;Sundaram Liquid Fund (Formerly Known as Principal Cash Management Fund) Unclaimed Redemption More 3 Years;1000.0000;21-Jan-2022")</f>
        <v>149745;-;-;Sundaram Liquid Fund (Formerly Known as Principal Cash Management Fund) Unclaimed Redemption More 3 Years;1000.0000;21-Jan-2022</v>
      </c>
      <c r="B2025" s="1"/>
    </row>
    <row r="2026">
      <c r="A2026" s="1" t="str">
        <f>IFERROR(__xludf.DUMMYFUNCTION("""COMPUTED_VALUE"""),"149659;-;INF173K01DC5;Sundaram Liquid Fund (Formerly Principal Cash Management Fund) - Weekly Income Distribution CUM Capital Withdrawal Option;1007.8712;25-Aug-2023")</f>
        <v>149659;-;INF173K01DC5;Sundaram Liquid Fund (Formerly Principal Cash Management Fund) - Weekly Income Distribution CUM Capital Withdrawal Option;1007.8712;25-Aug-2023</v>
      </c>
      <c r="B2026" s="1"/>
    </row>
    <row r="2027">
      <c r="A2027" s="1" t="str">
        <f>IFERROR(__xludf.DUMMYFUNCTION("""COMPUTED_VALUE"""),"149665;-;INF173K01GY2;Sundaram Liquid Fund(Formerly Known as Principal Cash Management Fund)- Direct Plan - Income Distribution CUM Capital Withdrawal Option - Weekly;1008.3515;25-Aug-2023")</f>
        <v>149665;-;INF173K01GY2;Sundaram Liquid Fund(Formerly Known as Principal Cash Management Fund)- Direct Plan - Income Distribution CUM Capital Withdrawal Option - Weekly;1008.3515;25-Aug-2023</v>
      </c>
      <c r="B2027" s="1"/>
    </row>
    <row r="2028">
      <c r="A2028" s="1"/>
      <c r="B2028" s="1"/>
    </row>
    <row r="2029">
      <c r="A2029" s="1" t="str">
        <f>IFERROR(__xludf.DUMMYFUNCTION("""COMPUTED_VALUE"""),"Tata Mutual Fund")</f>
        <v>Tata Mutual Fund</v>
      </c>
      <c r="B2029" s="1"/>
    </row>
    <row r="2030">
      <c r="A2030" s="1"/>
      <c r="B2030" s="1"/>
    </row>
    <row r="2031">
      <c r="A2031" s="1" t="str">
        <f>IFERROR(__xludf.DUMMYFUNCTION("""COMPUTED_VALUE"""),"102672;INF277K01YD8;-;Tata Liquid Fund -Regular Plan - Growth Option;3615.6976;27-Aug-2023")</f>
        <v>102672;INF277K01YD8;-;Tata Liquid Fund -Regular Plan - Growth Option;3615.6976;27-Aug-2023</v>
      </c>
      <c r="B2031" s="1"/>
    </row>
    <row r="2032">
      <c r="A2032" s="1" t="str">
        <f>IFERROR(__xludf.DUMMYFUNCTION("""COMPUTED_VALUE"""),"119862;-;INF277K012D2;Tata Liquid Fund- Direct Plan - Daily Reinvestment of IDCW Option;1001.5187;27-Aug-2023")</f>
        <v>119862;-;INF277K012D2;Tata Liquid Fund- Direct Plan - Daily Reinvestment of IDCW Option;1001.5187;27-Aug-2023</v>
      </c>
      <c r="B2032" s="1"/>
    </row>
    <row r="2033">
      <c r="A2033" s="1" t="str">
        <f>IFERROR(__xludf.DUMMYFUNCTION("""COMPUTED_VALUE"""),"119861;INF277K01YE6;-;Tata Liquid Fund- Direct Plan-Growth Option;3651.4079;27-Aug-2023")</f>
        <v>119861;INF277K01YE6;-;Tata Liquid Fund- Direct Plan-Growth Option;3651.4079;27-Aug-2023</v>
      </c>
      <c r="B2033" s="1"/>
    </row>
    <row r="2034">
      <c r="A2034" s="1" t="str">
        <f>IFERROR(__xludf.DUMMYFUNCTION("""COMPUTED_VALUE"""),"101714;-;INF277K011D4;Tata Liquid Fund- Regular Plan - Daily Reinvestment of IDCW Option;1001.5157;27-Aug-2023")</f>
        <v>101714;-;INF277K011D4;Tata Liquid Fund- Regular Plan - Daily Reinvestment of IDCW Option;1001.5157;27-Aug-2023</v>
      </c>
      <c r="B2034" s="1"/>
    </row>
    <row r="2035">
      <c r="A2035" s="1"/>
      <c r="B2035" s="1"/>
    </row>
    <row r="2036">
      <c r="A2036" s="1" t="str">
        <f>IFERROR(__xludf.DUMMYFUNCTION("""COMPUTED_VALUE"""),"Taurus Mutual Fund")</f>
        <v>Taurus Mutual Fund</v>
      </c>
      <c r="B2036" s="1"/>
    </row>
    <row r="2037">
      <c r="A2037" s="1"/>
      <c r="B2037" s="1"/>
    </row>
    <row r="2038">
      <c r="A2038" s="1" t="str">
        <f>IFERROR(__xludf.DUMMYFUNCTION("""COMPUTED_VALUE"""),"104240;INF044D01542;INF044D01559;Taurus Liquid Fund-Dividend;1013.9743;03-Nov-2020")</f>
        <v>104240;INF044D01542;INF044D01559;Taurus Liquid Fund-Dividend;1013.9743;03-Nov-2020</v>
      </c>
      <c r="B2038" s="1"/>
    </row>
    <row r="2039">
      <c r="A2039" s="1" t="str">
        <f>IFERROR(__xludf.DUMMYFUNCTION("""COMPUTED_VALUE"""),"104241;INF044D01575;-;Taurus Liquid Fund-Growth;2368.5909;03-Nov-2020")</f>
        <v>104241;INF044D01575;-;Taurus Liquid Fund-Growth;2368.5909;03-Nov-2020</v>
      </c>
      <c r="B2039" s="1"/>
    </row>
    <row r="2040">
      <c r="A2040" s="1"/>
      <c r="B2040" s="1"/>
    </row>
    <row r="2041">
      <c r="A2041" s="1" t="str">
        <f>IFERROR(__xludf.DUMMYFUNCTION("""COMPUTED_VALUE"""),"Trust Mutual Fund")</f>
        <v>Trust Mutual Fund</v>
      </c>
      <c r="B2041" s="1"/>
    </row>
    <row r="2042">
      <c r="A2042" s="1"/>
      <c r="B2042" s="1"/>
    </row>
    <row r="2043">
      <c r="A2043" s="1" t="str">
        <f>IFERROR(__xludf.DUMMYFUNCTION("""COMPUTED_VALUE"""),"148842;-;INF0GCD01263;TRUSTMF Liquid Fund-Direct Plan-Daily Income Distribution cum Capital Withdrawal;1095.2985;27-Aug-2023")</f>
        <v>148842;-;INF0GCD01263;TRUSTMF Liquid Fund-Direct Plan-Daily Income Distribution cum Capital Withdrawal;1095.2985;27-Aug-2023</v>
      </c>
      <c r="B2043" s="1"/>
    </row>
    <row r="2044">
      <c r="A2044" s="1" t="str">
        <f>IFERROR(__xludf.DUMMYFUNCTION("""COMPUTED_VALUE"""),"148841;INF0GCD01255;-;TRUSTMF Liquid Fund-Direct Plan-Growth;1122.0303;27-Aug-2023")</f>
        <v>148841;INF0GCD01255;-;TRUSTMF Liquid Fund-Direct Plan-Growth;1122.0303;27-Aug-2023</v>
      </c>
      <c r="B2044" s="1"/>
    </row>
    <row r="2045">
      <c r="A2045" s="1" t="str">
        <f>IFERROR(__xludf.DUMMYFUNCTION("""COMPUTED_VALUE"""),"148839;INF0GCD01305;INF0GCD01297;TRUSTMF Liquid Fund-Direct Plan-Monthly Income Distribution cum Capital Withdrawal;1064.4154;27-Aug-2023")</f>
        <v>148839;INF0GCD01305;INF0GCD01297;TRUSTMF Liquid Fund-Direct Plan-Monthly Income Distribution cum Capital Withdrawal;1064.4154;27-Aug-2023</v>
      </c>
      <c r="B2045" s="1"/>
    </row>
    <row r="2046">
      <c r="A2046" s="1" t="str">
        <f>IFERROR(__xludf.DUMMYFUNCTION("""COMPUTED_VALUE"""),"148837;INF0GCD01271;INF0GCD01289;TRUSTMF Liquid Fund-Direct Plan-Weekly Income Distribution cum Capital Withdrawal;1078.2125;27-Aug-2023")</f>
        <v>148837;INF0GCD01271;INF0GCD01289;TRUSTMF Liquid Fund-Direct Plan-Weekly Income Distribution cum Capital Withdrawal;1078.2125;27-Aug-2023</v>
      </c>
      <c r="B2046" s="1"/>
    </row>
    <row r="2047">
      <c r="A2047" s="1" t="str">
        <f>IFERROR(__xludf.DUMMYFUNCTION("""COMPUTED_VALUE"""),"148834;-;INF0GCD01206;TRUSTMF Liquid Fund-Regular Plan-Daily Income Distribution cum Capital Withdrawal;1073.1418;27-Aug-2023")</f>
        <v>148834;-;INF0GCD01206;TRUSTMF Liquid Fund-Regular Plan-Daily Income Distribution cum Capital Withdrawal;1073.1418;27-Aug-2023</v>
      </c>
      <c r="B2047" s="1"/>
    </row>
    <row r="2048">
      <c r="A2048" s="1" t="str">
        <f>IFERROR(__xludf.DUMMYFUNCTION("""COMPUTED_VALUE"""),"148833;INF0GCD01198;-;TRUSTMF Liquid Fund-Regular Plan-Growth;1118.081;27-Aug-2023")</f>
        <v>148833;INF0GCD01198;-;TRUSTMF Liquid Fund-Regular Plan-Growth;1118.081;27-Aug-2023</v>
      </c>
      <c r="B2048" s="1"/>
    </row>
    <row r="2049">
      <c r="A2049" s="1" t="str">
        <f>IFERROR(__xludf.DUMMYFUNCTION("""COMPUTED_VALUE"""),"148843;INF0GCD01248;INF0GCD01230;TRUSTMF Liquid Fund-Regular Plan-Monthly Income Distribution cum Capital Withdrawal;1061.4601;27-Aug-2023")</f>
        <v>148843;INF0GCD01248;INF0GCD01230;TRUSTMF Liquid Fund-Regular Plan-Monthly Income Distribution cum Capital Withdrawal;1061.4601;27-Aug-2023</v>
      </c>
      <c r="B2049" s="1"/>
    </row>
    <row r="2050">
      <c r="A2050" s="1" t="str">
        <f>IFERROR(__xludf.DUMMYFUNCTION("""COMPUTED_VALUE"""),"148836;INF0GCD01214;INF0GCD01222;TRUSTMF Liquid Fund-Regular Plan-Weekly Income Distribution cum Capital Withdrawal;1054.5198;27-Aug-2023")</f>
        <v>148836;INF0GCD01214;INF0GCD01222;TRUSTMF Liquid Fund-Regular Plan-Weekly Income Distribution cum Capital Withdrawal;1054.5198;27-Aug-2023</v>
      </c>
      <c r="B2050" s="1"/>
    </row>
    <row r="2051">
      <c r="A2051" s="1"/>
      <c r="B2051" s="1"/>
    </row>
    <row r="2052">
      <c r="A2052" s="1" t="str">
        <f>IFERROR(__xludf.DUMMYFUNCTION("""COMPUTED_VALUE"""),"Union Mutual Fund")</f>
        <v>Union Mutual Fund</v>
      </c>
      <c r="B2052" s="1"/>
    </row>
    <row r="2053">
      <c r="A2053" s="1"/>
      <c r="B2053" s="1"/>
    </row>
    <row r="2054">
      <c r="A2054" s="1" t="str">
        <f>IFERROR(__xludf.DUMMYFUNCTION("""COMPUTED_VALUE"""),"115401;-;INF582M01021;Union Liquid Fund - Daily IDCW Option;1000.7927;27-Aug-2023")</f>
        <v>115401;-;INF582M01021;Union Liquid Fund - Daily IDCW Option;1000.7927;27-Aug-2023</v>
      </c>
      <c r="B2054" s="1"/>
    </row>
    <row r="2055">
      <c r="A2055" s="1" t="str">
        <f>IFERROR(__xludf.DUMMYFUNCTION("""COMPUTED_VALUE"""),"119301;-;INF582M01682;Union Liquid Fund - Direct Plan - Daily IDCW Option;1000.7927;27-Aug-2023")</f>
        <v>119301;-;INF582M01682;Union Liquid Fund - Direct Plan - Daily IDCW Option;1000.7927;27-Aug-2023</v>
      </c>
      <c r="B2055" s="1"/>
    </row>
    <row r="2056">
      <c r="A2056" s="1" t="str">
        <f>IFERROR(__xludf.DUMMYFUNCTION("""COMPUTED_VALUE"""),"119305;INF582M01724;INF582M01708;Union Liquid Fund - Direct Plan - Fortnightly IDCW Option;1000.8639;27-Aug-2023")</f>
        <v>119305;INF582M01724;INF582M01708;Union Liquid Fund - Direct Plan - Fortnightly IDCW Option;1000.8639;27-Aug-2023</v>
      </c>
      <c r="B2056" s="1"/>
    </row>
    <row r="2057">
      <c r="A2057" s="1" t="str">
        <f>IFERROR(__xludf.DUMMYFUNCTION("""COMPUTED_VALUE"""),"119303;INF582M01674;-;Union Liquid Fund - Direct Plan - Growth Option;2231.3169;27-Aug-2023")</f>
        <v>119303;INF582M01674;-;Union Liquid Fund - Direct Plan - Growth Option;2231.3169;27-Aug-2023</v>
      </c>
      <c r="B2057" s="1"/>
    </row>
    <row r="2058">
      <c r="A2058" s="1" t="str">
        <f>IFERROR(__xludf.DUMMYFUNCTION("""COMPUTED_VALUE"""),"119302;INF582M01732;INF582M01716;Union Liquid Fund - Direct Plan - Monthly IDCW Option;1000.8637;27-Aug-2023")</f>
        <v>119302;INF582M01732;INF582M01716;Union Liquid Fund - Direct Plan - Monthly IDCW Option;1000.8637;27-Aug-2023</v>
      </c>
      <c r="B2058" s="1"/>
    </row>
    <row r="2059">
      <c r="A2059" s="1" t="str">
        <f>IFERROR(__xludf.DUMMYFUNCTION("""COMPUTED_VALUE"""),"119304;-;INF582M01690;Union Liquid Fund - Direct Plan - Weekly IDCW Option;1001.7471;27-Aug-2023")</f>
        <v>119304;-;INF582M01690;Union Liquid Fund - Direct Plan - Weekly IDCW Option;1001.7471;27-Aug-2023</v>
      </c>
      <c r="B2059" s="1"/>
    </row>
    <row r="2060">
      <c r="A2060" s="1" t="str">
        <f>IFERROR(__xludf.DUMMYFUNCTION("""COMPUTED_VALUE"""),"115399;INF582M01062;INF582M01047;Union Liquid Fund - Fortnightly IDCW Option;1000.8710;27-Aug-2023")</f>
        <v>115399;INF582M01062;INF582M01047;Union Liquid Fund - Fortnightly IDCW Option;1000.8710;27-Aug-2023</v>
      </c>
      <c r="B2060" s="1"/>
    </row>
    <row r="2061">
      <c r="A2061" s="1" t="str">
        <f>IFERROR(__xludf.DUMMYFUNCTION("""COMPUTED_VALUE"""),"115398;INF582M01013;-;Union Liquid Fund - Growth Option;2208.2846;27-Aug-2023")</f>
        <v>115398;INF582M01013;-;Union Liquid Fund - Growth Option;2208.2846;27-Aug-2023</v>
      </c>
      <c r="B2061" s="1"/>
    </row>
    <row r="2062">
      <c r="A2062" s="1" t="str">
        <f>IFERROR(__xludf.DUMMYFUNCTION("""COMPUTED_VALUE"""),"115400;INF582M01070;INF582M01054;Union Liquid Fund - Monthly IDCW Option;1000.8593;27-Aug-2023")</f>
        <v>115400;INF582M01070;INF582M01054;Union Liquid Fund - Monthly IDCW Option;1000.8593;27-Aug-2023</v>
      </c>
      <c r="B2062" s="1"/>
    </row>
    <row r="2063">
      <c r="A2063" s="1" t="str">
        <f>IFERROR(__xludf.DUMMYFUNCTION("""COMPUTED_VALUE"""),"142345;-;-;Union Liquid Fund - Unclaimed Amounts Plan - IDCW Beyond 3 years;1000.0000;30-Nov-2021")</f>
        <v>142345;-;-;Union Liquid Fund - Unclaimed Amounts Plan - IDCW Beyond 3 years;1000.0000;30-Nov-2021</v>
      </c>
      <c r="B2063" s="1"/>
    </row>
    <row r="2064">
      <c r="A2064" s="1" t="str">
        <f>IFERROR(__xludf.DUMMYFUNCTION("""COMPUTED_VALUE"""),"142344;-;-;Union Liquid Fund - Unclaimed Amounts Plan - IDCW Upto 3 years;1167.6169;30-Nov-2021")</f>
        <v>142344;-;-;Union Liquid Fund - Unclaimed Amounts Plan - IDCW Upto 3 years;1167.6169;30-Nov-2021</v>
      </c>
      <c r="B2064" s="1"/>
    </row>
    <row r="2065">
      <c r="A2065" s="1" t="str">
        <f>IFERROR(__xludf.DUMMYFUNCTION("""COMPUTED_VALUE"""),"142343;-;-;Union Liquid Fund - Unclaimed Amounts Plan - Redemption Beyond 3 years;1000.0000;30-Nov-2021")</f>
        <v>142343;-;-;Union Liquid Fund - Unclaimed Amounts Plan - Redemption Beyond 3 years;1000.0000;30-Nov-2021</v>
      </c>
      <c r="B2065" s="1"/>
    </row>
    <row r="2066">
      <c r="A2066" s="1" t="str">
        <f>IFERROR(__xludf.DUMMYFUNCTION("""COMPUTED_VALUE"""),"142342;-;-;Union Liquid Fund - Unclaimed Amounts Plan - Redemption Upto 3 years;1167.3290;30-Nov-2021")</f>
        <v>142342;-;-;Union Liquid Fund - Unclaimed Amounts Plan - Redemption Upto 3 years;1167.3290;30-Nov-2021</v>
      </c>
      <c r="B2066" s="1"/>
    </row>
    <row r="2067">
      <c r="A2067" s="1" t="str">
        <f>IFERROR(__xludf.DUMMYFUNCTION("""COMPUTED_VALUE"""),"115402;-;INF582M01039;Union Liquid Fund - Weekly IDCW Option;1001.9039;27-Aug-2023")</f>
        <v>115402;-;INF582M01039;Union Liquid Fund - Weekly IDCW Option;1001.9039;27-Aug-2023</v>
      </c>
      <c r="B2067" s="1"/>
    </row>
    <row r="2068">
      <c r="A2068" s="1"/>
      <c r="B2068" s="1"/>
    </row>
    <row r="2069">
      <c r="A2069" s="1" t="str">
        <f>IFERROR(__xludf.DUMMYFUNCTION("""COMPUTED_VALUE"""),"UTI Mutual Fund")</f>
        <v>UTI Mutual Fund</v>
      </c>
      <c r="B2069" s="1"/>
    </row>
    <row r="2070">
      <c r="A2070" s="1"/>
      <c r="B2070" s="1"/>
    </row>
    <row r="2071">
      <c r="A2071" s="1" t="str">
        <f>IFERROR(__xludf.DUMMYFUNCTION("""COMPUTED_VALUE"""),"134427;INF789FA1K63;INF789FA1K71;UTI Liquid Cash Plan - Direct Plan - Annual IDCW;1668.4;27-Aug-2023")</f>
        <v>134427;INF789FA1K63;INF789FA1K71;UTI Liquid Cash Plan - Direct Plan - Annual IDCW;1668.4;27-Aug-2023</v>
      </c>
      <c r="B2071" s="1"/>
    </row>
    <row r="2072">
      <c r="A2072" s="1" t="str">
        <f>IFERROR(__xludf.DUMMYFUNCTION("""COMPUTED_VALUE"""),"120558;-;INF789F01XP8;UTI Liquid Cash Plan - Direct Plan - Daily IDCW (Reinvestment);1062.4117;27-Aug-2023")</f>
        <v>120558;-;INF789F01XP8;UTI Liquid Cash Plan - Direct Plan - Daily IDCW (Reinvestment);1062.4117;27-Aug-2023</v>
      </c>
      <c r="B2072" s="1"/>
    </row>
    <row r="2073">
      <c r="A2073" s="1" t="str">
        <f>IFERROR(__xludf.DUMMYFUNCTION("""COMPUTED_VALUE"""),"141768;INF789FA1K89;INF789FA1K97;UTI Liquid Cash Plan - Direct Plan - Flexi IDCW;1374.1693;27-Aug-2023")</f>
        <v>141768;INF789FA1K89;INF789FA1K97;UTI Liquid Cash Plan - Direct Plan - Flexi IDCW;1374.1693;27-Aug-2023</v>
      </c>
      <c r="B2073" s="1"/>
    </row>
    <row r="2074">
      <c r="A2074" s="1" t="str">
        <f>IFERROR(__xludf.DUMMYFUNCTION("""COMPUTED_VALUE"""),"140913;INF789FA1K06;INF789FA1K14;UTI Liquid Cash Plan - Direct Plan - Fortnightly IDCW;1155.264;27-Aug-2023")</f>
        <v>140913;INF789FA1K06;INF789FA1K14;UTI Liquid Cash Plan - Direct Plan - Fortnightly IDCW;1155.264;27-Aug-2023</v>
      </c>
      <c r="B2074" s="1"/>
    </row>
    <row r="2075">
      <c r="A2075" s="1" t="str">
        <f>IFERROR(__xludf.DUMMYFUNCTION("""COMPUTED_VALUE"""),"140504;INF789FA1K48;INF789FA1K55;UTI Liquid Cash Plan - Direct Plan - Half-Yearly IDCW;1303.2387;27-Aug-2023")</f>
        <v>140504;INF789FA1K48;INF789FA1K55;UTI Liquid Cash Plan - Direct Plan - Half-Yearly IDCW;1303.2387;27-Aug-2023</v>
      </c>
      <c r="B2075" s="1"/>
    </row>
    <row r="2076">
      <c r="A2076" s="1" t="str">
        <f>IFERROR(__xludf.DUMMYFUNCTION("""COMPUTED_VALUE"""),"120794;INF789F01XR4;INF789F01XS2;UTI Liquid Cash Plan - Direct Plan - Monthly IDCW;1048.1911;27-Aug-2023")</f>
        <v>120794;INF789F01XR4;INF789F01XS2;UTI Liquid Cash Plan - Direct Plan - Monthly IDCW;1048.1911;27-Aug-2023</v>
      </c>
      <c r="B2076" s="1"/>
    </row>
    <row r="2077">
      <c r="A2077" s="1" t="str">
        <f>IFERROR(__xludf.DUMMYFUNCTION("""COMPUTED_VALUE"""),"140024;INF789FA1K22;INF789FA1K30;UTI Liquid Cash Plan - Direct Plan - Quarterly IDCW;1575.6898;27-Aug-2023")</f>
        <v>140024;INF789FA1K22;INF789FA1K30;UTI Liquid Cash Plan - Direct Plan - Quarterly IDCW;1575.6898;27-Aug-2023</v>
      </c>
      <c r="B2077" s="1"/>
    </row>
    <row r="2078">
      <c r="A2078" s="1" t="str">
        <f>IFERROR(__xludf.DUMMYFUNCTION("""COMPUTED_VALUE"""),"120777;-;INF789F01XT0;UTI Liquid Cash Plan - Direct Plan - Weekly IDCW;1178.049;27-Aug-2023")</f>
        <v>120777;-;INF789F01XT0;UTI Liquid Cash Plan - Direct Plan - Weekly IDCW;1178.049;27-Aug-2023</v>
      </c>
      <c r="B2078" s="1"/>
    </row>
    <row r="2079">
      <c r="A2079" s="1" t="str">
        <f>IFERROR(__xludf.DUMMYFUNCTION("""COMPUTED_VALUE"""),"133973;INF789FA1J66;INF789FA1J74;UTI Liquid Cash Plan - Regular Plan - Annual IDCW;1660.4263;27-Aug-2023")</f>
        <v>133973;INF789FA1J66;INF789FA1J74;UTI Liquid Cash Plan - Regular Plan - Annual IDCW;1660.4263;27-Aug-2023</v>
      </c>
      <c r="B2079" s="1"/>
    </row>
    <row r="2080">
      <c r="A2080" s="1" t="str">
        <f>IFERROR(__xludf.DUMMYFUNCTION("""COMPUTED_VALUE"""),"102010;-;INF789F01PG3;UTI Liquid Cash Plan - Regular Plan - Daily IDCW (Reinvestment);1066.5378;27-Aug-2023")</f>
        <v>102010;-;INF789F01PG3;UTI Liquid Cash Plan - Regular Plan - Daily IDCW (Reinvestment);1066.5378;27-Aug-2023</v>
      </c>
      <c r="B2080" s="1"/>
    </row>
    <row r="2081">
      <c r="A2081" s="1" t="str">
        <f>IFERROR(__xludf.DUMMYFUNCTION("""COMPUTED_VALUE"""),"140517;INF789FA1J82;INF789FA1J90;UTI Liquid Cash Plan - Regular Plan - Flexi IDCW;1368.4869;27-Aug-2023")</f>
        <v>140517;INF789FA1J82;INF789FA1J90;UTI Liquid Cash Plan - Regular Plan - Flexi IDCW;1368.4869;27-Aug-2023</v>
      </c>
      <c r="B2081" s="1"/>
    </row>
    <row r="2082">
      <c r="A2082" s="1" t="str">
        <f>IFERROR(__xludf.DUMMYFUNCTION("""COMPUTED_VALUE"""),"139838;INF789FA1J09;INF789FA1J17;UTI Liquid Cash Plan - Regular Plan - Fortnightly IDCW;1154.4414;27-Aug-2023")</f>
        <v>139838;INF789FA1J09;INF789FA1J17;UTI Liquid Cash Plan - Regular Plan - Fortnightly IDCW;1154.4414;27-Aug-2023</v>
      </c>
      <c r="B2082" s="1"/>
    </row>
    <row r="2083">
      <c r="A2083" s="1" t="str">
        <f>IFERROR(__xludf.DUMMYFUNCTION("""COMPUTED_VALUE"""),"144475;INF789FA1J41;INF789FA1J58;UTI Liquid Cash Plan - Regular Plan - Half-Yearly IDCW;1156.0864;27-Aug-2023")</f>
        <v>144475;INF789FA1J41;INF789FA1J58;UTI Liquid Cash Plan - Regular Plan - Half-Yearly IDCW;1156.0864;27-Aug-2023</v>
      </c>
      <c r="B2083" s="1"/>
    </row>
    <row r="2084">
      <c r="A2084" s="1" t="str">
        <f>IFERROR(__xludf.DUMMYFUNCTION("""COMPUTED_VALUE"""),"102011;INF789F01PI9;INF789F01PJ7;UTI Liquid Cash Plan - Regular Plan - Monthly IDCW;1052.1449;27-Aug-2023")</f>
        <v>102011;INF789F01PI9;INF789F01PJ7;UTI Liquid Cash Plan - Regular Plan - Monthly IDCW;1052.1449;27-Aug-2023</v>
      </c>
      <c r="B2084" s="1"/>
    </row>
    <row r="2085">
      <c r="A2085" s="1" t="str">
        <f>IFERROR(__xludf.DUMMYFUNCTION("""COMPUTED_VALUE"""),"135721;INF789FA1J33;-;UTI Liquid Cash Plan - Regular Plan - Quarterly IDCW;1567.8124;27-Aug-2023")</f>
        <v>135721;INF789FA1J33;-;UTI Liquid Cash Plan - Regular Plan - Quarterly IDCW;1567.8124;27-Aug-2023</v>
      </c>
      <c r="B2085" s="1"/>
    </row>
    <row r="2086">
      <c r="A2086" s="1" t="str">
        <f>IFERROR(__xludf.DUMMYFUNCTION("""COMPUTED_VALUE"""),"102013;-;INF789F01PK5;UTI Liquid Cash Plan - Regular Plan - Weekly IDCW;1053.7291;27-Aug-2023")</f>
        <v>102013;-;INF789F01PK5;UTI Liquid Cash Plan - Regular Plan - Weekly IDCW;1053.7291;27-Aug-2023</v>
      </c>
      <c r="B2086" s="1"/>
    </row>
    <row r="2087">
      <c r="A2087" s="1" t="str">
        <f>IFERROR(__xludf.DUMMYFUNCTION("""COMPUTED_VALUE"""),"120304;INF789F01XQ6;-;UTI-  Liquid Cash Plan - Direct Plan - Growth Option;3793.6527;27-Aug-2023")</f>
        <v>120304;INF789F01XQ6;-;UTI-  Liquid Cash Plan - Direct Plan - Growth Option;3793.6527;27-Aug-2023</v>
      </c>
      <c r="B2087" s="1"/>
    </row>
    <row r="2088">
      <c r="A2088" s="1" t="str">
        <f>IFERROR(__xludf.DUMMYFUNCTION("""COMPUTED_VALUE"""),"102012;INF789F01PH1;-;UTI-  Liquid Cash Plan - Regular Plan - Growth Option;3765.6448;27-Aug-2023")</f>
        <v>102012;INF789F01PH1;-;UTI-  Liquid Cash Plan - Regular Plan - Growth Option;3765.6448;27-Aug-2023</v>
      </c>
      <c r="B2088" s="1"/>
    </row>
    <row r="2089">
      <c r="A2089" s="1" t="str">
        <f>IFERROR(__xludf.DUMMYFUNCTION("""COMPUTED_VALUE"""),"102008;INF789F01BC2;INF789F01BA6;UTI-  Liquid Cash Plan- Discontinued - Regular Plan - Monthly Dividend Option;1076.2999;27-Aug-2023")</f>
        <v>102008;INF789F01BC2;INF789F01BA6;UTI-  Liquid Cash Plan- Discontinued - Regular Plan - Monthly Dividend Option;1076.2999;27-Aug-2023</v>
      </c>
      <c r="B2089" s="1"/>
    </row>
    <row r="2090">
      <c r="A2090" s="1" t="str">
        <f>IFERROR(__xludf.DUMMYFUNCTION("""COMPUTED_VALUE"""),"102009;INF789F01BB4;-;UTI-  Liquid Cash Plan- Discontinued - Regular Plan -Growth;3437.4552;27-Aug-2023")</f>
        <v>102009;INF789F01BB4;-;UTI-  Liquid Cash Plan- Discontinued - Regular Plan -Growth;3437.4552;27-Aug-2023</v>
      </c>
      <c r="B2090" s="1"/>
    </row>
    <row r="2091">
      <c r="A2091" s="1" t="str">
        <f>IFERROR(__xludf.DUMMYFUNCTION("""COMPUTED_VALUE"""),"102007;-;INF789F01AZ5;UTI-  Liquid Cash Plan- Discontinued -Regular Plan Periodic Dividend Option;1136.4651;27-Aug-2023")</f>
        <v>102007;-;INF789F01AZ5;UTI-  Liquid Cash Plan- Discontinued -Regular Plan Periodic Dividend Option;1136.4651;27-Aug-2023</v>
      </c>
      <c r="B2091" s="1"/>
    </row>
    <row r="2092">
      <c r="A2092" s="1"/>
      <c r="B2092" s="1"/>
    </row>
    <row r="2093">
      <c r="A2093" s="1" t="str">
        <f>IFERROR(__xludf.DUMMYFUNCTION("""COMPUTED_VALUE"""),"WhiteOak Capital Mutual Fund")</f>
        <v>WhiteOak Capital Mutual Fund</v>
      </c>
      <c r="B2093" s="1"/>
    </row>
    <row r="2094">
      <c r="A2094" s="1"/>
      <c r="B2094" s="1"/>
    </row>
    <row r="2095">
      <c r="A2095" s="1" t="str">
        <f>IFERROR(__xludf.DUMMYFUNCTION("""COMPUTED_VALUE"""),"145969;-;INF03VN01019;WhiteOak Capital Liquid Fund- Direct plan-Daily Reinvestment of Income Distribution cum capital withdrawal option (IDCW);1000.9846;27-Aug-2023")</f>
        <v>145969;-;INF03VN01019;WhiteOak Capital Liquid Fund- Direct plan-Daily Reinvestment of Income Distribution cum capital withdrawal option (IDCW);1000.9846;27-Aug-2023</v>
      </c>
      <c r="B2095" s="1"/>
    </row>
    <row r="2096">
      <c r="A2096" s="1" t="str">
        <f>IFERROR(__xludf.DUMMYFUNCTION("""COMPUTED_VALUE"""),"145966;INF03VN01027;INF03VN01035;WhiteOak Capital Liquid Fund- Direct plan-Fortnightly Payout/ Reinvestment of Income Distribution cum capital withdrawal option (IDCW);1002.7548;27-Aug-2023")</f>
        <v>145966;INF03VN01027;INF03VN01035;WhiteOak Capital Liquid Fund- Direct plan-Fortnightly Payout/ Reinvestment of Income Distribution cum capital withdrawal option (IDCW);1002.7548;27-Aug-2023</v>
      </c>
      <c r="B2096" s="1"/>
    </row>
    <row r="2097">
      <c r="A2097" s="1" t="str">
        <f>IFERROR(__xludf.DUMMYFUNCTION("""COMPUTED_VALUE"""),"145971;INF03VN01043;-;WhiteOak Capital Liquid Fund- Direct plan-Growth Option;1242.0973;27-Aug-2023")</f>
        <v>145971;INF03VN01043;-;WhiteOak Capital Liquid Fund- Direct plan-Growth Option;1242.0973;27-Aug-2023</v>
      </c>
      <c r="B2097" s="1"/>
    </row>
    <row r="2098">
      <c r="A2098" s="1" t="str">
        <f>IFERROR(__xludf.DUMMYFUNCTION("""COMPUTED_VALUE"""),"145967;INF03VN01050;INF03VN01068;WhiteOak Capital Liquid Fund- Direct plan-Monthly  Payout/ Reinvestment of Income Distribution cum capital withdrawal option (IDCW);1002.5169;27-Aug-2023")</f>
        <v>145967;INF03VN01050;INF03VN01068;WhiteOak Capital Liquid Fund- Direct plan-Monthly  Payout/ Reinvestment of Income Distribution cum capital withdrawal option (IDCW);1002.5169;27-Aug-2023</v>
      </c>
      <c r="B2098" s="1"/>
    </row>
    <row r="2099">
      <c r="A2099" s="1" t="str">
        <f>IFERROR(__xludf.DUMMYFUNCTION("""COMPUTED_VALUE"""),"145970;INF03VN01076;INF03VN01084;WhiteOak Capital Liquid Fund- Direct plan-Weekly Payout/ Reinvestment of Income Distribution cum capital withdrawal option (IDCW);1002.2619;27-Aug-2023")</f>
        <v>145970;INF03VN01076;INF03VN01084;WhiteOak Capital Liquid Fund- Direct plan-Weekly Payout/ Reinvestment of Income Distribution cum capital withdrawal option (IDCW);1002.2619;27-Aug-2023</v>
      </c>
      <c r="B2099" s="1"/>
    </row>
    <row r="2100">
      <c r="A2100" s="1" t="str">
        <f>IFERROR(__xludf.DUMMYFUNCTION("""COMPUTED_VALUE"""),"145963;-;INF03VN01092;WhiteOak Capital Liquid Fund- Regular plan-Daily Reinvestment of Income Distribution cum capital withdrawal option (IDCW);1000.9557;27-Aug-2023")</f>
        <v>145963;-;INF03VN01092;WhiteOak Capital Liquid Fund- Regular plan-Daily Reinvestment of Income Distribution cum capital withdrawal option (IDCW);1000.9557;27-Aug-2023</v>
      </c>
      <c r="B2100" s="1"/>
    </row>
    <row r="2101">
      <c r="A2101" s="1" t="str">
        <f>IFERROR(__xludf.DUMMYFUNCTION("""COMPUTED_VALUE"""),"145965;INF03VN01100;INF03VN01118;WhiteOak Capital Liquid Fund- Regular plan-Fortnightly Payout/ Reinvestment of Income Distribution cum capital withdrawal option (IDCW);1004.7038;27-Aug-2023")</f>
        <v>145965;INF03VN01100;INF03VN01118;WhiteOak Capital Liquid Fund- Regular plan-Fortnightly Payout/ Reinvestment of Income Distribution cum capital withdrawal option (IDCW);1004.7038;27-Aug-2023</v>
      </c>
      <c r="B2101" s="1"/>
    </row>
    <row r="2102">
      <c r="A2102" s="1" t="str">
        <f>IFERROR(__xludf.DUMMYFUNCTION("""COMPUTED_VALUE"""),"145968;INF03VN01126;-;WhiteOak Capital Liquid Fund- Regular plan-Growth Option;1236.9091;27-Aug-2023")</f>
        <v>145968;INF03VN01126;-;WhiteOak Capital Liquid Fund- Regular plan-Growth Option;1236.9091;27-Aug-2023</v>
      </c>
      <c r="B2102" s="1"/>
    </row>
    <row r="2103">
      <c r="A2103" s="1" t="str">
        <f>IFERROR(__xludf.DUMMYFUNCTION("""COMPUTED_VALUE"""),"145972;INF03VN01134;INF03VN01142;WhiteOak Capital Liquid Fund- Regular plan-Monthly Payout/ Reinvestment of Income Distribution cum capital withdrawal option (IDCW);1003.0122;27-Aug-2023")</f>
        <v>145972;INF03VN01134;INF03VN01142;WhiteOak Capital Liquid Fund- Regular plan-Monthly Payout/ Reinvestment of Income Distribution cum capital withdrawal option (IDCW);1003.0122;27-Aug-2023</v>
      </c>
      <c r="B2103" s="1"/>
    </row>
    <row r="2104">
      <c r="A2104" s="1" t="str">
        <f>IFERROR(__xludf.DUMMYFUNCTION("""COMPUTED_VALUE"""),"145964;INF03VN01159;INF03VN01167;WhiteOak Capital Liquid Fund- Regular plan-Weekly Payout/ Reinvestment of Income Distribution cum capital withdrawal option (IDCW);1002.2500;27-Aug-2023")</f>
        <v>145964;INF03VN01159;INF03VN01167;WhiteOak Capital Liquid Fund- Regular plan-Weekly Payout/ Reinvestment of Income Distribution cum capital withdrawal option (IDCW);1002.2500;27-Aug-2023</v>
      </c>
      <c r="B2104" s="1"/>
    </row>
    <row r="2105">
      <c r="A2105" s="1"/>
      <c r="B2105" s="1"/>
    </row>
    <row r="2106">
      <c r="A2106" s="1" t="str">
        <f>IFERROR(__xludf.DUMMYFUNCTION("""COMPUTED_VALUE"""),"Open Ended Schemes(Debt Scheme - Long Duration Fund)")</f>
        <v>Open Ended Schemes(Debt Scheme - Long Duration Fund)</v>
      </c>
      <c r="B2106" s="1"/>
    </row>
    <row r="2107">
      <c r="A2107" s="1"/>
      <c r="B2107" s="1"/>
    </row>
    <row r="2108">
      <c r="A2108" s="1" t="str">
        <f>IFERROR(__xludf.DUMMYFUNCTION("""COMPUTED_VALUE"""),"Aditya Birla Sun Life Mutual Fund")</f>
        <v>Aditya Birla Sun Life Mutual Fund</v>
      </c>
      <c r="B2108" s="1"/>
    </row>
    <row r="2109">
      <c r="A2109" s="1"/>
      <c r="B2109" s="1"/>
    </row>
    <row r="2110">
      <c r="A2110" s="1" t="str">
        <f>IFERROR(__xludf.DUMMYFUNCTION("""COMPUTED_VALUE"""),"150484;INF209KB17J2;-;Aditya Birla Sun Life Long Duration Fund-Direct Growth;11.0077;25-Aug-2023")</f>
        <v>150484;INF209KB17J2;-;Aditya Birla Sun Life Long Duration Fund-Direct Growth;11.0077;25-Aug-2023</v>
      </c>
      <c r="B2110" s="1"/>
    </row>
    <row r="2111">
      <c r="A2111" s="1" t="str">
        <f>IFERROR(__xludf.DUMMYFUNCTION("""COMPUTED_VALUE"""),"150485;INF209KB18J0;INF209KB19J8;Aditya Birla Sun Life Long Duration Fund-Direct IDCW Payout;11.0077;25-Aug-2023")</f>
        <v>150485;INF209KB18J0;INF209KB19J8;Aditya Birla Sun Life Long Duration Fund-Direct IDCW Payout;11.0077;25-Aug-2023</v>
      </c>
      <c r="B2111" s="1"/>
    </row>
    <row r="2112">
      <c r="A2112" s="1" t="str">
        <f>IFERROR(__xludf.DUMMYFUNCTION("""COMPUTED_VALUE"""),"150482;INF209KB14J9;-;Aditya Birla Sun Life Long Duration Fund-Regular Growth;10.9373;25-Aug-2023")</f>
        <v>150482;INF209KB14J9;-;Aditya Birla Sun Life Long Duration Fund-Regular Growth;10.9373;25-Aug-2023</v>
      </c>
      <c r="B2112" s="1"/>
    </row>
    <row r="2113">
      <c r="A2113" s="1" t="str">
        <f>IFERROR(__xludf.DUMMYFUNCTION("""COMPUTED_VALUE"""),"150483;INF209KB15J6;INF209KB16J4;Aditya Birla Sun Life Long Duration Fund-Regular IDCW Payout;10.9319;25-Aug-2023")</f>
        <v>150483;INF209KB15J6;INF209KB16J4;Aditya Birla Sun Life Long Duration Fund-Regular IDCW Payout;10.9319;25-Aug-2023</v>
      </c>
      <c r="B2113" s="1"/>
    </row>
    <row r="2114">
      <c r="A2114" s="1"/>
      <c r="B2114" s="1"/>
    </row>
    <row r="2115">
      <c r="A2115" s="1" t="str">
        <f>IFERROR(__xludf.DUMMYFUNCTION("""COMPUTED_VALUE"""),"Axis Mutual Fund")</f>
        <v>Axis Mutual Fund</v>
      </c>
      <c r="B2115" s="1"/>
    </row>
    <row r="2116">
      <c r="A2116" s="1"/>
      <c r="B2116" s="1"/>
    </row>
    <row r="2117">
      <c r="A2117" s="1" t="str">
        <f>IFERROR(__xludf.DUMMYFUNCTION("""COMPUTED_VALUE"""),"151205;INF846K017M4;INF846K019M0;Axis Long Duration Fund - Direct Plan - Annual IDCW;1055.3536;25-Aug-2023")</f>
        <v>151205;INF846K017M4;INF846K019M0;Axis Long Duration Fund - Direct Plan - Annual IDCW;1055.3536;25-Aug-2023</v>
      </c>
      <c r="B2117" s="1"/>
    </row>
    <row r="2118">
      <c r="A2118" s="1" t="str">
        <f>IFERROR(__xludf.DUMMYFUNCTION("""COMPUTED_VALUE"""),"151179;INF846K014L3;-;Axis Long Duration Fund - Direct Plan - Growth;1057.9983;25-Aug-2023")</f>
        <v>151179;INF846K014L3;-;Axis Long Duration Fund - Direct Plan - Growth;1057.9983;25-Aug-2023</v>
      </c>
      <c r="B2118" s="1"/>
    </row>
    <row r="2119">
      <c r="A2119" s="1" t="str">
        <f>IFERROR(__xludf.DUMMYFUNCTION("""COMPUTED_VALUE"""),"151202;INF846K019L2;INF846K011M7;Axis Long Duration Fund - Direct Plan - Monthly IDCW;1007.4105;25-Aug-2023")</f>
        <v>151202;INF846K019L2;INF846K011M7;Axis Long Duration Fund - Direct Plan - Monthly IDCW;1007.4105;25-Aug-2023</v>
      </c>
      <c r="B2119" s="1"/>
    </row>
    <row r="2120">
      <c r="A2120" s="1" t="str">
        <f>IFERROR(__xludf.DUMMYFUNCTION("""COMPUTED_VALUE"""),"151204;INF846K013M3;INF846K015M8;Axis Long Duration Fund - Direct Plan - Quarterly IDCW;1052.8963;25-Aug-2023")</f>
        <v>151204;INF846K013M3;INF846K015M8;Axis Long Duration Fund - Direct Plan - Quarterly IDCW;1052.8963;25-Aug-2023</v>
      </c>
      <c r="B2120" s="1"/>
    </row>
    <row r="2121">
      <c r="A2121" s="1" t="str">
        <f>IFERROR(__xludf.DUMMYFUNCTION("""COMPUTED_VALUE"""),"151176;-;INF846K017L6;Axis Long Duration Fund - Direct Plan -Daily IDCW;1011.6580;10-Feb-2023")</f>
        <v>151176;-;INF846K017L6;Axis Long Duration Fund - Direct Plan -Daily IDCW;1011.6580;10-Feb-2023</v>
      </c>
      <c r="B2121" s="1"/>
    </row>
    <row r="2122">
      <c r="A2122" s="1" t="str">
        <f>IFERROR(__xludf.DUMMYFUNCTION("""COMPUTED_VALUE"""),"151206;INF846K016M6;INF846K018M2;Axis Long Duration Fund - Regular Plan - Annual IDCW;1051.5845;25-Aug-2023")</f>
        <v>151206;INF846K016M6;INF846K018M2;Axis Long Duration Fund - Regular Plan - Annual IDCW;1051.5845;25-Aug-2023</v>
      </c>
      <c r="B2122" s="1"/>
    </row>
    <row r="2123">
      <c r="A2123" s="1" t="str">
        <f>IFERROR(__xludf.DUMMYFUNCTION("""COMPUTED_VALUE"""),"151177;-;INF846K016L8;Axis Long Duration Fund - Regular Plan - Daily IDCW;1007.6213;25-Aug-2023")</f>
        <v>151177;-;INF846K016L8;Axis Long Duration Fund - Regular Plan - Daily IDCW;1007.6213;25-Aug-2023</v>
      </c>
      <c r="B2123" s="1"/>
    </row>
    <row r="2124">
      <c r="A2124" s="1" t="str">
        <f>IFERROR(__xludf.DUMMYFUNCTION("""COMPUTED_VALUE"""),"151178;INF846K015L0;-;Axis Long Duration Fund - Regular Plan - Growth;1054.1536;25-Aug-2023")</f>
        <v>151178;INF846K015L0;-;Axis Long Duration Fund - Regular Plan - Growth;1054.1536;25-Aug-2023</v>
      </c>
      <c r="B2124" s="1"/>
    </row>
    <row r="2125">
      <c r="A2125" s="1" t="str">
        <f>IFERROR(__xludf.DUMMYFUNCTION("""COMPUTED_VALUE"""),"151201;INF846K018L4;INF846K010M9;Axis Long Duration Fund - Regular Plan - Monthly IDCW;1003.3674;25-Aug-2023")</f>
        <v>151201;INF846K018L4;INF846K010M9;Axis Long Duration Fund - Regular Plan - Monthly IDCW;1003.3674;25-Aug-2023</v>
      </c>
      <c r="B2125" s="1"/>
    </row>
    <row r="2126">
      <c r="A2126" s="1" t="str">
        <f>IFERROR(__xludf.DUMMYFUNCTION("""COMPUTED_VALUE"""),"151203;INF846K012M5;INF846K014M1;Axis Long Duration Fund - Regular Plan - Quarterly IDCW;1049.0516;25-Aug-2023")</f>
        <v>151203;INF846K012M5;INF846K014M1;Axis Long Duration Fund - Regular Plan - Quarterly IDCW;1049.0516;25-Aug-2023</v>
      </c>
      <c r="B2126" s="1"/>
    </row>
    <row r="2127">
      <c r="A2127" s="1"/>
      <c r="B2127" s="1"/>
    </row>
    <row r="2128">
      <c r="A2128" s="1" t="str">
        <f>IFERROR(__xludf.DUMMYFUNCTION("""COMPUTED_VALUE"""),"HDFC Mutual Fund")</f>
        <v>HDFC Mutual Fund</v>
      </c>
      <c r="B2128" s="1"/>
    </row>
    <row r="2129">
      <c r="A2129" s="1"/>
      <c r="B2129" s="1"/>
    </row>
    <row r="2130">
      <c r="A2130" s="1" t="str">
        <f>IFERROR(__xludf.DUMMYFUNCTION("""COMPUTED_VALUE"""),"151314;INF179KC1EW1;-;HDFC Long Duration Debt Fund - Growth Option;10.4559;25-Aug-2023")</f>
        <v>151314;INF179KC1EW1;-;HDFC Long Duration Debt Fund - Growth Option;10.4559;25-Aug-2023</v>
      </c>
      <c r="B2130" s="1"/>
    </row>
    <row r="2131">
      <c r="A2131" s="1" t="str">
        <f>IFERROR(__xludf.DUMMYFUNCTION("""COMPUTED_VALUE"""),"151313;INF179KC1ET7;-;HDFC Long Duration Debt Fund - Growth Option - Direct Plan;10.4791;25-Aug-2023")</f>
        <v>151313;INF179KC1ET7;-;HDFC Long Duration Debt Fund - Growth Option - Direct Plan;10.4791;25-Aug-2023</v>
      </c>
      <c r="B2131" s="1"/>
    </row>
    <row r="2132">
      <c r="A2132" s="1" t="str">
        <f>IFERROR(__xludf.DUMMYFUNCTION("""COMPUTED_VALUE"""),"151311;INF179KC1EX9;INF179KC1EY7;HDFC Long Duration Debt Fund - IDCW Option;10.2148;25-Aug-2023")</f>
        <v>151311;INF179KC1EX9;INF179KC1EY7;HDFC Long Duration Debt Fund - IDCW Option;10.2148;25-Aug-2023</v>
      </c>
      <c r="B2132" s="1"/>
    </row>
    <row r="2133">
      <c r="A2133" s="1" t="str">
        <f>IFERROR(__xludf.DUMMYFUNCTION("""COMPUTED_VALUE"""),"151312;INF179KC1EU5;INF179KC1EV3;HDFC Long Duration Debt Fund - IDCW Option - Direct Plan;10.2664;25-Aug-2023")</f>
        <v>151312;INF179KC1EU5;INF179KC1EV3;HDFC Long Duration Debt Fund - IDCW Option - Direct Plan;10.2664;25-Aug-2023</v>
      </c>
      <c r="B2133" s="1"/>
    </row>
    <row r="2134">
      <c r="A2134" s="1"/>
      <c r="B2134" s="1"/>
    </row>
    <row r="2135">
      <c r="A2135" s="1" t="str">
        <f>IFERROR(__xludf.DUMMYFUNCTION("""COMPUTED_VALUE"""),"ICICI Prudential Mutual Fund")</f>
        <v>ICICI Prudential Mutual Fund</v>
      </c>
      <c r="B2135" s="1"/>
    </row>
    <row r="2136">
      <c r="A2136" s="1"/>
      <c r="B2136" s="1"/>
    </row>
    <row r="2137">
      <c r="A2137" s="1" t="str">
        <f>IFERROR(__xludf.DUMMYFUNCTION("""COMPUTED_VALUE"""),"131623;INF109KA11C4;INF109KA10C6;ICICI Prudential Long Term Bond Fund - Annual IDCW;10.4720;16-Sep-2022")</f>
        <v>131623;INF109KA11C4;INF109KA10C6;ICICI Prudential Long Term Bond Fund - Annual IDCW;10.4720;16-Sep-2022</v>
      </c>
      <c r="B2137" s="1"/>
    </row>
    <row r="2138">
      <c r="A2138" s="1" t="str">
        <f>IFERROR(__xludf.DUMMYFUNCTION("""COMPUTED_VALUE"""),"122673;INF109KA1335;-;ICICI Prudential Long Term Bond Fund - Bonus;68.2598;24-Apr-2020")</f>
        <v>122673;INF109KA1335;-;ICICI Prudential Long Term Bond Fund - Bonus;68.2598;24-Apr-2020</v>
      </c>
      <c r="B2138" s="1"/>
    </row>
    <row r="2139">
      <c r="A2139" s="1" t="str">
        <f>IFERROR(__xludf.DUMMYFUNCTION("""COMPUTED_VALUE"""),"120743;INF109K017L8;-;ICICI Prudential Long Term Bond Fund - Direct Plan - Growth;83.1573;25-Aug-2023")</f>
        <v>120743;INF109K017L8;-;ICICI Prudential Long Term Bond Fund - Direct Plan - Growth;83.1573;25-Aug-2023</v>
      </c>
      <c r="B2139" s="1"/>
    </row>
    <row r="2140">
      <c r="A2140" s="1" t="str">
        <f>IFERROR(__xludf.DUMMYFUNCTION("""COMPUTED_VALUE"""),"120748;INF109K018L6;INF109K019L4;ICICI Prudential Long Term Bond Fund - Direct Plan - Half Yearly IDCW;11.9879;16-Sep-2022")</f>
        <v>120748;INF109K018L6;INF109K019L4;ICICI Prudential Long Term Bond Fund - Direct Plan - Half Yearly IDCW;11.9879;16-Sep-2022</v>
      </c>
      <c r="B2140" s="1"/>
    </row>
    <row r="2141">
      <c r="A2141" s="1" t="str">
        <f>IFERROR(__xludf.DUMMYFUNCTION("""COMPUTED_VALUE"""),"120747;INF109K010M1;INF109K011M9;ICICI Prudential Long Term Bond Fund - Direct Plan - Quarterly IDCW;12.5597;25-Aug-2023")</f>
        <v>120747;INF109K010M1;INF109K011M9;ICICI Prudential Long Term Bond Fund - Direct Plan - Quarterly IDCW;12.5597;25-Aug-2023</v>
      </c>
      <c r="B2141" s="1"/>
    </row>
    <row r="2142">
      <c r="A2142" s="1" t="str">
        <f>IFERROR(__xludf.DUMMYFUNCTION("""COMPUTED_VALUE"""),"100365;INF109K01365;-;ICICI Prudential Long Term Bond Fund - Growth;76.7540;25-Aug-2023")</f>
        <v>100365;INF109K01365;-;ICICI Prudential Long Term Bond Fund - Growth;76.7540;25-Aug-2023</v>
      </c>
      <c r="B2142" s="1"/>
    </row>
    <row r="2143">
      <c r="A2143" s="1" t="str">
        <f>IFERROR(__xludf.DUMMYFUNCTION("""COMPUTED_VALUE"""),"100364;INF109K01EX3;INF109K01357;ICICI Prudential Long Term Bond Fund - Half Yearly IDCW;11.1771;16-Sep-2022")</f>
        <v>100364;INF109K01EX3;INF109K01357;ICICI Prudential Long Term Bond Fund - Half Yearly IDCW;11.1771;16-Sep-2022</v>
      </c>
      <c r="B2143" s="1"/>
    </row>
    <row r="2144">
      <c r="A2144" s="1" t="str">
        <f>IFERROR(__xludf.DUMMYFUNCTION("""COMPUTED_VALUE"""),"100367;INF109K01EZ8;INF109K01399;ICICI Prudential Long Term Bond Fund - Quarterly IDCW;12.2162;25-Aug-2023")</f>
        <v>100367;INF109K01EZ8;INF109K01399;ICICI Prudential Long Term Bond Fund - Quarterly IDCW;12.2162;25-Aug-2023</v>
      </c>
      <c r="B2144" s="1"/>
    </row>
    <row r="2145">
      <c r="A2145" s="1" t="str">
        <f>IFERROR(__xludf.DUMMYFUNCTION("""COMPUTED_VALUE"""),"131622;INF109KA13C0;INF109KA12C2;ICICI Prudential Long Term Bond Fund Direct Plan - Annual IDCW;11.5873;16-Sep-2022")</f>
        <v>131622;INF109KA13C0;INF109KA12C2;ICICI Prudential Long Term Bond Fund Direct Plan - Annual IDCW;11.5873;16-Sep-2022</v>
      </c>
      <c r="B2145" s="1"/>
    </row>
    <row r="2146">
      <c r="A2146" s="1" t="str">
        <f>IFERROR(__xludf.DUMMYFUNCTION("""COMPUTED_VALUE"""),"100366;INF109K01EY1;INF109K01381;ICICI Prudential Long Term Bond Fund-Institutional Quarterly Dividend;11.7562;24-Apr-2020")</f>
        <v>100366;INF109K01EY1;INF109K01381;ICICI Prudential Long Term Bond Fund-Institutional Quarterly Dividend;11.7562;24-Apr-2020</v>
      </c>
      <c r="B2146" s="1"/>
    </row>
    <row r="2147">
      <c r="A2147" s="1" t="str">
        <f>IFERROR(__xludf.DUMMYFUNCTION("""COMPUTED_VALUE"""),"101642;INF109K01EW5;INF109K01373;ICICI Prudential Long Term Bond Fund - Institutional Dividend Halfyearly;10.8508;24-Apr-2020")</f>
        <v>101642;INF109K01EW5;INF109K01373;ICICI Prudential Long Term Bond Fund - Institutional Dividend Halfyearly;10.8508;24-Apr-2020</v>
      </c>
      <c r="B2147" s="1"/>
    </row>
    <row r="2148">
      <c r="A2148" s="1" t="str">
        <f>IFERROR(__xludf.DUMMYFUNCTION("""COMPUTED_VALUE"""),"101643;INF109K01407;-;ICICI Prudential Long Term Bond Fund-Institutional Option-Growth;73.5439;24-Apr-2020")</f>
        <v>101643;INF109K01407;-;ICICI Prudential Long Term Bond Fund-Institutional Option-Growth;73.5439;24-Apr-2020</v>
      </c>
      <c r="B2148" s="1"/>
    </row>
    <row r="2149">
      <c r="A2149" s="1"/>
      <c r="B2149" s="1"/>
    </row>
    <row r="2150">
      <c r="A2150" s="1" t="str">
        <f>IFERROR(__xludf.DUMMYFUNCTION("""COMPUTED_VALUE"""),"Nippon India Mutual Fund")</f>
        <v>Nippon India Mutual Fund</v>
      </c>
      <c r="B2150" s="1"/>
    </row>
    <row r="2151">
      <c r="A2151" s="1"/>
      <c r="B2151" s="1"/>
    </row>
    <row r="2152">
      <c r="A2152" s="1" t="str">
        <f>IFERROR(__xludf.DUMMYFUNCTION("""COMPUTED_VALUE"""),"143703;INF204KB1ZK1;INF204KB1ZL9;NIPPON INDIA NIVESH LAKSHYA FUND - ANNUAL IDCW Option;12.0916;25-Aug-2023")</f>
        <v>143703;INF204KB1ZK1;INF204KB1ZL9;NIPPON INDIA NIVESH LAKSHYA FUND - ANNUAL IDCW Option;12.0916;25-Aug-2023</v>
      </c>
      <c r="B2152" s="1"/>
    </row>
    <row r="2153">
      <c r="A2153" s="1" t="str">
        <f>IFERROR(__xludf.DUMMYFUNCTION("""COMPUTED_VALUE"""),"143711;INF204KB1YZ2;INF204KB1ZA2;NIPPON INDIA NIVESH LAKSHYA FUND - DIRECT Plan - ANNUAL IDCW Option;12.1121;25-Aug-2023")</f>
        <v>143711;INF204KB1YZ2;INF204KB1ZA2;NIPPON INDIA NIVESH LAKSHYA FUND - DIRECT Plan - ANNUAL IDCW Option;12.1121;25-Aug-2023</v>
      </c>
      <c r="B2153" s="1"/>
    </row>
    <row r="2154">
      <c r="A2154" s="1" t="str">
        <f>IFERROR(__xludf.DUMMYFUNCTION("""COMPUTED_VALUE"""),"143701;INF204KB1YX7;INF204KB1YY5;NIPPON INDIA NIVESH LAKSHYA FUND - DIRECT Plan - HALF YEARLY IDCW Option;12.3785;25-Aug-2023")</f>
        <v>143701;INF204KB1YX7;INF204KB1YY5;NIPPON INDIA NIVESH LAKSHYA FUND - DIRECT Plan - HALF YEARLY IDCW Option;12.3785;25-Aug-2023</v>
      </c>
      <c r="B2154" s="1"/>
    </row>
    <row r="2155">
      <c r="A2155" s="1" t="str">
        <f>IFERROR(__xludf.DUMMYFUNCTION("""COMPUTED_VALUE"""),"143707;INF204KB1YR9;INF204KB1YS7;NIPPON INDIA NIVESH LAKSHYA FUND - DIRECT Plan - IDCW Option;15.4633;25-Aug-2023")</f>
        <v>143707;INF204KB1YR9;INF204KB1YS7;NIPPON INDIA NIVESH LAKSHYA FUND - DIRECT Plan - IDCW Option;15.4633;25-Aug-2023</v>
      </c>
      <c r="B2155" s="1"/>
    </row>
    <row r="2156">
      <c r="A2156" s="1" t="str">
        <f>IFERROR(__xludf.DUMMYFUNCTION("""COMPUTED_VALUE"""),"143705;INF204KB1YT5;INF204KB1YU3;NIPPON INDIA NIVESH LAKSHYA FUND - DIRECT Plan - MONTHLY IDCW Option;11.6428;25-Aug-2023")</f>
        <v>143705;INF204KB1YT5;INF204KB1YU3;NIPPON INDIA NIVESH LAKSHYA FUND - DIRECT Plan - MONTHLY IDCW Option;11.6428;25-Aug-2023</v>
      </c>
      <c r="B2156" s="1"/>
    </row>
    <row r="2157">
      <c r="A2157" s="1" t="str">
        <f>IFERROR(__xludf.DUMMYFUNCTION("""COMPUTED_VALUE"""),"143709;INF204KB1YV1;INF204KB1YW9;NIPPON INDIA NIVESH LAKSHYA FUND - DIRECT Plan - QUARTERLY IDCW Option;11.2764;25-Aug-2023")</f>
        <v>143709;INF204KB1YV1;INF204KB1YW9;NIPPON INDIA NIVESH LAKSHYA FUND - DIRECT Plan - QUARTERLY IDCW Option;11.2764;25-Aug-2023</v>
      </c>
      <c r="B2157" s="1"/>
    </row>
    <row r="2158">
      <c r="A2158" s="1" t="str">
        <f>IFERROR(__xludf.DUMMYFUNCTION("""COMPUTED_VALUE"""),"143710;INF204KB1ZI5;INF204KB1ZJ3;NIPPON INDIA NIVESH LAKSHYA FUND - HALF YEARLY IDCW Option;12.3365;25-Aug-2023")</f>
        <v>143710;INF204KB1ZI5;INF204KB1ZJ3;NIPPON INDIA NIVESH LAKSHYA FUND - HALF YEARLY IDCW Option;12.3365;25-Aug-2023</v>
      </c>
      <c r="B2158" s="1"/>
    </row>
    <row r="2159">
      <c r="A2159" s="1" t="str">
        <f>IFERROR(__xludf.DUMMYFUNCTION("""COMPUTED_VALUE"""),"143706;INF204KB1ZC8;INF204KB1ZD6;NIPPON INDIA NIVESH LAKSHYA FUND - IDCW Option;15.2110;25-Aug-2023")</f>
        <v>143706;INF204KB1ZC8;INF204KB1ZD6;NIPPON INDIA NIVESH LAKSHYA FUND - IDCW Option;15.2110;25-Aug-2023</v>
      </c>
      <c r="B2159" s="1"/>
    </row>
    <row r="2160">
      <c r="A2160" s="1" t="str">
        <f>IFERROR(__xludf.DUMMYFUNCTION("""COMPUTED_VALUE"""),"143712;INF204KB1ZE4;INF204KB1ZF1;NIPPON INDIA NIVESH LAKSHYA FUND - MONTHLY IDCW Option;11.6232;25-Aug-2023")</f>
        <v>143712;INF204KB1ZE4;INF204KB1ZF1;NIPPON INDIA NIVESH LAKSHYA FUND - MONTHLY IDCW Option;11.6232;25-Aug-2023</v>
      </c>
      <c r="B2160" s="1"/>
    </row>
    <row r="2161">
      <c r="A2161" s="1" t="str">
        <f>IFERROR(__xludf.DUMMYFUNCTION("""COMPUTED_VALUE"""),"143708;INF204KB1ZG9;INF204KB1ZH7;NIPPON INDIA NIVESH LAKSHYA FUND - QUARTERLY IDCW Option;11.2272;25-Aug-2023")</f>
        <v>143708;INF204KB1ZG9;INF204KB1ZH7;NIPPON INDIA NIVESH LAKSHYA FUND - QUARTERLY IDCW Option;11.2272;25-Aug-2023</v>
      </c>
      <c r="B2161" s="1"/>
    </row>
    <row r="2162">
      <c r="A2162" s="1" t="str">
        <f>IFERROR(__xludf.DUMMYFUNCTION("""COMPUTED_VALUE"""),"143704;INF204KB1YQ1;-;Nippon India Nivesh Lakshya Fund- Direct Plan- Growth Option;15.4633;25-Aug-2023")</f>
        <v>143704;INF204KB1YQ1;-;Nippon India Nivesh Lakshya Fund- Direct Plan- Growth Option;15.4633;25-Aug-2023</v>
      </c>
      <c r="B2162" s="1"/>
    </row>
    <row r="2163">
      <c r="A2163" s="1" t="str">
        <f>IFERROR(__xludf.DUMMYFUNCTION("""COMPUTED_VALUE"""),"143702;INF204KB1ZB0;-;Nippon India Nivesh Lakshya Fund- Growth Option;15.2117;25-Aug-2023")</f>
        <v>143702;INF204KB1ZB0;-;Nippon India Nivesh Lakshya Fund- Growth Option;15.2117;25-Aug-2023</v>
      </c>
      <c r="B2163" s="1"/>
    </row>
    <row r="2164">
      <c r="A2164" s="1"/>
      <c r="B2164" s="1"/>
    </row>
    <row r="2165">
      <c r="A2165" s="1" t="str">
        <f>IFERROR(__xludf.DUMMYFUNCTION("""COMPUTED_VALUE"""),"SBI Mutual Fund")</f>
        <v>SBI Mutual Fund</v>
      </c>
      <c r="B2165" s="1"/>
    </row>
    <row r="2166">
      <c r="A2166" s="1"/>
      <c r="B2166" s="1"/>
    </row>
    <row r="2167">
      <c r="A2167" s="1" t="str">
        <f>IFERROR(__xludf.DUMMYFUNCTION("""COMPUTED_VALUE"""),"151214;INF200KA16T4;-;SBI Long Duration Fund - Direct Plan - Growth;10.5982;25-Aug-2023")</f>
        <v>151214;INF200KA16T4;-;SBI Long Duration Fund - Direct Plan - Growth;10.5982;25-Aug-2023</v>
      </c>
      <c r="B2167" s="1"/>
    </row>
    <row r="2168">
      <c r="A2168" s="1" t="str">
        <f>IFERROR(__xludf.DUMMYFUNCTION("""COMPUTED_VALUE"""),"151215;INF200KA17T2;INF200KA18T0;SBI Long Duration Fund - Direct Plan - Income Distribution cum Capital Withdrawal Option (IDCW);10.5985;25-Aug-2023")</f>
        <v>151215;INF200KA17T2;INF200KA18T0;SBI Long Duration Fund - Direct Plan - Income Distribution cum Capital Withdrawal Option (IDCW);10.5985;25-Aug-2023</v>
      </c>
      <c r="B2168" s="1"/>
    </row>
    <row r="2169">
      <c r="A2169" s="1" t="str">
        <f>IFERROR(__xludf.DUMMYFUNCTION("""COMPUTED_VALUE"""),"151212;INF200KA13T1;-;SBI Long Duration Fund - Regular Plan - Growth;10.5662;25-Aug-2023")</f>
        <v>151212;INF200KA13T1;-;SBI Long Duration Fund - Regular Plan - Growth;10.5662;25-Aug-2023</v>
      </c>
      <c r="B2169" s="1"/>
    </row>
    <row r="2170">
      <c r="A2170" s="1" t="str">
        <f>IFERROR(__xludf.DUMMYFUNCTION("""COMPUTED_VALUE"""),"151213;INF200KA14T9;INF200KA15T6;SBI Long Duration Fund - Regular Plan - Income Distribution cum Capital Withdrawal Option (IDCW);10.5661;25-Aug-2023")</f>
        <v>151213;INF200KA14T9;INF200KA15T6;SBI Long Duration Fund - Regular Plan - Income Distribution cum Capital Withdrawal Option (IDCW);10.5661;25-Aug-2023</v>
      </c>
      <c r="B2170" s="1"/>
    </row>
    <row r="2171">
      <c r="A2171" s="1"/>
      <c r="B2171" s="1"/>
    </row>
    <row r="2172">
      <c r="A2172" s="1" t="str">
        <f>IFERROR(__xludf.DUMMYFUNCTION("""COMPUTED_VALUE"""),"UTI Mutual Fund")</f>
        <v>UTI Mutual Fund</v>
      </c>
      <c r="B2172" s="1"/>
    </row>
    <row r="2173">
      <c r="A2173" s="1"/>
      <c r="B2173" s="1"/>
    </row>
    <row r="2174">
      <c r="A2174" s="1" t="str">
        <f>IFERROR(__xludf.DUMMYFUNCTION("""COMPUTED_VALUE"""),"151525;INF789F1AYG4;INF789F1AYH2;UTI Long Duration Fund - Direct Plan - Annual IDCW Option;10.4089;25-Aug-2023")</f>
        <v>151525;INF789F1AYG4;INF789F1AYH2;UTI Long Duration Fund - Direct Plan - Annual IDCW Option;10.4089;25-Aug-2023</v>
      </c>
      <c r="B2174" s="1"/>
    </row>
    <row r="2175">
      <c r="A2175" s="1" t="str">
        <f>IFERROR(__xludf.DUMMYFUNCTION("""COMPUTED_VALUE"""),"151523;INF789F1AYB5;-;UTI Long Duration Fund - Direct Plan - Growth Option;10.4089;25-Aug-2023")</f>
        <v>151523;INF789F1AYB5;-;UTI Long Duration Fund - Direct Plan - Growth Option;10.4089;25-Aug-2023</v>
      </c>
      <c r="B2175" s="1"/>
    </row>
    <row r="2176">
      <c r="A2176" s="1" t="str">
        <f>IFERROR(__xludf.DUMMYFUNCTION("""COMPUTED_VALUE"""),"151530;INF789F1AYE9;INF789F1AYF6;UTI Long Duration Fund - Direct Plan - Half Yearly IDCW Option;10.409;25-Aug-2023")</f>
        <v>151530;INF789F1AYE9;INF789F1AYF6;UTI Long Duration Fund - Direct Plan - Half Yearly IDCW Option;10.409;25-Aug-2023</v>
      </c>
      <c r="B2176" s="1"/>
    </row>
    <row r="2177">
      <c r="A2177" s="1" t="str">
        <f>IFERROR(__xludf.DUMMYFUNCTION("""COMPUTED_VALUE"""),"151524;INF789F1AYC3;INF789F1AYD1;UTI Long duration Fund - Direct Plan - Quarterly IDCW Option;10.4089;25-Aug-2023")</f>
        <v>151524;INF789F1AYC3;INF789F1AYD1;UTI Long duration Fund - Direct Plan - Quarterly IDCW Option;10.4089;25-Aug-2023</v>
      </c>
      <c r="B2177" s="1"/>
    </row>
    <row r="2178">
      <c r="A2178" s="1" t="str">
        <f>IFERROR(__xludf.DUMMYFUNCTION("""COMPUTED_VALUE"""),"151531;INF789F1AXX1;INF789F1AXY9;UTI Long Duration Fund - Regular Plan - Annual IDCW Option;10.3605;25-Aug-2023")</f>
        <v>151531;INF789F1AXX1;INF789F1AXY9;UTI Long Duration Fund - Regular Plan - Annual IDCW Option;10.3605;25-Aug-2023</v>
      </c>
      <c r="B2178" s="1"/>
    </row>
    <row r="2179">
      <c r="A2179" s="1" t="str">
        <f>IFERROR(__xludf.DUMMYFUNCTION("""COMPUTED_VALUE"""),"151532;INF789F1AXZ6;INF789F1AYA7;UTI Long Duration Fund - Regular Plan - Flexi IDCW Option;10.3605;25-Aug-2023")</f>
        <v>151532;INF789F1AXZ6;INF789F1AYA7;UTI Long Duration Fund - Regular Plan - Flexi IDCW Option;10.3605;25-Aug-2023</v>
      </c>
      <c r="B2179" s="1"/>
    </row>
    <row r="2180">
      <c r="A2180" s="1" t="str">
        <f>IFERROR(__xludf.DUMMYFUNCTION("""COMPUTED_VALUE"""),"151527;INF789F1AXS1;-;UTI Long Duration Fund - Regular Plan - Growth Option;10.3605;25-Aug-2023")</f>
        <v>151527;INF789F1AXS1;-;UTI Long Duration Fund - Regular Plan - Growth Option;10.3605;25-Aug-2023</v>
      </c>
      <c r="B2180" s="1"/>
    </row>
    <row r="2181">
      <c r="A2181" s="1" t="str">
        <f>IFERROR(__xludf.DUMMYFUNCTION("""COMPUTED_VALUE"""),"151529;INF789F1AXV5;INF789F1AXW3;UTI Long Duration Fund - Regular Plan - Half Yearly IDCW Option;10.3605;25-Aug-2023")</f>
        <v>151529;INF789F1AXV5;INF789F1AXW3;UTI Long Duration Fund - Regular Plan - Half Yearly IDCW Option;10.3605;25-Aug-2023</v>
      </c>
      <c r="B2181" s="1"/>
    </row>
    <row r="2182">
      <c r="A2182" s="1" t="str">
        <f>IFERROR(__xludf.DUMMYFUNCTION("""COMPUTED_VALUE"""),"151528;INF789F1AXT9;INF789F1AXU7;UTI Long Duration Fund - Regular Plan - Quarterly IDCW Option;10.3605;25-Aug-2023")</f>
        <v>151528;INF789F1AXT9;INF789F1AXU7;UTI Long Duration Fund - Regular Plan - Quarterly IDCW Option;10.3605;25-Aug-2023</v>
      </c>
      <c r="B2182" s="1"/>
    </row>
    <row r="2183">
      <c r="A2183" s="1"/>
      <c r="B2183" s="1"/>
    </row>
    <row r="2184">
      <c r="A2184" s="1" t="str">
        <f>IFERROR(__xludf.DUMMYFUNCTION("""COMPUTED_VALUE"""),"Open Ended Schemes(Debt Scheme - Low Duration Fund)")</f>
        <v>Open Ended Schemes(Debt Scheme - Low Duration Fund)</v>
      </c>
      <c r="B2184" s="1"/>
    </row>
    <row r="2185">
      <c r="A2185" s="1"/>
      <c r="B2185" s="1"/>
    </row>
    <row r="2186">
      <c r="A2186" s="1" t="str">
        <f>IFERROR(__xludf.DUMMYFUNCTION("""COMPUTED_VALUE"""),"Aditya Birla Sun Life Mutual Fund")</f>
        <v>Aditya Birla Sun Life Mutual Fund</v>
      </c>
      <c r="B2186" s="1"/>
    </row>
    <row r="2187">
      <c r="A2187" s="1"/>
      <c r="B2187" s="1"/>
    </row>
    <row r="2188">
      <c r="A2188" s="1" t="str">
        <f>IFERROR(__xludf.DUMMYFUNCTION("""COMPUTED_VALUE"""),"119523;INF209K01XU7;-;Aditya Birla Sun Life Low duration Fund - Growth - Direct Plan;630.7215;25-Aug-2023")</f>
        <v>119523;INF209K01XU7;-;Aditya Birla Sun Life Low duration Fund - Growth - Direct Plan;630.7215;25-Aug-2023</v>
      </c>
      <c r="B2188" s="1"/>
    </row>
    <row r="2189">
      <c r="A2189" s="1" t="str">
        <f>IFERROR(__xludf.DUMMYFUNCTION("""COMPUTED_VALUE"""),"103192;INF209K01LQ0;-;Aditya Birla Sun Life Low Duration Fund - Growth Plan;577.821;25-Aug-2023")</f>
        <v>103192;INF209K01LQ0;-;Aditya Birla Sun Life Low Duration Fund - Growth Plan;577.821;25-Aug-2023</v>
      </c>
      <c r="B2189" s="1"/>
    </row>
    <row r="2190">
      <c r="A2190" s="1" t="str">
        <f>IFERROR(__xludf.DUMMYFUNCTION("""COMPUTED_VALUE"""),"103195;INF209K01KE8;-;Aditya Birla Sun Life Low Duration Fund - Institutional Plan - Growth;405.147;25-Aug-2023")</f>
        <v>103195;INF209K01KE8;-;Aditya Birla Sun Life Low Duration Fund - Institutional Plan - Growth;405.147;25-Aug-2023</v>
      </c>
      <c r="B2190" s="1"/>
    </row>
    <row r="2191">
      <c r="A2191" s="1" t="str">
        <f>IFERROR(__xludf.DUMMYFUNCTION("""COMPUTED_VALUE"""),"119524;INF209K01XW3;-;Aditya Birla Sun Life Low Duration Fund -Direct - daily IDCW;100.2798;25-Aug-2023")</f>
        <v>119524;INF209K01XW3;-;Aditya Birla Sun Life Low Duration Fund -Direct - daily IDCW;100.2798;25-Aug-2023</v>
      </c>
      <c r="B2191" s="1"/>
    </row>
    <row r="2192">
      <c r="A2192" s="1" t="str">
        <f>IFERROR(__xludf.DUMMYFUNCTION("""COMPUTED_VALUE"""),"119522;-;INF209K01XV5;Aditya Birla Sun Life Low Duration Fund -Direct - weekly IDCW;100.7111;25-Aug-2023")</f>
        <v>119522;-;INF209K01XV5;Aditya Birla Sun Life Low Duration Fund -Direct - weekly IDCW;100.7111;25-Aug-2023</v>
      </c>
      <c r="B2192" s="1"/>
    </row>
    <row r="2193">
      <c r="A2193" s="1" t="str">
        <f>IFERROR(__xludf.DUMMYFUNCTION("""COMPUTED_VALUE"""),"103191;-;INF209K01KD0;Aditya Birla Sun Life Low Duration Fund -INSTITUTIONAL - DAILY IDCW;100.2807;25-Aug-2023")</f>
        <v>103191;-;INF209K01KD0;Aditya Birla Sun Life Low Duration Fund -INSTITUTIONAL - DAILY IDCW;100.2807;25-Aug-2023</v>
      </c>
      <c r="B2193" s="1"/>
    </row>
    <row r="2194">
      <c r="A2194" s="1" t="str">
        <f>IFERROR(__xludf.DUMMYFUNCTION("""COMPUTED_VALUE"""),"103194;-;INF209K01KG3;Aditya Birla Sun Life Low Duration Fund -Institutional - weekly  IDCW;99.9054;30-Apr-2020")</f>
        <v>103194;-;INF209K01KG3;Aditya Birla Sun Life Low Duration Fund -Institutional - weekly  IDCW;99.9054;30-Apr-2020</v>
      </c>
      <c r="B2194" s="1"/>
    </row>
    <row r="2195">
      <c r="A2195" s="1" t="str">
        <f>IFERROR(__xludf.DUMMYFUNCTION("""COMPUTED_VALUE"""),"113307;-;INF209KA1LP6;Aditya Birla Sun Life Low Duration Fund -Regular - DAILY IDCW;100.2756;25-Aug-2023")</f>
        <v>113307;-;INF209KA1LP6;Aditya Birla Sun Life Low Duration Fund -Regular - DAILY IDCW;100.2756;25-Aug-2023</v>
      </c>
      <c r="B2195" s="1"/>
    </row>
    <row r="2196">
      <c r="A2196" s="1" t="str">
        <f>IFERROR(__xludf.DUMMYFUNCTION("""COMPUTED_VALUE"""),"103193;-;INF209KA1LQ4;Aditya Birla Sun Life Low Duration Fund -REGULAR - WEEKLY IDCW;100.5223;25-Aug-2023")</f>
        <v>103193;-;INF209KA1LQ4;Aditya Birla Sun Life Low Duration Fund -REGULAR - WEEKLY IDCW;100.5223;25-Aug-2023</v>
      </c>
      <c r="B2196" s="1"/>
    </row>
    <row r="2197">
      <c r="A2197" s="1"/>
      <c r="B2197" s="1"/>
    </row>
    <row r="2198">
      <c r="A2198" s="1" t="str">
        <f>IFERROR(__xludf.DUMMYFUNCTION("""COMPUTED_VALUE"""),"Axis Mutual Fund")</f>
        <v>Axis Mutual Fund</v>
      </c>
      <c r="B2198" s="1"/>
    </row>
    <row r="2199">
      <c r="A2199" s="1"/>
      <c r="B2199" s="1"/>
    </row>
    <row r="2200">
      <c r="A2200" s="1" t="str">
        <f>IFERROR(__xludf.DUMMYFUNCTION("""COMPUTED_VALUE"""),"128961;INF846K01NQ5;-;Axis Treasury Advantage Fund - Direct Plan - Bonus Option;1847.5931;10-Apr-2017")</f>
        <v>128961;INF846K01NQ5;-;Axis Treasury Advantage Fund - Direct Plan - Bonus Option;1847.5931;10-Apr-2017</v>
      </c>
      <c r="B2200" s="1"/>
    </row>
    <row r="2201">
      <c r="A2201" s="1" t="str">
        <f>IFERROR(__xludf.DUMMYFUNCTION("""COMPUTED_VALUE"""),"120515;-;INF846K01EQ4;Axis Treasury Advantage Fund - Direct Plan - Daily IDCW;1012.4737;25-Aug-2023")</f>
        <v>120515;-;INF846K01EQ4;Axis Treasury Advantage Fund - Direct Plan - Daily IDCW;1012.4737;25-Aug-2023</v>
      </c>
      <c r="B2201" s="1"/>
    </row>
    <row r="2202">
      <c r="A2202" s="1" t="str">
        <f>IFERROR(__xludf.DUMMYFUNCTION("""COMPUTED_VALUE"""),"120513;INF846K01EN1;-;Axis Treasury Advantage Fund - Direct Plan - Growth Option;2813.4420;25-Aug-2023")</f>
        <v>120513;INF846K01EN1;-;Axis Treasury Advantage Fund - Direct Plan - Growth Option;2813.4420;25-Aug-2023</v>
      </c>
      <c r="B2202" s="1"/>
    </row>
    <row r="2203">
      <c r="A2203" s="1" t="str">
        <f>IFERROR(__xludf.DUMMYFUNCTION("""COMPUTED_VALUE"""),"120516;INF846K01EO9;INF846K01EP6;Axis Treasury Advantage Fund - Direct Plan - Monthly IDCW;1009.6083;25-Aug-2023")</f>
        <v>120516;INF846K01EO9;INF846K01EP6;Axis Treasury Advantage Fund - Direct Plan - Monthly IDCW;1009.6083;25-Aug-2023</v>
      </c>
      <c r="B2203" s="1"/>
    </row>
    <row r="2204">
      <c r="A2204" s="1" t="str">
        <f>IFERROR(__xludf.DUMMYFUNCTION("""COMPUTED_VALUE"""),"120514;INF846K01ER2;INF846K01ES0;Axis Treasury Advantage Fund - Direct Plan - Weekly IDCW;1012.6070;25-Aug-2023")</f>
        <v>120514;INF846K01ER2;INF846K01ES0;Axis Treasury Advantage Fund - Direct Plan - Weekly IDCW;1012.6070;25-Aug-2023</v>
      </c>
      <c r="B2204" s="1"/>
    </row>
    <row r="2205">
      <c r="A2205" s="1" t="str">
        <f>IFERROR(__xludf.DUMMYFUNCTION("""COMPUTED_VALUE"""),"112215;-;INF846K01545;Axis Treasury Advantage Fund - Regular Plan - Daily IDCW;1013.2484;25-Aug-2023")</f>
        <v>112215;-;INF846K01545;Axis Treasury Advantage Fund - Regular Plan - Daily IDCW;1013.2484;25-Aug-2023</v>
      </c>
      <c r="B2205" s="1"/>
    </row>
    <row r="2206">
      <c r="A2206" s="1" t="str">
        <f>IFERROR(__xludf.DUMMYFUNCTION("""COMPUTED_VALUE"""),"112214;INF846K01537;-;Axis Treasury Advantage Fund - Regular Plan - Growth Option;2699.7080;25-Aug-2023")</f>
        <v>112214;INF846K01537;-;Axis Treasury Advantage Fund - Regular Plan - Growth Option;2699.7080;25-Aug-2023</v>
      </c>
      <c r="B2206" s="1"/>
    </row>
    <row r="2207">
      <c r="A2207" s="1" t="str">
        <f>IFERROR(__xludf.DUMMYFUNCTION("""COMPUTED_VALUE"""),"112217;INF846K01578;INF846K01586;Axis Treasury Advantage Fund - Regular Plan - Monthly IDCW;1009.6058;25-Aug-2023")</f>
        <v>112217;INF846K01578;INF846K01586;Axis Treasury Advantage Fund - Regular Plan - Monthly IDCW;1009.6058;25-Aug-2023</v>
      </c>
      <c r="B2207" s="1"/>
    </row>
    <row r="2208">
      <c r="A2208" s="1" t="str">
        <f>IFERROR(__xludf.DUMMYFUNCTION("""COMPUTED_VALUE"""),"112216;INF846K01552;INF846K01560;Axis Treasury Advantage Fund - Regular Plan - Weekly IDCW;1012.5716;25-Aug-2023")</f>
        <v>112216;INF846K01552;INF846K01560;Axis Treasury Advantage Fund - Regular Plan - Weekly IDCW;1012.5716;25-Aug-2023</v>
      </c>
      <c r="B2208" s="1"/>
    </row>
    <row r="2209">
      <c r="A2209" s="1" t="str">
        <f>IFERROR(__xludf.DUMMYFUNCTION("""COMPUTED_VALUE"""),"112720;-;INF846K01487;Axis Treasury Advantage Fund - Retail Plan - Daily IDCW;1012.4736;25-Aug-2023")</f>
        <v>112720;-;INF846K01487;Axis Treasury Advantage Fund - Retail Plan - Daily IDCW;1012.4736;25-Aug-2023</v>
      </c>
      <c r="B2209" s="1"/>
    </row>
    <row r="2210">
      <c r="A2210" s="1" t="str">
        <f>IFERROR(__xludf.DUMMYFUNCTION("""COMPUTED_VALUE"""),"112717;INF846K01479;-;Axis Treasury Advantage Fund - Retail Plan - Growth Option;2531.1075;25-Aug-2023")</f>
        <v>112717;INF846K01479;-;Axis Treasury Advantage Fund - Retail Plan - Growth Option;2531.1075;25-Aug-2023</v>
      </c>
      <c r="B2210" s="1"/>
    </row>
    <row r="2211">
      <c r="A2211" s="1" t="str">
        <f>IFERROR(__xludf.DUMMYFUNCTION("""COMPUTED_VALUE"""),"112718;INF846K01511;INF846K01529;Axis Treasury Advantage Fund - Retail Plan - Monthly IDCW;1009.6059;25-Aug-2023")</f>
        <v>112718;INF846K01511;INF846K01529;Axis Treasury Advantage Fund - Retail Plan - Monthly IDCW;1009.6059;25-Aug-2023</v>
      </c>
      <c r="B2211" s="1"/>
    </row>
    <row r="2212">
      <c r="A2212" s="1" t="str">
        <f>IFERROR(__xludf.DUMMYFUNCTION("""COMPUTED_VALUE"""),"112719;INF846K01495;INF846K01503;Axis Treasury Advantage Fund - Retail Plan - Weekly IDCW;1012.5719;25-Aug-2023")</f>
        <v>112719;INF846K01495;INF846K01503;Axis Treasury Advantage Fund - Retail Plan - Weekly IDCW;1012.5719;25-Aug-2023</v>
      </c>
      <c r="B2212" s="1"/>
    </row>
    <row r="2213">
      <c r="A2213" s="1"/>
      <c r="B2213" s="1"/>
    </row>
    <row r="2214">
      <c r="A2214" s="1" t="str">
        <f>IFERROR(__xludf.DUMMYFUNCTION("""COMPUTED_VALUE"""),"Bandhan Mutual Fund")</f>
        <v>Bandhan Mutual Fund</v>
      </c>
      <c r="B2214" s="1"/>
    </row>
    <row r="2215">
      <c r="A2215" s="1"/>
      <c r="B2215" s="1"/>
    </row>
    <row r="2216">
      <c r="A2216" s="1" t="str">
        <f>IFERROR(__xludf.DUMMYFUNCTION("""COMPUTED_VALUE"""),"108633;INF194K01FW4;INF194K01FV6;BANDHAN Low Duration Fund - Regular Plan - Daily IDCW;10.1015;25-Aug-2023")</f>
        <v>108633;INF194K01FW4;INF194K01FV6;BANDHAN Low Duration Fund - Regular Plan - Daily IDCW;10.1015;25-Aug-2023</v>
      </c>
      <c r="B2216" s="1"/>
    </row>
    <row r="2217">
      <c r="A2217" s="1" t="str">
        <f>IFERROR(__xludf.DUMMYFUNCTION("""COMPUTED_VALUE"""),"108632;INF194K01FU8;-;BANDHAN Low Duration Fund - Regular Plan - Growth;33.8054;25-Aug-2023")</f>
        <v>108632;INF194K01FU8;-;BANDHAN Low Duration Fund - Regular Plan - Growth;33.8054;25-Aug-2023</v>
      </c>
      <c r="B2217" s="1"/>
    </row>
    <row r="2218">
      <c r="A2218" s="1" t="str">
        <f>IFERROR(__xludf.DUMMYFUNCTION("""COMPUTED_VALUE"""),"108635;INF194K01FZ7;INF194K01FY0;BANDHAN Low Duration Fund - Regular Plan - Monthly IDCW;10.1494;25-Aug-2023")</f>
        <v>108635;INF194K01FZ7;INF194K01FY0;BANDHAN Low Duration Fund - Regular Plan - Monthly IDCW;10.1494;25-Aug-2023</v>
      </c>
      <c r="B2218" s="1"/>
    </row>
    <row r="2219">
      <c r="A2219" s="1" t="str">
        <f>IFERROR(__xludf.DUMMYFUNCTION("""COMPUTED_VALUE"""),"116020;INF194K01I29;INF194K01I37;BANDHAN Low Duration Fund - Regular Plan - Periodic IDCW;11.2254;25-Aug-2023")</f>
        <v>116020;INF194K01I29;INF194K01I37;BANDHAN Low Duration Fund - Regular Plan - Periodic IDCW;11.2254;25-Aug-2023</v>
      </c>
      <c r="B2219" s="1"/>
    </row>
    <row r="2220">
      <c r="A2220" s="1" t="str">
        <f>IFERROR(__xludf.DUMMYFUNCTION("""COMPUTED_VALUE"""),"116413;INF194K01UR3;INF194K01US1;BANDHAN Low Duration Fund - Regular Plan - Quarterly IDCW;10.9789;25-Aug-2023")</f>
        <v>116413;INF194K01UR3;INF194K01US1;BANDHAN Low Duration Fund - Regular Plan - Quarterly IDCW;10.9789;25-Aug-2023</v>
      </c>
      <c r="B2220" s="1"/>
    </row>
    <row r="2221">
      <c r="A2221" s="1" t="str">
        <f>IFERROR(__xludf.DUMMYFUNCTION("""COMPUTED_VALUE"""),"108634;INF194K01GC4;INF194K01GB6;BANDHAN Low Duration Fund - Regular Plan - Weekly IDCW;10.1240;25-Aug-2023")</f>
        <v>108634;INF194K01GC4;INF194K01GB6;BANDHAN Low Duration Fund - Regular Plan - Weekly IDCW;10.1240;25-Aug-2023</v>
      </c>
      <c r="B2221" s="1"/>
    </row>
    <row r="2222">
      <c r="A2222" s="1" t="str">
        <f>IFERROR(__xludf.DUMMYFUNCTION("""COMPUTED_VALUE"""),"118368;-;INF194K01J85;BANDHAN Low Duration Fund-Direct Plan-Daily IDCW;10.1111;25-Aug-2023")</f>
        <v>118368;-;INF194K01J85;BANDHAN Low Duration Fund-Direct Plan-Daily IDCW;10.1111;25-Aug-2023</v>
      </c>
      <c r="B2222" s="1"/>
    </row>
    <row r="2223">
      <c r="A2223" s="1" t="str">
        <f>IFERROR(__xludf.DUMMYFUNCTION("""COMPUTED_VALUE"""),"118371;INF194K01J77;-;BANDHAN Low Duration Fund-Direct Plan-Growth;34.4685;25-Aug-2023")</f>
        <v>118371;INF194K01J77;-;BANDHAN Low Duration Fund-Direct Plan-Growth;34.4685;25-Aug-2023</v>
      </c>
      <c r="B2223" s="1"/>
    </row>
    <row r="2224">
      <c r="A2224" s="1" t="str">
        <f>IFERROR(__xludf.DUMMYFUNCTION("""COMPUTED_VALUE"""),"118372;INF194K01K17;INF194K01K09;BANDHAN Low Duration Fund-Direct Plan-Monthly IDCW;10.1647;25-Aug-2023")</f>
        <v>118372;INF194K01K17;INF194K01K09;BANDHAN Low Duration Fund-Direct Plan-Monthly IDCW;10.1647;25-Aug-2023</v>
      </c>
      <c r="B2224" s="1"/>
    </row>
    <row r="2225">
      <c r="A2225" s="1" t="str">
        <f>IFERROR(__xludf.DUMMYFUNCTION("""COMPUTED_VALUE"""),"118370;INF194K01K82;INF194K01K90;BANDHAN Low Duration Fund-Direct Plan-Periodic IDCW;11.2916;25-Aug-2023")</f>
        <v>118370;INF194K01K82;INF194K01K90;BANDHAN Low Duration Fund-Direct Plan-Periodic IDCW;11.2916;25-Aug-2023</v>
      </c>
      <c r="B2225" s="1"/>
    </row>
    <row r="2226">
      <c r="A2226" s="1" t="str">
        <f>IFERROR(__xludf.DUMMYFUNCTION("""COMPUTED_VALUE"""),"118369;INF194K01K58;INF194K01K66;BANDHAN Low Duration Fund-Direct Plan-Quarterly IDCW;10.9122;25-Aug-2023")</f>
        <v>118369;INF194K01K58;INF194K01K66;BANDHAN Low Duration Fund-Direct Plan-Quarterly IDCW;10.9122;25-Aug-2023</v>
      </c>
      <c r="B2226" s="1"/>
    </row>
    <row r="2227">
      <c r="A2227" s="1" t="str">
        <f>IFERROR(__xludf.DUMMYFUNCTION("""COMPUTED_VALUE"""),"118373;-;INF194K01K33;BANDHAN Low Duration Fund-Direct Plan-Weekly IDCW;10.1126;25-Aug-2023")</f>
        <v>118373;-;INF194K01K33;BANDHAN Low Duration Fund-Direct Plan-Weekly IDCW;10.1126;25-Aug-2023</v>
      </c>
      <c r="B2227" s="1"/>
    </row>
    <row r="2228">
      <c r="A2228" s="1"/>
      <c r="B2228" s="1"/>
    </row>
    <row r="2229">
      <c r="A2229" s="1" t="str">
        <f>IFERROR(__xludf.DUMMYFUNCTION("""COMPUTED_VALUE"""),"Baroda BNP Paribas Mutual Fund")</f>
        <v>Baroda BNP Paribas Mutual Fund</v>
      </c>
      <c r="B2229" s="1"/>
    </row>
    <row r="2230">
      <c r="A2230" s="1"/>
      <c r="B2230" s="1"/>
    </row>
    <row r="2231">
      <c r="A2231" s="1" t="str">
        <f>IFERROR(__xludf.DUMMYFUNCTION("""COMPUTED_VALUE"""),"150168;-;INF251K01GK5;BARODA BNP PARIBAS LOW DURATION Fund - Direct Plan - Daily IDCW Option;10.0835;25-Aug-2023")</f>
        <v>150168;-;INF251K01GK5;BARODA BNP PARIBAS LOW DURATION Fund - Direct Plan - Daily IDCW Option;10.0835;25-Aug-2023</v>
      </c>
      <c r="B2231" s="1"/>
    </row>
    <row r="2232">
      <c r="A2232" s="1" t="str">
        <f>IFERROR(__xludf.DUMMYFUNCTION("""COMPUTED_VALUE"""),"150169;INF251K01GJ7;-;BARODA BNP PARIBAS LOW DURATION Fund - Direct Plan - Growth Option;38.1183;25-Aug-2023")</f>
        <v>150169;INF251K01GJ7;-;BARODA BNP PARIBAS LOW DURATION Fund - Direct Plan - Growth Option;38.1183;25-Aug-2023</v>
      </c>
      <c r="B2232" s="1"/>
    </row>
    <row r="2233">
      <c r="A2233" s="1" t="str">
        <f>IFERROR(__xludf.DUMMYFUNCTION("""COMPUTED_VALUE"""),"150170;INF251K01GN9;INF251K01GO7;BARODA BNP PARIBAS LOW DURATION Fund - Direct Plan - Monthly IDCW Option;10.2470;25-Aug-2023")</f>
        <v>150170;INF251K01GN9;INF251K01GO7;BARODA BNP PARIBAS LOW DURATION Fund - Direct Plan - Monthly IDCW Option;10.2470;25-Aug-2023</v>
      </c>
      <c r="B2233" s="1"/>
    </row>
    <row r="2234">
      <c r="A2234" s="1" t="str">
        <f>IFERROR(__xludf.DUMMYFUNCTION("""COMPUTED_VALUE"""),"150171;INF251K01GL3;INF251K01GM1;BARODA BNP PARIBAS LOW DURATION Fund - Direct Plan - Weekly IDCW Option;10.0173;25-Aug-2023")</f>
        <v>150171;INF251K01GL3;INF251K01GM1;BARODA BNP PARIBAS LOW DURATION Fund - Direct Plan - Weekly IDCW Option;10.0173;25-Aug-2023</v>
      </c>
      <c r="B2234" s="1"/>
    </row>
    <row r="2235">
      <c r="A2235" s="1" t="str">
        <f>IFERROR(__xludf.DUMMYFUNCTION("""COMPUTED_VALUE"""),"150164;-;INF251K01DR7;BARODA BNP PARIBAS LOW DURATION FUND - Regular Plan - DAILY IDCW OPTION;10.0604;25-Aug-2023")</f>
        <v>150164;-;INF251K01DR7;BARODA BNP PARIBAS LOW DURATION FUND - Regular Plan - DAILY IDCW OPTION;10.0604;25-Aug-2023</v>
      </c>
      <c r="B2235" s="1"/>
    </row>
    <row r="2236">
      <c r="A2236" s="1" t="str">
        <f>IFERROR(__xludf.DUMMYFUNCTION("""COMPUTED_VALUE"""),"150165;INF251K01DQ9;-;BARODA BNP PARIBAS LOW DURATION FUND - Regular Plan - GROWTH OPTION;35.3025;25-Aug-2023")</f>
        <v>150165;INF251K01DQ9;-;BARODA BNP PARIBAS LOW DURATION FUND - Regular Plan - GROWTH OPTION;35.3025;25-Aug-2023</v>
      </c>
      <c r="B2236" s="1"/>
    </row>
    <row r="2237">
      <c r="A2237" s="1" t="str">
        <f>IFERROR(__xludf.DUMMYFUNCTION("""COMPUTED_VALUE"""),"150167;INF251K01DU1;INF251K01DV9;BARODA BNP PARIBAS LOW DURATION FUND - Regular Plan - MONTHLY IDCW OPTION;10.3386;25-Aug-2023")</f>
        <v>150167;INF251K01DU1;INF251K01DV9;BARODA BNP PARIBAS LOW DURATION FUND - Regular Plan - MONTHLY IDCW OPTION;10.3386;25-Aug-2023</v>
      </c>
      <c r="B2237" s="1"/>
    </row>
    <row r="2238">
      <c r="A2238" s="1" t="str">
        <f>IFERROR(__xludf.DUMMYFUNCTION("""COMPUTED_VALUE"""),"150166;INF251K01DS5;INF251K01DT3;BARODA BNP PARIBAS LOW DURATION FUND - Regular Plan - WEEKLY IDCW OPTION;10.0167;25-Aug-2023")</f>
        <v>150166;INF251K01DS5;INF251K01DT3;BARODA BNP PARIBAS LOW DURATION FUND - Regular Plan - WEEKLY IDCW OPTION;10.0167;25-Aug-2023</v>
      </c>
      <c r="B2238" s="1"/>
    </row>
    <row r="2239">
      <c r="A2239" s="1" t="str">
        <f>IFERROR(__xludf.DUMMYFUNCTION("""COMPUTED_VALUE"""),"150163;-;INF251K01DM8;BARODA BNP PARIBAS LOW DURATION Fund-Defunct Plan- Daily IDCW Option;10.0499;25-Aug-2023")</f>
        <v>150163;-;INF251K01DM8;BARODA BNP PARIBAS LOW DURATION Fund-Defunct Plan- Daily IDCW Option;10.0499;25-Aug-2023</v>
      </c>
      <c r="B2239" s="1"/>
    </row>
    <row r="2240">
      <c r="A2240" s="1" t="str">
        <f>IFERROR(__xludf.DUMMYFUNCTION("""COMPUTED_VALUE"""),"150160;INF251K01DL0;-;BARODA BNP PARIBAS LOW DURATION Fund-Defunct Plan-Growth Option;35.3418;25-Aug-2023")</f>
        <v>150160;INF251K01DL0;-;BARODA BNP PARIBAS LOW DURATION Fund-Defunct Plan-Growth Option;35.3418;25-Aug-2023</v>
      </c>
      <c r="B2240" s="1"/>
    </row>
    <row r="2241">
      <c r="A2241" s="1" t="str">
        <f>IFERROR(__xludf.DUMMYFUNCTION("""COMPUTED_VALUE"""),"150162;INF251K01DO4;INF251K01DP1;BARODA BNP PARIBAS LOW DURATION Fund-Defunct Plan-Monthly IDCW Option;10.5239;25-Aug-2023")</f>
        <v>150162;INF251K01DO4;INF251K01DP1;BARODA BNP PARIBAS LOW DURATION Fund-Defunct Plan-Monthly IDCW Option;10.5239;25-Aug-2023</v>
      </c>
      <c r="B2241" s="1"/>
    </row>
    <row r="2242">
      <c r="A2242" s="1" t="str">
        <f>IFERROR(__xludf.DUMMYFUNCTION("""COMPUTED_VALUE"""),"150161;-;INF251K01DN6;BARODA BNP PARIBAS LOW DURATION Fund-Defunct Plan-Weekly IDCW Option;10.0167;25-Aug-2023")</f>
        <v>150161;-;INF251K01DN6;BARODA BNP PARIBAS LOW DURATION Fund-Defunct Plan-Weekly IDCW Option;10.0167;25-Aug-2023</v>
      </c>
      <c r="B2242" s="1"/>
    </row>
    <row r="2243">
      <c r="A2243" s="1"/>
      <c r="B2243" s="1"/>
    </row>
    <row r="2244">
      <c r="A2244" s="1" t="str">
        <f>IFERROR(__xludf.DUMMYFUNCTION("""COMPUTED_VALUE"""),"Canara Robeco Mutual Fund")</f>
        <v>Canara Robeco Mutual Fund</v>
      </c>
      <c r="B2244" s="1"/>
    </row>
    <row r="2245">
      <c r="A2245" s="1"/>
      <c r="B2245" s="1"/>
    </row>
    <row r="2246">
      <c r="A2246" s="1" t="str">
        <f>IFERROR(__xludf.DUMMYFUNCTION("""COMPUTED_VALUE"""),"118293;-;INF760K01EM6;CANARA ROBECO SAVINGS FUND - DIRECT PLAN - DAILY IDCW (Reinvestment);10.2600;25-Aug-2023")</f>
        <v>118293;-;INF760K01EM6;CANARA ROBECO SAVINGS FUND - DIRECT PLAN - DAILY IDCW (Reinvestment);10.2600;25-Aug-2023</v>
      </c>
      <c r="B2246" s="1"/>
    </row>
    <row r="2247">
      <c r="A2247" s="1" t="str">
        <f>IFERROR(__xludf.DUMMYFUNCTION("""COMPUTED_VALUE"""),"118291;INF760K01ET1;-;CANARA ROBECO SAVINGS FUND - DIRECT PLAN - GROWTH OPTION;37.7451;25-Aug-2023")</f>
        <v>118291;INF760K01ET1;-;CANARA ROBECO SAVINGS FUND - DIRECT PLAN - GROWTH OPTION;37.7451;25-Aug-2023</v>
      </c>
      <c r="B2247" s="1"/>
    </row>
    <row r="2248">
      <c r="A2248" s="1" t="str">
        <f>IFERROR(__xludf.DUMMYFUNCTION("""COMPUTED_VALUE"""),"118292;INF760K01EP9;INF760K01EQ7;CANARA ROBECO SAVINGS FUND - DIRECT PLAN - IDCW (Payout/Reinvestment);33.7518;25-Aug-2023")</f>
        <v>118292;INF760K01EP9;INF760K01EQ7;CANARA ROBECO SAVINGS FUND - DIRECT PLAN - IDCW (Payout/Reinvestment);33.7518;25-Aug-2023</v>
      </c>
      <c r="B2248" s="1"/>
    </row>
    <row r="2249">
      <c r="A2249" s="1" t="str">
        <f>IFERROR(__xludf.DUMMYFUNCTION("""COMPUTED_VALUE"""),"118295;INF760K01EN4;INF760K01EO2;CANARA ROBECO SAVINGS FUND - DIRECT PLAN - MONTHLY IDCW (Payout/Reinvestment);10.3132;25-Aug-2023")</f>
        <v>118295;INF760K01EN4;INF760K01EO2;CANARA ROBECO SAVINGS FUND - DIRECT PLAN - MONTHLY IDCW (Payout/Reinvestment);10.3132;25-Aug-2023</v>
      </c>
      <c r="B2249" s="1"/>
    </row>
    <row r="2250">
      <c r="A2250" s="1" t="str">
        <f>IFERROR(__xludf.DUMMYFUNCTION("""COMPUTED_VALUE"""),"118294;INF760K01ER5;INF760K01ES3;CANARA ROBECO SAVINGS FUND - DIRECT PLAN - WEEKLY IDCW (Payout/Reinvestment);10.2650;25-Aug-2023")</f>
        <v>118294;INF760K01ER5;INF760K01ES3;CANARA ROBECO SAVINGS FUND - DIRECT PLAN - WEEKLY IDCW (Payout/Reinvestment);10.2650;25-Aug-2023</v>
      </c>
      <c r="B2250" s="1"/>
    </row>
    <row r="2251">
      <c r="A2251" s="1" t="str">
        <f>IFERROR(__xludf.DUMMYFUNCTION("""COMPUTED_VALUE"""),"104559;-;INF760K01803;CANARA ROBECO SAVINGS FUND - REGULAR PLAN - DAILY IDCW (Reinvestment);10.2600;25-Aug-2023")</f>
        <v>104559;-;INF760K01803;CANARA ROBECO SAVINGS FUND - REGULAR PLAN - DAILY IDCW (Reinvestment);10.2600;25-Aug-2023</v>
      </c>
      <c r="B2251" s="1"/>
    </row>
    <row r="2252">
      <c r="A2252" s="1" t="str">
        <f>IFERROR(__xludf.DUMMYFUNCTION("""COMPUTED_VALUE"""),"102913;INF760K01795;-;CANARA ROBECO SAVINGS FUND - REGULAR PLAN - GROWTH OPTION;36.9289;25-Aug-2023")</f>
        <v>102913;INF760K01795;-;CANARA ROBECO SAVINGS FUND - REGULAR PLAN - GROWTH OPTION;36.9289;25-Aug-2023</v>
      </c>
      <c r="B2252" s="1"/>
    </row>
    <row r="2253">
      <c r="A2253" s="1" t="str">
        <f>IFERROR(__xludf.DUMMYFUNCTION("""COMPUTED_VALUE"""),"102914;INF760K01779;INF760K01787;CANARA ROBECO SAVINGS FUND - REGULAR PLAN - IDCW (Payout/Reinvestment);33.0795;25-Aug-2023")</f>
        <v>102914;INF760K01779;INF760K01787;CANARA ROBECO SAVINGS FUND - REGULAR PLAN - IDCW (Payout/Reinvestment);33.0795;25-Aug-2023</v>
      </c>
      <c r="B2253" s="1"/>
    </row>
    <row r="2254">
      <c r="A2254" s="1" t="str">
        <f>IFERROR(__xludf.DUMMYFUNCTION("""COMPUTED_VALUE"""),"113144;INF760K01AM4;INF760K01AN2;CANARA ROBECO SAVINGS FUND - REGULAR PLAN - MONTHLY IDCW (Payout/Reinvestment);10.3113;25-Aug-2023")</f>
        <v>113144;INF760K01AM4;INF760K01AN2;CANARA ROBECO SAVINGS FUND - REGULAR PLAN - MONTHLY IDCW (Payout/Reinvestment);10.3113;25-Aug-2023</v>
      </c>
      <c r="B2254" s="1"/>
    </row>
    <row r="2255">
      <c r="A2255" s="1" t="str">
        <f>IFERROR(__xludf.DUMMYFUNCTION("""COMPUTED_VALUE"""),"102915;INF760K01CB3;INF760K01811;CANARA ROBECO SAVINGS FUND - REGULAR PLAN - WEEKLY IDCW (Payout/Reinvestment);10.2649;25-Aug-2023")</f>
        <v>102915;INF760K01CB3;INF760K01811;CANARA ROBECO SAVINGS FUND - REGULAR PLAN - WEEKLY IDCW (Payout/Reinvestment);10.2649;25-Aug-2023</v>
      </c>
      <c r="B2255" s="1"/>
    </row>
    <row r="2256">
      <c r="A2256" s="1"/>
      <c r="B2256" s="1"/>
    </row>
    <row r="2257">
      <c r="A2257" s="1" t="str">
        <f>IFERROR(__xludf.DUMMYFUNCTION("""COMPUTED_VALUE"""),"DSP Mutual Fund")</f>
        <v>DSP Mutual Fund</v>
      </c>
      <c r="B2257" s="1"/>
    </row>
    <row r="2258">
      <c r="A2258" s="1"/>
      <c r="B2258" s="1"/>
    </row>
    <row r="2259">
      <c r="A2259" s="1" t="str">
        <f>IFERROR(__xludf.DUMMYFUNCTION("""COMPUTED_VALUE"""),"133925;INF740K013Q1;-;DSP Low Duration Fund - Direct Plan - Growth;17.8381;25-Aug-2023")</f>
        <v>133925;INF740K013Q1;-;DSP Low Duration Fund - Direct Plan - Growth;17.8381;25-Aug-2023</v>
      </c>
      <c r="B2259" s="1"/>
    </row>
    <row r="2260">
      <c r="A2260" s="1" t="str">
        <f>IFERROR(__xludf.DUMMYFUNCTION("""COMPUTED_VALUE"""),"133922;-;INF740KA1OL5;DSP Low Duration Fund - Direct Plan - IDCW - Daily;10.1268;25-Aug-2023")</f>
        <v>133922;-;INF740KA1OL5;DSP Low Duration Fund - Direct Plan - IDCW - Daily;10.1268;25-Aug-2023</v>
      </c>
      <c r="B2260" s="1"/>
    </row>
    <row r="2261">
      <c r="A2261" s="1" t="str">
        <f>IFERROR(__xludf.DUMMYFUNCTION("""COMPUTED_VALUE"""),"133928;INF740K014Q9;INF740K015Q6;DSP Low Duration Fund - Direct Plan - IDCW - Monthly;11.6825;25-Aug-2023")</f>
        <v>133928;INF740K014Q9;INF740K015Q6;DSP Low Duration Fund - Direct Plan - IDCW - Monthly;11.6825;25-Aug-2023</v>
      </c>
      <c r="B2261" s="1"/>
    </row>
    <row r="2262">
      <c r="A2262" s="1" t="str">
        <f>IFERROR(__xludf.DUMMYFUNCTION("""COMPUTED_VALUE"""),"133924;INF740K016Q4;INF740K017Q2;DSP Low Duration Fund - Direct Plan - IDCW - Quarterly;10.7624;25-Aug-2023")</f>
        <v>133924;INF740K016Q4;INF740K017Q2;DSP Low Duration Fund - Direct Plan - IDCW - Quarterly;10.7624;25-Aug-2023</v>
      </c>
      <c r="B2262" s="1"/>
    </row>
    <row r="2263">
      <c r="A2263" s="1" t="str">
        <f>IFERROR(__xludf.DUMMYFUNCTION("""COMPUTED_VALUE"""),"133923;INF740KA1OM3;INF740KA1ON1;DSP Low Duration Fund - Direct Plan - IDCW - Weekly;10.1296;25-Aug-2023")</f>
        <v>133923;INF740KA1OM3;INF740KA1ON1;DSP Low Duration Fund - Direct Plan - IDCW - Weekly;10.1296;25-Aug-2023</v>
      </c>
      <c r="B2263" s="1"/>
    </row>
    <row r="2264">
      <c r="A2264" s="1" t="str">
        <f>IFERROR(__xludf.DUMMYFUNCTION("""COMPUTED_VALUE"""),"133926;INF740K018P2;-;DSP Low Duration Fund - Regular Plan - Growth;17.3745;25-Aug-2023")</f>
        <v>133926;INF740K018P2;-;DSP Low Duration Fund - Regular Plan - Growth;17.3745;25-Aug-2023</v>
      </c>
      <c r="B2264" s="1"/>
    </row>
    <row r="2265">
      <c r="A2265" s="1" t="str">
        <f>IFERROR(__xludf.DUMMYFUNCTION("""COMPUTED_VALUE"""),"133919;-;INF740KA1OO9;DSP Low Duration Fund - Regular Plan - IDCW - Daily;10.1814;25-Aug-2023")</f>
        <v>133919;-;INF740KA1OO9;DSP Low Duration Fund - Regular Plan - IDCW - Daily;10.1814;25-Aug-2023</v>
      </c>
      <c r="B2265" s="1"/>
    </row>
    <row r="2266">
      <c r="A2266" s="1" t="str">
        <f>IFERROR(__xludf.DUMMYFUNCTION("""COMPUTED_VALUE"""),"133920;INF740K019P0;INF740K010Q7;DSP Low Duration Fund - Regular Plan - IDCW - Monthly;10.5498;25-Aug-2023")</f>
        <v>133920;INF740K019P0;INF740K010Q7;DSP Low Duration Fund - Regular Plan - IDCW - Monthly;10.5498;25-Aug-2023</v>
      </c>
      <c r="B2266" s="1"/>
    </row>
    <row r="2267">
      <c r="A2267" s="1" t="str">
        <f>IFERROR(__xludf.DUMMYFUNCTION("""COMPUTED_VALUE"""),"133921;INF740K011Q5;INF740K012Q3;DSP Low Duration Fund - Regular Plan - IDCW - Quarterly;10.7313;25-Aug-2023")</f>
        <v>133921;INF740K011Q5;INF740K012Q3;DSP Low Duration Fund - Regular Plan - IDCW - Quarterly;10.7313;25-Aug-2023</v>
      </c>
      <c r="B2267" s="1"/>
    </row>
    <row r="2268">
      <c r="A2268" s="1" t="str">
        <f>IFERROR(__xludf.DUMMYFUNCTION("""COMPUTED_VALUE"""),"133927;INF740KA1OP6;INF740KA1OQ4;DSP Low Duration Fund - Regular Plan - IDCW - Weekly;10.1296;25-Aug-2023")</f>
        <v>133927;INF740KA1OP6;INF740KA1OQ4;DSP Low Duration Fund - Regular Plan - IDCW - Weekly;10.1296;25-Aug-2023</v>
      </c>
      <c r="B2268" s="1"/>
    </row>
    <row r="2269">
      <c r="A2269" s="1"/>
      <c r="B2269" s="1"/>
    </row>
    <row r="2270">
      <c r="A2270" s="1" t="str">
        <f>IFERROR(__xludf.DUMMYFUNCTION("""COMPUTED_VALUE"""),"Franklin Templeton Mutual Fund")</f>
        <v>Franklin Templeton Mutual Fund</v>
      </c>
      <c r="B2270" s="1"/>
    </row>
    <row r="2271">
      <c r="A2271" s="1"/>
      <c r="B2271" s="1"/>
    </row>
    <row r="2272">
      <c r="A2272" s="1" t="str">
        <f>IFERROR(__xludf.DUMMYFUNCTION("""COMPUTED_VALUE"""),"118530;INF090I01HG7;-;Franklin India Low Duration Fund - Direct - Growth;28.6858;07-Aug-2022")</f>
        <v>118530;INF090I01HG7;-;Franklin India Low Duration Fund - Direct - Growth;28.6858;07-Aug-2022</v>
      </c>
      <c r="B2272" s="1"/>
    </row>
    <row r="2273">
      <c r="A2273" s="1" t="str">
        <f>IFERROR(__xludf.DUMMYFUNCTION("""COMPUTED_VALUE"""),"118528;INF090I01HC6;INF090I01HD4;Franklin India Low Duration Fund - Direct - Monthly - IDCW;13.3317;07-Aug-2022")</f>
        <v>118528;INF090I01HC6;INF090I01HD4;Franklin India Low Duration Fund - Direct - Monthly - IDCW;13.3317;07-Aug-2022</v>
      </c>
      <c r="B2273" s="1"/>
    </row>
    <row r="2274">
      <c r="A2274" s="1" t="str">
        <f>IFERROR(__xludf.DUMMYFUNCTION("""COMPUTED_VALUE"""),"118529;INF090I01HE2;INF090I01HF9;Franklin India Low Duration Fund - Direct - Quarterly - IDCW;13.1009;07-Aug-2022")</f>
        <v>118529;INF090I01HE2;INF090I01HF9;Franklin India Low Duration Fund - Direct - Quarterly - IDCW;13.1009;07-Aug-2022</v>
      </c>
      <c r="B2274" s="1"/>
    </row>
    <row r="2275">
      <c r="A2275" s="1" t="str">
        <f>IFERROR(__xludf.DUMMYFUNCTION("""COMPUTED_VALUE"""),"113135;INF090I01BU1;-;Franklin India Low Duration Fund - Growth Plan;32.6071;07-Aug-2022")</f>
        <v>113135;INF090I01BU1;-;Franklin India Low Duration Fund - Growth Plan;32.6071;07-Aug-2022</v>
      </c>
      <c r="B2275" s="1"/>
    </row>
    <row r="2276">
      <c r="A2276" s="1" t="str">
        <f>IFERROR(__xludf.DUMMYFUNCTION("""COMPUTED_VALUE"""),"100503;INF090I01BQ9;INF090I01BR7;Franklin India Low Duration Fund - Monthly - IDCW;15.0351;07-Aug-2022")</f>
        <v>100503;INF090I01BQ9;INF090I01BR7;Franklin India Low Duration Fund - Monthly - IDCW;15.0351;07-Aug-2022</v>
      </c>
      <c r="B2276" s="1"/>
    </row>
    <row r="2277">
      <c r="A2277" s="1" t="str">
        <f>IFERROR(__xludf.DUMMYFUNCTION("""COMPUTED_VALUE"""),"100504;INF090I01BS5;INF090I01BT3;Franklin India Low Duration Fund - Quarterly - IDCW;14.7667;07-Aug-2022")</f>
        <v>100504;INF090I01BS5;INF090I01BT3;Franklin India Low Duration Fund - Quarterly - IDCW;14.7667;07-Aug-2022</v>
      </c>
      <c r="B2277" s="1"/>
    </row>
    <row r="2278">
      <c r="A2278" s="1" t="str">
        <f>IFERROR(__xludf.DUMMYFUNCTION("""COMPUTED_VALUE"""),"147993;INF090I01UC9;-;Franklin India Low Duration Fund- Segregated Portfolio 1- 8.25% Vodafone Idea Ltd-10JUL20-Direct- Quarterly Dividend Plan;0.0000;20-Jul-2020")</f>
        <v>147993;INF090I01UC9;-;Franklin India Low Duration Fund- Segregated Portfolio 1- 8.25% Vodafone Idea Ltd-10JUL20-Direct- Quarterly Dividend Plan;0.0000;20-Jul-2020</v>
      </c>
      <c r="B2278" s="1"/>
    </row>
    <row r="2279">
      <c r="A2279" s="1" t="str">
        <f>IFERROR(__xludf.DUMMYFUNCTION("""COMPUTED_VALUE"""),"147989;INF090I01UD7;-;Franklin India Low Duration Fund- Segregated Portfolio 1- 8.25% Vodafone Idea Ltd-10JUL20-Direct-Growth Plan;0.0000;20-Jul-2020")</f>
        <v>147989;INF090I01UD7;-;Franklin India Low Duration Fund- Segregated Portfolio 1- 8.25% Vodafone Idea Ltd-10JUL20-Direct-Growth Plan;0.0000;20-Jul-2020</v>
      </c>
      <c r="B2279" s="1"/>
    </row>
    <row r="2280">
      <c r="A2280" s="1" t="str">
        <f>IFERROR(__xludf.DUMMYFUNCTION("""COMPUTED_VALUE"""),"147991;INF090I01UB1;-;Franklin India Low Duration Fund- Segregated Portfolio 1- 8.25% Vodafone Idea Ltd-10JUL20-Direct-Monthly Dividend Plan;0.0000;20-Jul-2020")</f>
        <v>147991;INF090I01UB1;-;Franklin India Low Duration Fund- Segregated Portfolio 1- 8.25% Vodafone Idea Ltd-10JUL20-Direct-Monthly Dividend Plan;0.0000;20-Jul-2020</v>
      </c>
      <c r="B2280" s="1"/>
    </row>
    <row r="2281">
      <c r="A2281" s="1" t="str">
        <f>IFERROR(__xludf.DUMMYFUNCTION("""COMPUTED_VALUE"""),"147994;INF090I01UA3;-;Franklin India Low Duration Fund- Segregated Portfolio 1- 8.25% Vodafone Idea Ltd-10JUL20-Growth Plan;0.0000;20-Jul-2020")</f>
        <v>147994;INF090I01UA3;-;Franklin India Low Duration Fund- Segregated Portfolio 1- 8.25% Vodafone Idea Ltd-10JUL20-Growth Plan;0.0000;20-Jul-2020</v>
      </c>
      <c r="B2281" s="1"/>
    </row>
    <row r="2282">
      <c r="A2282" s="1" t="str">
        <f>IFERROR(__xludf.DUMMYFUNCTION("""COMPUTED_VALUE"""),"147990;INF090I01TY5;-;Franklin India Low Duration Fund- Segregated Portfolio 1- 8.25% Vodafone Idea Ltd-10JUL20-Monthly Dividend Plan;0.0000;20-Jul-2020")</f>
        <v>147990;INF090I01TY5;-;Franklin India Low Duration Fund- Segregated Portfolio 1- 8.25% Vodafone Idea Ltd-10JUL20-Monthly Dividend Plan;0.0000;20-Jul-2020</v>
      </c>
      <c r="B2282" s="1"/>
    </row>
    <row r="2283">
      <c r="A2283" s="1" t="str">
        <f>IFERROR(__xludf.DUMMYFUNCTION("""COMPUTED_VALUE"""),"147992;INF090I01TZ2;-;Franklin India Low Duration Fund- Segregated Portfolio 1- 8.25% Vodafone Idea Ltd-10JUL20-Quarterly Dividend Plan;0.0000;20-Jul-2020")</f>
        <v>147992;INF090I01TZ2;-;Franklin India Low Duration Fund- Segregated Portfolio 1- 8.25% Vodafone Idea Ltd-10JUL20-Quarterly Dividend Plan;0.0000;20-Jul-2020</v>
      </c>
      <c r="B2283" s="1"/>
    </row>
    <row r="2284">
      <c r="A2284" s="1" t="str">
        <f>IFERROR(__xludf.DUMMYFUNCTION("""COMPUTED_VALUE"""),"147995;INF090I01UE5;-;Franklin India Low Duration Fund- Segregated Portfolio 2 - 10.90% Vodafone Idea Ltd (02-Sep-2023) - Monthly - IDCW;0.1758;25-Aug-2023")</f>
        <v>147995;INF090I01UE5;-;Franklin India Low Duration Fund- Segregated Portfolio 2 - 10.90% Vodafone Idea Ltd (02-Sep-2023) - Monthly - IDCW;0.1758;25-Aug-2023</v>
      </c>
      <c r="B2284" s="1"/>
    </row>
    <row r="2285">
      <c r="A2285" s="1" t="str">
        <f>IFERROR(__xludf.DUMMYFUNCTION("""COMPUTED_VALUE"""),"147997;INF090I01UF2;-;Franklin India Low Duration Fund- Segregated Portfolio 2 - 10.90% Vodafone Idea Ltd (02-Sep-2023) - Quarterly - IDCW;0.1727;25-Aug-2023")</f>
        <v>147997;INF090I01UF2;-;Franklin India Low Duration Fund- Segregated Portfolio 2 - 10.90% Vodafone Idea Ltd (02-Sep-2023) - Quarterly - IDCW;0.1727;25-Aug-2023</v>
      </c>
      <c r="B2285" s="1"/>
    </row>
    <row r="2286">
      <c r="A2286" s="1" t="str">
        <f>IFERROR(__xludf.DUMMYFUNCTION("""COMPUTED_VALUE"""),"147999;INF090I01UJ4;-;Franklin India Low Duration Fund- Segregated Portfolio 2- 10.90% Vodafone Idea Ltd 02Sep2023-Direct- Growth Plan;0.3900;25-Aug-2023")</f>
        <v>147999;INF090I01UJ4;-;Franklin India Low Duration Fund- Segregated Portfolio 2- 10.90% Vodafone Idea Ltd 02Sep2023-Direct- Growth Plan;0.3900;25-Aug-2023</v>
      </c>
      <c r="B2286" s="1"/>
    </row>
    <row r="2287">
      <c r="A2287" s="1" t="str">
        <f>IFERROR(__xludf.DUMMYFUNCTION("""COMPUTED_VALUE"""),"148000;INF090I01UG0;-;Franklin India Low Duration Fund- Segregated Portfolio 2- 10.90% Vodafone Idea Ltd 02Sep2023-Growth Plan;0.3814;25-Aug-2023")</f>
        <v>148000;INF090I01UG0;-;Franklin India Low Duration Fund- Segregated Portfolio 2- 10.90% Vodafone Idea Ltd 02Sep2023-Growth Plan;0.3814;25-Aug-2023</v>
      </c>
      <c r="B2287" s="1"/>
    </row>
    <row r="2288">
      <c r="A2288" s="1" t="str">
        <f>IFERROR(__xludf.DUMMYFUNCTION("""COMPUTED_VALUE"""),"147996;INF090I01UH8;-;Franklin India Low Duration Fund-Direct- Segregated Portfolio 2 - 10.90% Vodafone Idea Ltd (02-Sep-2023) - Direct Monthly - IDCW;0.1813;25-Aug-2023")</f>
        <v>147996;INF090I01UH8;-;Franklin India Low Duration Fund-Direct- Segregated Portfolio 2 - 10.90% Vodafone Idea Ltd (02-Sep-2023) - Direct Monthly - IDCW;0.1813;25-Aug-2023</v>
      </c>
      <c r="B2288" s="1"/>
    </row>
    <row r="2289">
      <c r="A2289" s="1" t="str">
        <f>IFERROR(__xludf.DUMMYFUNCTION("""COMPUTED_VALUE"""),"147998;INF090I01UI6;-;Franklin India Low Duration Fund-Direct- Segregated Portfolio 2 - 10.90% Vodafone Idea Ltd (02-Sep-2023) - Direct Quarterly - IDCW;0.1781;25-Aug-2023")</f>
        <v>147998;INF090I01UI6;-;Franklin India Low Duration Fund-Direct- Segregated Portfolio 2 - 10.90% Vodafone Idea Ltd (02-Sep-2023) - Direct Quarterly - IDCW;0.1781;25-Aug-2023</v>
      </c>
      <c r="B2289" s="1"/>
    </row>
    <row r="2290">
      <c r="A2290" s="1"/>
      <c r="B2290" s="1"/>
    </row>
    <row r="2291">
      <c r="A2291" s="1" t="str">
        <f>IFERROR(__xludf.DUMMYFUNCTION("""COMPUTED_VALUE"""),"HDFC Mutual Fund")</f>
        <v>HDFC Mutual Fund</v>
      </c>
      <c r="B2291" s="1"/>
    </row>
    <row r="2292">
      <c r="A2292" s="1"/>
      <c r="B2292" s="1"/>
    </row>
    <row r="2293">
      <c r="A2293" s="1" t="str">
        <f>IFERROR(__xludf.DUMMYFUNCTION("""COMPUTED_VALUE"""),"105548;-;INF179K01434;HDFC Low Duration  Fund - Daily IDCW;10.1428;25-Aug-2023")</f>
        <v>105548;-;INF179K01434;HDFC Low Duration  Fund - Daily IDCW;10.1428;25-Aug-2023</v>
      </c>
      <c r="B2293" s="1"/>
    </row>
    <row r="2294">
      <c r="A2294" s="1" t="str">
        <f>IFERROR(__xludf.DUMMYFUNCTION("""COMPUTED_VALUE"""),"118945;-;-;HDFC Low Duration  Fund - Direct Plan - Daily IDCW;10.0655;25-Aug-2023")</f>
        <v>118945;-;-;HDFC Low Duration  Fund - Direct Plan - Daily IDCW;10.0655;25-Aug-2023</v>
      </c>
      <c r="B2294" s="1"/>
    </row>
    <row r="2295">
      <c r="A2295" s="1" t="str">
        <f>IFERROR(__xludf.DUMMYFUNCTION("""COMPUTED_VALUE"""),"118942;INF179K01VF7;-;HDFC Low Duration  Fund - Direct Plan - Growth;54.274;25-Aug-2023")</f>
        <v>118942;INF179K01VF7;-;HDFC Low Duration  Fund - Direct Plan - Growth;54.274;25-Aug-2023</v>
      </c>
      <c r="B2295" s="1"/>
    </row>
    <row r="2296">
      <c r="A2296" s="1" t="str">
        <f>IFERROR(__xludf.DUMMYFUNCTION("""COMPUTED_VALUE"""),"118943;INF179K01VG5;INF179K01VH3;HDFC Low Duration  Fund - Direct Plan - Monthly IDCW;10.1947;25-Aug-2023")</f>
        <v>118943;INF179K01VG5;INF179K01VH3;HDFC Low Duration  Fund - Direct Plan - Monthly IDCW;10.1947;25-Aug-2023</v>
      </c>
      <c r="B2296" s="1"/>
    </row>
    <row r="2297">
      <c r="A2297" s="1" t="str">
        <f>IFERROR(__xludf.DUMMYFUNCTION("""COMPUTED_VALUE"""),"118944;-;-;HDFC Low Duration  Fund - Direct Plan - Weekly IDCW;10.0695;25-Aug-2023")</f>
        <v>118944;-;-;HDFC Low Duration  Fund - Direct Plan - Weekly IDCW;10.0695;25-Aug-2023</v>
      </c>
      <c r="B2297" s="1"/>
    </row>
    <row r="2298">
      <c r="A2298" s="1" t="str">
        <f>IFERROR(__xludf.DUMMYFUNCTION("""COMPUTED_VALUE"""),"102452;INF179K01442;-;HDFC Low Duration  Fund - Growth;50.5971;25-Aug-2023")</f>
        <v>102452;INF179K01442;-;HDFC Low Duration  Fund - Growth;50.5971;25-Aug-2023</v>
      </c>
      <c r="B2298" s="1"/>
    </row>
    <row r="2299">
      <c r="A2299" s="1" t="str">
        <f>IFERROR(__xludf.DUMMYFUNCTION("""COMPUTED_VALUE"""),"105543;INF179K01459;INF179K01467;HDFC Low Duration  Fund - Monthly IDCW;10.188;25-Aug-2023")</f>
        <v>105543;INF179K01459;INF179K01467;HDFC Low Duration  Fund - Monthly IDCW;10.188;25-Aug-2023</v>
      </c>
      <c r="B2299" s="1"/>
    </row>
    <row r="2300">
      <c r="A2300" s="1" t="str">
        <f>IFERROR(__xludf.DUMMYFUNCTION("""COMPUTED_VALUE"""),"102453;INF179K01475;INF179K01483;HDFC Low Duration  Fund - Weekly IDCW;10.0689;25-Aug-2023")</f>
        <v>102453;INF179K01475;INF179K01483;HDFC Low Duration  Fund - Weekly IDCW;10.0689;25-Aug-2023</v>
      </c>
      <c r="B2300" s="1"/>
    </row>
    <row r="2301">
      <c r="A2301" s="1" t="str">
        <f>IFERROR(__xludf.DUMMYFUNCTION("""COMPUTED_VALUE"""),"105547;-;INF179K01541;HDFC Low Duration Fund- Wholesale Daily Dividend;10.1574;10-May-2019")</f>
        <v>105547;-;INF179K01541;HDFC Low Duration Fund- Wholesale Daily Dividend;10.1574;10-May-2019</v>
      </c>
      <c r="B2301" s="1"/>
    </row>
    <row r="2302">
      <c r="A2302" s="1" t="str">
        <f>IFERROR(__xludf.DUMMYFUNCTION("""COMPUTED_VALUE"""),"105546;INF179K01509;INF179K01517;HDFC Low Duration Fund- Wholesale Monthly Dividend;10.1856;10-May-2019")</f>
        <v>105546;INF179K01509;INF179K01517;HDFC Low Duration Fund- Wholesale Monthly Dividend;10.1856;10-May-2019</v>
      </c>
      <c r="B2302" s="1"/>
    </row>
    <row r="2303">
      <c r="A2303" s="1" t="str">
        <f>IFERROR(__xludf.DUMMYFUNCTION("""COMPUTED_VALUE"""),"105545;INF179K01525;-;HDFC Low Duration Fund- Wholesale Weekly Dividend;10.1734;10-May-2019")</f>
        <v>105545;INF179K01525;-;HDFC Low Duration Fund- Wholesale Weekly Dividend;10.1734;10-May-2019</v>
      </c>
      <c r="B2303" s="1"/>
    </row>
    <row r="2304">
      <c r="A2304" s="1" t="str">
        <f>IFERROR(__xludf.DUMMYFUNCTION("""COMPUTED_VALUE"""),"105544;INF179K01491;-;HDFC Low Duration Fund- Wholesale- Growth;41.8371;10-May-2019")</f>
        <v>105544;INF179K01491;-;HDFC Low Duration Fund- Wholesale- Growth;41.8371;10-May-2019</v>
      </c>
      <c r="B2304" s="1"/>
    </row>
    <row r="2305">
      <c r="A2305" s="1"/>
      <c r="B2305" s="1"/>
    </row>
    <row r="2306">
      <c r="A2306" s="1" t="str">
        <f>IFERROR(__xludf.DUMMYFUNCTION("""COMPUTED_VALUE"""),"HSBC Mutual Fund")</f>
        <v>HSBC Mutual Fund</v>
      </c>
      <c r="B2306" s="1"/>
    </row>
    <row r="2307">
      <c r="A2307" s="1"/>
      <c r="B2307" s="1"/>
    </row>
    <row r="2308">
      <c r="A2308" s="1" t="str">
        <f>IFERROR(__xludf.DUMMYFUNCTION("""COMPUTED_VALUE"""),"151118;INF917K01VV7;INF917K01VU9;HSBC Low Duration Fund - Direct Annual IDCW;10.8629;25-Aug-2023")</f>
        <v>151118;INF917K01VV7;INF917K01VU9;HSBC Low Duration Fund - Direct Annual IDCW;10.8629;25-Aug-2023</v>
      </c>
      <c r="B2308" s="1"/>
    </row>
    <row r="2309">
      <c r="A2309" s="1" t="str">
        <f>IFERROR(__xludf.DUMMYFUNCTION("""COMPUTED_VALUE"""),"151117;INF917K01GM7;-;HSBC Low Duration Fund - Direct Growth;25.9288;25-Aug-2023")</f>
        <v>151117;INF917K01GM7;-;HSBC Low Duration Fund - Direct Growth;25.9288;25-Aug-2023</v>
      </c>
      <c r="B2309" s="1"/>
    </row>
    <row r="2310">
      <c r="A2310" s="1" t="str">
        <f>IFERROR(__xludf.DUMMYFUNCTION("""COMPUTED_VALUE"""),"151116;INF917K01E60;INF917K01GK1;HSBC Low Duration Fund - Direct Monthly IDCW;11.121;25-Aug-2023")</f>
        <v>151116;INF917K01E60;INF917K01GK1;HSBC Low Duration Fund - Direct Monthly IDCW;11.121;25-Aug-2023</v>
      </c>
      <c r="B2310" s="1"/>
    </row>
    <row r="2311">
      <c r="A2311" s="1" t="str">
        <f>IFERROR(__xludf.DUMMYFUNCTION("""COMPUTED_VALUE"""),"151119;INF917K01VX3;INF917K01VW5;HSBC Low Duration Fund - Regular Annual IDCW;10.4991;25-Aug-2023")</f>
        <v>151119;INF917K01VX3;INF917K01VW5;HSBC Low Duration Fund - Regular Annual IDCW;10.4991;25-Aug-2023</v>
      </c>
      <c r="B2311" s="1"/>
    </row>
    <row r="2312">
      <c r="A2312" s="1" t="str">
        <f>IFERROR(__xludf.DUMMYFUNCTION("""COMPUTED_VALUE"""),"151114;INF677K01452;-;HSBC Low Duration Fund - Regular Growth;24.7785;25-Aug-2023")</f>
        <v>151114;INF677K01452;-;HSBC Low Duration Fund - Regular Growth;24.7785;25-Aug-2023</v>
      </c>
      <c r="B2312" s="1"/>
    </row>
    <row r="2313">
      <c r="A2313" s="1" t="str">
        <f>IFERROR(__xludf.DUMMYFUNCTION("""COMPUTED_VALUE"""),"151115;INF677K01460;INF677K01478;HSBC Low Duration Fund - Regular Monthly IDCW;10.403;25-Aug-2023")</f>
        <v>151115;INF677K01460;INF677K01478;HSBC Low Duration Fund - Regular Monthly IDCW;10.403;25-Aug-2023</v>
      </c>
      <c r="B2313" s="1"/>
    </row>
    <row r="2314">
      <c r="A2314" s="1"/>
      <c r="B2314" s="1"/>
    </row>
    <row r="2315">
      <c r="A2315" s="1" t="str">
        <f>IFERROR(__xludf.DUMMYFUNCTION("""COMPUTED_VALUE"""),"ICICI Prudential Mutual Fund")</f>
        <v>ICICI Prudential Mutual Fund</v>
      </c>
      <c r="B2315" s="1"/>
    </row>
    <row r="2316">
      <c r="A2316" s="1"/>
      <c r="B2316" s="1"/>
    </row>
    <row r="2317">
      <c r="A2317" s="1" t="str">
        <f>IFERROR(__xludf.DUMMYFUNCTION("""COMPUTED_VALUE"""),"130900;INF109KA1I92;-;ICICI Prudential Savings Fund - Bonus;154.9446;24-Apr-2020")</f>
        <v>130900;INF109KA1I92;-;ICICI Prudential Savings Fund - Bonus;154.9446;24-Apr-2020</v>
      </c>
      <c r="B2317" s="1"/>
    </row>
    <row r="2318">
      <c r="A2318" s="1" t="str">
        <f>IFERROR(__xludf.DUMMYFUNCTION("""COMPUTED_VALUE"""),"101618;INF109K01738;-;ICICI Prudential Savings Fund - Daily IDCW;105.7358;25-Aug-2023")</f>
        <v>101618;INF109K01738;-;ICICI Prudential Savings Fund - Daily IDCW;105.7358;25-Aug-2023</v>
      </c>
      <c r="B2318" s="1"/>
    </row>
    <row r="2319">
      <c r="A2319" s="1" t="str">
        <f>IFERROR(__xludf.DUMMYFUNCTION("""COMPUTED_VALUE"""),"120397;-;INF109K01O66;ICICI Prudential Savings Fund - Direct Plan - Daily IDCW;105.7358;25-Aug-2023")</f>
        <v>120397;-;INF109K01O66;ICICI Prudential Savings Fund - Direct Plan - Daily IDCW;105.7358;25-Aug-2023</v>
      </c>
      <c r="B2319" s="1"/>
    </row>
    <row r="2320">
      <c r="A2320" s="1" t="str">
        <f>IFERROR(__xludf.DUMMYFUNCTION("""COMPUTED_VALUE"""),"122904;INF109K016Y3;INF109K015Y5;ICICI Prudential Savings Fund - Direct Plan - Fortnightly IDCW;101.8932;25-Aug-2023")</f>
        <v>122904;INF109K016Y3;INF109K015Y5;ICICI Prudential Savings Fund - Direct Plan - Fortnightly IDCW;101.8932;25-Aug-2023</v>
      </c>
      <c r="B2320" s="1"/>
    </row>
    <row r="2321">
      <c r="A2321" s="1" t="str">
        <f>IFERROR(__xludf.DUMMYFUNCTION("""COMPUTED_VALUE"""),"120398;INF109K01O82;-;ICICI Prudential Savings Fund - Direct Plan - Growth;478.0420;25-Aug-2023")</f>
        <v>120398;INF109K01O82;-;ICICI Prudential Savings Fund - Direct Plan - Growth;478.0420;25-Aug-2023</v>
      </c>
      <c r="B2321" s="1"/>
    </row>
    <row r="2322">
      <c r="A2322" s="1" t="str">
        <f>IFERROR(__xludf.DUMMYFUNCTION("""COMPUTED_VALUE"""),"120399;INF109K01O90;INF109K01O74;ICICI Prudential Savings Fund - Direct Plan - IDCW Others;168.3914;25-Aug-2023")</f>
        <v>120399;INF109K01O90;INF109K01O74;ICICI Prudential Savings Fund - Direct Plan - IDCW Others;168.3914;25-Aug-2023</v>
      </c>
      <c r="B2322" s="1"/>
    </row>
    <row r="2323">
      <c r="A2323" s="1" t="str">
        <f>IFERROR(__xludf.DUMMYFUNCTION("""COMPUTED_VALUE"""),"122651;INF109K018Y9;INF109K017Y1;ICICI Prudential Savings Fund - Direct Plan - Monthly IDCW;102.1579;25-Aug-2023")</f>
        <v>122651;INF109K018Y9;INF109K017Y1;ICICI Prudential Savings Fund - Direct Plan - Monthly IDCW;102.1579;25-Aug-2023</v>
      </c>
      <c r="B2323" s="1"/>
    </row>
    <row r="2324">
      <c r="A2324" s="1" t="str">
        <f>IFERROR(__xludf.DUMMYFUNCTION("""COMPUTED_VALUE"""),"122982;INF109K010Z3;INF109K019Y7;ICICI Prudential Savings Fund - Direct Plan - Quarterly IDCW;108.4293;25-Aug-2023")</f>
        <v>122982;INF109K010Z3;INF109K019Y7;ICICI Prudential Savings Fund - Direct Plan - Quarterly IDCW;108.4293;25-Aug-2023</v>
      </c>
      <c r="B2324" s="1"/>
    </row>
    <row r="2325">
      <c r="A2325" s="1" t="str">
        <f>IFERROR(__xludf.DUMMYFUNCTION("""COMPUTED_VALUE"""),"120396;INF109K01P08;INF109K01P16;ICICI Prudential Savings Fund - Direct Plan - Weekly IDCW;105.5752;25-Aug-2023")</f>
        <v>120396;INF109K01P08;INF109K01P16;ICICI Prudential Savings Fund - Direct Plan - Weekly IDCW;105.5752;25-Aug-2023</v>
      </c>
      <c r="B2325" s="1"/>
    </row>
    <row r="2326">
      <c r="A2326" s="1" t="str">
        <f>IFERROR(__xludf.DUMMYFUNCTION("""COMPUTED_VALUE"""),"130952;INF109KA1I01;-;ICICI Prudential Savings Fund - Direct Plan Bonus;123.8923;15-Mar-2017")</f>
        <v>130952;INF109KA1I01;-;ICICI Prudential Savings Fund - Direct Plan Bonus;123.8923;15-Mar-2017</v>
      </c>
      <c r="B2326" s="1"/>
    </row>
    <row r="2327">
      <c r="A2327" s="1" t="str">
        <f>IFERROR(__xludf.DUMMYFUNCTION("""COMPUTED_VALUE"""),"122748;INF109K012Z9;INF109K011Z1;ICICI Prudential Savings Fund - Fortnightly IDCW;101.8903;25-Aug-2023")</f>
        <v>122748;INF109K012Z9;INF109K011Z1;ICICI Prudential Savings Fund - Fortnightly IDCW;101.8903;25-Aug-2023</v>
      </c>
      <c r="B2327" s="1"/>
    </row>
    <row r="2328">
      <c r="A2328" s="1" t="str">
        <f>IFERROR(__xludf.DUMMYFUNCTION("""COMPUTED_VALUE"""),"101619;INF109K01746;-;ICICI Prudential Savings Fund - Growth;472.5957;25-Aug-2023")</f>
        <v>101619;INF109K01746;-;ICICI Prudential Savings Fund - Growth;472.5957;25-Aug-2023</v>
      </c>
      <c r="B2328" s="1"/>
    </row>
    <row r="2329">
      <c r="A2329" s="1" t="str">
        <f>IFERROR(__xludf.DUMMYFUNCTION("""COMPUTED_VALUE"""),"115511;INF109K01WO4;INF109K01WN6;ICICI Prudential Savings Fund - IDCW Others;166.4125;25-Aug-2023")</f>
        <v>115511;INF109K01WO4;INF109K01WN6;ICICI Prudential Savings Fund - IDCW Others;166.4125;25-Aug-2023</v>
      </c>
      <c r="B2329" s="1"/>
    </row>
    <row r="2330">
      <c r="A2330" s="1" t="str">
        <f>IFERROR(__xludf.DUMMYFUNCTION("""COMPUTED_VALUE"""),"122531;INF109K014Z5;INF109K013Z7;ICICI Prudential Savings Fund - Monthly IDCW;102.1515;25-Aug-2023")</f>
        <v>122531;INF109K014Z5;INF109K013Z7;ICICI Prudential Savings Fund - Monthly IDCW;102.1515;25-Aug-2023</v>
      </c>
      <c r="B2330" s="1"/>
    </row>
    <row r="2331">
      <c r="A2331" s="1" t="str">
        <f>IFERROR(__xludf.DUMMYFUNCTION("""COMPUTED_VALUE"""),"122995;INF109K016Z0;INF109K015Z2;ICICI Prudential Savings Fund - Quarterly IDCW;108.2042;25-Aug-2023")</f>
        <v>122995;INF109K016Z0;INF109K015Z2;ICICI Prudential Savings Fund - Quarterly IDCW;108.2042;25-Aug-2023</v>
      </c>
      <c r="B2331" s="1"/>
    </row>
    <row r="2332">
      <c r="A2332" s="1" t="str">
        <f>IFERROR(__xludf.DUMMYFUNCTION("""COMPUTED_VALUE"""),"101617;INF109K01JO1;INF109K01753;ICICI Prudential Savings Fund - Weekly IDCW;105.5276;25-Aug-2023")</f>
        <v>101617;INF109K01JO1;INF109K01753;ICICI Prudential Savings Fund - Weekly IDCW;105.5276;25-Aug-2023</v>
      </c>
      <c r="B2332" s="1"/>
    </row>
    <row r="2333">
      <c r="A2333" s="1" t="str">
        <f>IFERROR(__xludf.DUMMYFUNCTION("""COMPUTED_VALUE"""),"111795;INF109K01EI4;INF109K01BW1;ICICI Prudential Savings Fund Retail Daily Dividend;100.1193;24-Apr-2020")</f>
        <v>111795;INF109K01EI4;INF109K01BW1;ICICI Prudential Savings Fund Retail Daily Dividend;100.1193;24-Apr-2020</v>
      </c>
      <c r="B2333" s="1"/>
    </row>
    <row r="2334">
      <c r="A2334" s="1" t="str">
        <f>IFERROR(__xludf.DUMMYFUNCTION("""COMPUTED_VALUE"""),"111794;INF109K01BX9;-;ICICI Prudential Savings Fund Retail Growth;220.0081;24-Apr-2020")</f>
        <v>111794;INF109K01BX9;-;ICICI Prudential Savings Fund Retail Growth;220.0081;24-Apr-2020</v>
      </c>
      <c r="B2334" s="1"/>
    </row>
    <row r="2335">
      <c r="A2335" s="1" t="str">
        <f>IFERROR(__xludf.DUMMYFUNCTION("""COMPUTED_VALUE"""),"111793;INF109K01EJ2;INF109K01BY7;ICICI Prudential Savings Fund Retail Weekly Dividend;100.956;24-Apr-2020")</f>
        <v>111793;INF109K01EJ2;INF109K01BY7;ICICI Prudential Savings Fund Retail Weekly Dividend;100.956;24-Apr-2020</v>
      </c>
      <c r="B2335" s="1"/>
    </row>
    <row r="2336">
      <c r="A2336" s="1"/>
      <c r="B2336" s="1"/>
    </row>
    <row r="2337">
      <c r="A2337" s="1" t="str">
        <f>IFERROR(__xludf.DUMMYFUNCTION("""COMPUTED_VALUE"""),"Invesco Mutual Fund")</f>
        <v>Invesco Mutual Fund</v>
      </c>
      <c r="B2337" s="1"/>
    </row>
    <row r="2338">
      <c r="A2338" s="1"/>
      <c r="B2338" s="1"/>
    </row>
    <row r="2339">
      <c r="A2339" s="1" t="str">
        <f>IFERROR(__xludf.DUMMYFUNCTION("""COMPUTED_VALUE"""),"105025;-;INF205K01HZ7;Invesco India Treasury Advantage Fund - Daily IDCW (Reinvestment);1017.9524;25-Aug-2023")</f>
        <v>105025;-;INF205K01HZ7;Invesco India Treasury Advantage Fund - Daily IDCW (Reinvestment);1017.9524;25-Aug-2023</v>
      </c>
      <c r="B2339" s="1"/>
    </row>
    <row r="2340">
      <c r="A2340" s="1" t="str">
        <f>IFERROR(__xludf.DUMMYFUNCTION("""COMPUTED_VALUE"""),"120567;INF205K01NW2;INF205K01NX0;Invesco India Treasury Advantage Fund - Direct Plan - Discretionary IDCW (Payout / Reinvestment);3434.8089;25-Aug-2023")</f>
        <v>120567;INF205K01NW2;INF205K01NX0;Invesco India Treasury Advantage Fund - Direct Plan - Discretionary IDCW (Payout / Reinvestment);3434.8089;25-Aug-2023</v>
      </c>
      <c r="B2340" s="1"/>
    </row>
    <row r="2341">
      <c r="A2341" s="1" t="str">
        <f>IFERROR(__xludf.DUMMYFUNCTION("""COMPUTED_VALUE"""),"120570;INF205K01NY8;-;Invesco India Treasury Advantage Fund - Direct Plan - Growth;3433.2633;25-Aug-2023")</f>
        <v>120570;INF205K01NY8;-;Invesco India Treasury Advantage Fund - Direct Plan - Growth;3433.2633;25-Aug-2023</v>
      </c>
      <c r="B2341" s="1"/>
    </row>
    <row r="2342">
      <c r="A2342" s="1" t="str">
        <f>IFERROR(__xludf.DUMMYFUNCTION("""COMPUTED_VALUE"""),"120571;INF205K01NZ5;INF205K01OA6;Invesco India Treasury Advantage Fund - Direct Plan - Monthly IDCW (Payout / Reinvestment);1081.1453;25-Aug-2023")</f>
        <v>120571;INF205K01NZ5;INF205K01OA6;Invesco India Treasury Advantage Fund - Direct Plan - Monthly IDCW (Payout / Reinvestment);1081.1453;25-Aug-2023</v>
      </c>
      <c r="B2342" s="1"/>
    </row>
    <row r="2343">
      <c r="A2343" s="1" t="str">
        <f>IFERROR(__xludf.DUMMYFUNCTION("""COMPUTED_VALUE"""),"120568;INF205K01OB4;INF205K01OC2;Invesco India Treasury Advantage Fund - Direct Plan - Weekly IDCW (Payout / Reinvestment);1207.1561;25-Aug-2023")</f>
        <v>120568;INF205K01OB4;INF205K01OC2;Invesco India Treasury Advantage Fund - Direct Plan - Weekly IDCW (Payout / Reinvestment);1207.1561;25-Aug-2023</v>
      </c>
      <c r="B2343" s="1"/>
    </row>
    <row r="2344">
      <c r="A2344" s="1" t="str">
        <f>IFERROR(__xludf.DUMMYFUNCTION("""COMPUTED_VALUE"""),"120566;-;INF205K01NV4;Invesco India Treasury Advantage Fund - Direct Plan -Daily IDCW (Reinvestment);1018.9655;25-Aug-2023")</f>
        <v>120566;-;INF205K01NV4;Invesco India Treasury Advantage Fund - Direct Plan -Daily IDCW (Reinvestment);1018.9655;25-Aug-2023</v>
      </c>
      <c r="B2344" s="1"/>
    </row>
    <row r="2345">
      <c r="A2345" s="1" t="str">
        <f>IFERROR(__xludf.DUMMYFUNCTION("""COMPUTED_VALUE"""),"115458;INF205K01IG5;INF205K01IF7;Invesco India Treasury Advantage Fund - Discretionary IDCW (Payout / Reinvestment);3387.3871;25-Aug-2023")</f>
        <v>115458;INF205K01IG5;INF205K01IF7;Invesco India Treasury Advantage Fund - Discretionary IDCW (Payout / Reinvestment);3387.3871;25-Aug-2023</v>
      </c>
      <c r="B2345" s="1"/>
    </row>
    <row r="2346">
      <c r="A2346" s="1" t="str">
        <f>IFERROR(__xludf.DUMMYFUNCTION("""COMPUTED_VALUE"""),"104726;INF205K01HY0;-;Invesco India Treasury Advantage Fund - Growth;3309.7832;25-Aug-2023")</f>
        <v>104726;INF205K01HY0;-;Invesco India Treasury Advantage Fund - Growth;3309.7832;25-Aug-2023</v>
      </c>
      <c r="B2346" s="1"/>
    </row>
    <row r="2347">
      <c r="A2347" s="1" t="str">
        <f>IFERROR(__xludf.DUMMYFUNCTION("""COMPUTED_VALUE"""),"104729;INF205K01ID2;INF205K01IC4;Invesco India Treasury Advantage Fund - Monthly IDCW (Payout / Reinvestment);1206.2274;25-Aug-2023")</f>
        <v>104729;INF205K01ID2;INF205K01IC4;Invesco India Treasury Advantage Fund - Monthly IDCW (Payout / Reinvestment);1206.2274;25-Aug-2023</v>
      </c>
      <c r="B2347" s="1"/>
    </row>
    <row r="2348">
      <c r="A2348" s="1" t="str">
        <f>IFERROR(__xludf.DUMMYFUNCTION("""COMPUTED_VALUE"""),"104728;INF205K01HT0;-;Invesco India Treasury Advantage Fund - Regular - Growth;2982.2213;25-Aug-2023")</f>
        <v>104728;INF205K01HT0;-;Invesco India Treasury Advantage Fund - Regular - Growth;2982.2213;25-Aug-2023</v>
      </c>
      <c r="B2348" s="1"/>
    </row>
    <row r="2349">
      <c r="A2349" s="1" t="str">
        <f>IFERROR(__xludf.DUMMYFUNCTION("""COMPUTED_VALUE"""),"104723;-;INF205K01HW4;Invesco India Treasury Advantage Fund - Regular - Monthly IDCW (Reinvestment);1202.3685;25-Aug-2023")</f>
        <v>104723;-;INF205K01HW4;Invesco India Treasury Advantage Fund - Regular - Monthly IDCW (Reinvestment);1202.3685;25-Aug-2023</v>
      </c>
      <c r="B2349" s="1"/>
    </row>
    <row r="2350">
      <c r="A2350" s="1" t="str">
        <f>IFERROR(__xludf.DUMMYFUNCTION("""COMPUTED_VALUE"""),"104722;-;INF205K01HV6;Invesco India Treasury Advantage Fund - Regular - Weekly IDCW (Reinvestment);1334.8191;25-Aug-2023")</f>
        <v>104722;-;INF205K01HV6;Invesco India Treasury Advantage Fund - Regular - Weekly IDCW (Reinvestment);1334.8191;25-Aug-2023</v>
      </c>
      <c r="B2350" s="1"/>
    </row>
    <row r="2351">
      <c r="A2351" s="1" t="str">
        <f>IFERROR(__xludf.DUMMYFUNCTION("""COMPUTED_VALUE"""),"105024;-;INF205K01HU8;Invesco India Treasury Advantage Fund - Regular Daily IDCW (Reinvestment);1498.7881;25-Aug-2023")</f>
        <v>105024;-;INF205K01HU8;Invesco India Treasury Advantage Fund - Regular Daily IDCW (Reinvestment);1498.7881;25-Aug-2023</v>
      </c>
      <c r="B2351" s="1"/>
    </row>
    <row r="2352">
      <c r="A2352" s="1" t="str">
        <f>IFERROR(__xludf.DUMMYFUNCTION("""COMPUTED_VALUE"""),"104725;INF205K01IB6;INF205K01IA8;Invesco India Treasury Advantage Fund - Weekly IDCW (Payout / Reinvestment);1155.9974;25-Aug-2023")</f>
        <v>104725;INF205K01IB6;INF205K01IA8;Invesco India Treasury Advantage Fund - Weekly IDCW (Payout / Reinvestment);1155.9974;25-Aug-2023</v>
      </c>
      <c r="B2352" s="1"/>
    </row>
    <row r="2353">
      <c r="A2353" s="1"/>
      <c r="B2353" s="1"/>
    </row>
    <row r="2354">
      <c r="A2354" s="1" t="str">
        <f>IFERROR(__xludf.DUMMYFUNCTION("""COMPUTED_VALUE"""),"JM Financial Mutual Fund")</f>
        <v>JM Financial Mutual Fund</v>
      </c>
      <c r="B2354" s="1"/>
    </row>
    <row r="2355">
      <c r="A2355" s="1"/>
      <c r="B2355" s="1"/>
    </row>
    <row r="2356">
      <c r="A2356" s="1" t="str">
        <f>IFERROR(__xludf.DUMMYFUNCTION("""COMPUTED_VALUE"""),"143610;INF192K01FL1;-;JM Low Duration Fund (Direct) - Bonus Option - Principal Units;19.9461;25-Aug-2023")</f>
        <v>143610;INF192K01FL1;-;JM Low Duration Fund (Direct) - Bonus Option - Principal Units;19.9461;25-Aug-2023</v>
      </c>
      <c r="B2356" s="1"/>
    </row>
    <row r="2357">
      <c r="A2357" s="1" t="str">
        <f>IFERROR(__xludf.DUMMYFUNCTION("""COMPUTED_VALUE"""),"143604;-;INF192K01DT9;JM Low Duration Fund (Direct) - Daily IDCW;10.8500;25-Aug-2023")</f>
        <v>143604;-;INF192K01DT9;JM Low Duration Fund (Direct) - Daily IDCW;10.8500;25-Aug-2023</v>
      </c>
      <c r="B2357" s="1"/>
    </row>
    <row r="2358">
      <c r="A2358" s="1" t="str">
        <f>IFERROR(__xludf.DUMMYFUNCTION("""COMPUTED_VALUE"""),"143606;-;INF192K01DV5;JM Low Duration Fund (Direct) - Fortnightly IDCW;11.1391;25-Aug-2023")</f>
        <v>143606;-;INF192K01DV5;JM Low Duration Fund (Direct) - Fortnightly IDCW;11.1391;25-Aug-2023</v>
      </c>
      <c r="B2358" s="1"/>
    </row>
    <row r="2359">
      <c r="A2359" s="1" t="str">
        <f>IFERROR(__xludf.DUMMYFUNCTION("""COMPUTED_VALUE"""),"143612;INF192K01DW3;-;JM Low Duration Fund (Direct) - Growth;33.1271;25-Aug-2023")</f>
        <v>143612;INF192K01DW3;-;JM Low Duration Fund (Direct) - Growth;33.1271;25-Aug-2023</v>
      </c>
      <c r="B2359" s="1"/>
    </row>
    <row r="2360">
      <c r="A2360" s="1" t="str">
        <f>IFERROR(__xludf.DUMMYFUNCTION("""COMPUTED_VALUE"""),"143611;-;INF192K01DU7;JM Low Duration Fund (Direct) - Weekly IDCW;11.4588;25-Aug-2023")</f>
        <v>143611;-;INF192K01DU7;JM Low Duration Fund (Direct) - Weekly IDCW;11.4588;25-Aug-2023</v>
      </c>
      <c r="B2360" s="1"/>
    </row>
    <row r="2361">
      <c r="A2361" s="1" t="str">
        <f>IFERROR(__xludf.DUMMYFUNCTION("""COMPUTED_VALUE"""),"143603;-;INF192K01AV1;JM Low Duration Fund (Regular) - Daily IDCW;10.8200;25-Aug-2023")</f>
        <v>143603;-;INF192K01AV1;JM Low Duration Fund (Regular) - Daily IDCW;10.8200;25-Aug-2023</v>
      </c>
      <c r="B2361" s="1"/>
    </row>
    <row r="2362">
      <c r="A2362" s="1" t="str">
        <f>IFERROR(__xludf.DUMMYFUNCTION("""COMPUTED_VALUE"""),"143605;-;INF192K01AX7;JM Low Duration Fund (Regular) - Fortnightly IDCW ;11.0979;25-Aug-2023")</f>
        <v>143605;-;INF192K01AX7;JM Low Duration Fund (Regular) - Fortnightly IDCW ;11.0979;25-Aug-2023</v>
      </c>
      <c r="B2362" s="1"/>
    </row>
    <row r="2363">
      <c r="A2363" s="1" t="str">
        <f>IFERROR(__xludf.DUMMYFUNCTION("""COMPUTED_VALUE"""),"143607;INF192K01AY5;-;JM Low Duration Fund (Regular) - Growth Option;32.4949;25-Aug-2023")</f>
        <v>143607;INF192K01AY5;-;JM Low Duration Fund (Regular) - Growth Option;32.4949;25-Aug-2023</v>
      </c>
      <c r="B2363" s="1"/>
    </row>
    <row r="2364">
      <c r="A2364" s="1" t="str">
        <f>IFERROR(__xludf.DUMMYFUNCTION("""COMPUTED_VALUE"""),"143608;-;INF192K01AW9;JM Low Duration Fund (Regular) - Weekly IDCW;11.4183;25-Aug-2023")</f>
        <v>143608;-;INF192K01AW9;JM Low Duration Fund (Regular) - Weekly IDCW;11.4183;25-Aug-2023</v>
      </c>
      <c r="B2364" s="1"/>
    </row>
    <row r="2365">
      <c r="A2365" s="1" t="str">
        <f>IFERROR(__xludf.DUMMYFUNCTION("""COMPUTED_VALUE"""),"143609;INF192K01FJ5;-;JM Low Duration Fund - Bonus Option - Principal Units;19.5771;25-Aug-2023")</f>
        <v>143609;INF192K01FJ5;-;JM Low Duration Fund - Bonus Option - Principal Units;19.5771;25-Aug-2023</v>
      </c>
      <c r="B2365" s="1"/>
    </row>
    <row r="2366">
      <c r="A2366" s="1"/>
      <c r="B2366" s="1"/>
    </row>
    <row r="2367">
      <c r="A2367" s="1" t="str">
        <f>IFERROR(__xludf.DUMMYFUNCTION("""COMPUTED_VALUE"""),"Kotak Mahindra Mutual Fund")</f>
        <v>Kotak Mahindra Mutual Fund</v>
      </c>
      <c r="B2367" s="1"/>
    </row>
    <row r="2368">
      <c r="A2368" s="1"/>
      <c r="B2368" s="1"/>
    </row>
    <row r="2369">
      <c r="A2369" s="1" t="str">
        <f>IFERROR(__xludf.DUMMYFUNCTION("""COMPUTED_VALUE"""),"133812;INF178L01AZ9;INF178L01AY2;Kotak Low Duration Fund - Direct Plan- Standard Income Distribution cum capital withdrawal option;1341.443;25-Aug-2023")</f>
        <v>133812;INF178L01AZ9;INF178L01AY2;Kotak Low Duration Fund - Direct Plan- Standard Income Distribution cum capital withdrawal option;1341.443;25-Aug-2023</v>
      </c>
      <c r="B2369" s="1"/>
    </row>
    <row r="2370">
      <c r="A2370" s="1" t="str">
        <f>IFERROR(__xludf.DUMMYFUNCTION("""COMPUTED_VALUE"""),"133810;INF178L01AX4;-;Kotak Low Duration Fund- Direct Plan- Growth Option;3156.7016;25-Aug-2023")</f>
        <v>133810;INF178L01AX4;-;Kotak Low Duration Fund- Direct Plan- Growth Option;3156.7016;25-Aug-2023</v>
      </c>
      <c r="B2370" s="1"/>
    </row>
    <row r="2371">
      <c r="A2371" s="1" t="str">
        <f>IFERROR(__xludf.DUMMYFUNCTION("""COMPUTED_VALUE"""),"133805;INF178L01202;-;Kotak Low Duration Fund- Regular Plan-Growth Option;2936.3709;25-Aug-2023")</f>
        <v>133805;INF178L01202;-;Kotak Low Duration Fund- Regular Plan-Growth Option;2936.3709;25-Aug-2023</v>
      </c>
      <c r="B2371" s="1"/>
    </row>
    <row r="2372">
      <c r="A2372" s="1" t="str">
        <f>IFERROR(__xludf.DUMMYFUNCTION("""COMPUTED_VALUE"""),"133809;INF178L01210;INF178L01228;Kotak Low Duration Fund- Regular Plan-Standard Income Distribution cum capital withdrawal option;1119.2507;25-Aug-2023")</f>
        <v>133809;INF178L01210;INF178L01228;Kotak Low Duration Fund- Regular Plan-Standard Income Distribution cum capital withdrawal option;1119.2507;25-Aug-2023</v>
      </c>
      <c r="B2372" s="1"/>
    </row>
    <row r="2373">
      <c r="A2373" s="1"/>
      <c r="B2373" s="1"/>
    </row>
    <row r="2374">
      <c r="A2374" s="1" t="str">
        <f>IFERROR(__xludf.DUMMYFUNCTION("""COMPUTED_VALUE"""),"LIC Mutual Fund")</f>
        <v>LIC Mutual Fund</v>
      </c>
      <c r="B2374" s="1"/>
    </row>
    <row r="2375">
      <c r="A2375" s="1"/>
      <c r="B2375" s="1"/>
    </row>
    <row r="2376">
      <c r="A2376" s="1" t="str">
        <f>IFERROR(__xludf.DUMMYFUNCTION("""COMPUTED_VALUE"""),"120316;INF767K01FL0;INF767K01FN6;LIC MF Low Duration Fund-Direct Plan-Daily IDCW;10.05;25-Aug-2023")</f>
        <v>120316;INF767K01FL0;INF767K01FN6;LIC MF Low Duration Fund-Direct Plan-Daily IDCW;10.05;25-Aug-2023</v>
      </c>
      <c r="B2376" s="1"/>
    </row>
    <row r="2377">
      <c r="A2377" s="1" t="str">
        <f>IFERROR(__xludf.DUMMYFUNCTION("""COMPUTED_VALUE"""),"120315;INF767K01FM8;-;LIC MF Low Duration Fund-Direct Plan-Growth;37.2824;25-Aug-2023")</f>
        <v>120315;INF767K01FM8;-;LIC MF Low Duration Fund-Direct Plan-Growth;37.2824;25-Aug-2023</v>
      </c>
      <c r="B2377" s="1"/>
    </row>
    <row r="2378">
      <c r="A2378" s="1" t="str">
        <f>IFERROR(__xludf.DUMMYFUNCTION("""COMPUTED_VALUE"""),"120317;INF767K01FP1;INF767K01FO4;LIC MF Low Duration Fund-Direct Plan-Monthly IDCW;19.4745;25-Aug-2023")</f>
        <v>120317;INF767K01FP1;INF767K01FO4;LIC MF Low Duration Fund-Direct Plan-Monthly IDCW;19.4745;25-Aug-2023</v>
      </c>
      <c r="B2378" s="1"/>
    </row>
    <row r="2379">
      <c r="A2379" s="1" t="str">
        <f>IFERROR(__xludf.DUMMYFUNCTION("""COMPUTED_VALUE"""),"120318;INF767K01JJ6;INF767K01JK4;LIC MF Low Duration Fund-Direct Plan-Weekly IDCW;12.9893;25-Aug-2023")</f>
        <v>120318;INF767K01JJ6;INF767K01JK4;LIC MF Low Duration Fund-Direct Plan-Weekly IDCW;12.9893;25-Aug-2023</v>
      </c>
      <c r="B2379" s="1"/>
    </row>
    <row r="2380">
      <c r="A2380" s="1" t="str">
        <f>IFERROR(__xludf.DUMMYFUNCTION("""COMPUTED_VALUE"""),"111676;INF767K01AK3;INF767K01AL1;LIC MF Low Duration Fund-Regular Plan-Daily IDCW;10.6756;25-Aug-2023")</f>
        <v>111676;INF767K01AK3;INF767K01AL1;LIC MF Low Duration Fund-Regular Plan-Daily IDCW;10.6756;25-Aug-2023</v>
      </c>
      <c r="B2380" s="1"/>
    </row>
    <row r="2381">
      <c r="A2381" s="1" t="str">
        <f>IFERROR(__xludf.DUMMYFUNCTION("""COMPUTED_VALUE"""),"101830;INF767K01AO5;-;LIC MF Low Duration Fund-Regular Plan-Growth;34.8292;25-Aug-2023")</f>
        <v>101830;INF767K01AO5;-;LIC MF Low Duration Fund-Regular Plan-Growth;34.8292;25-Aug-2023</v>
      </c>
      <c r="B2381" s="1"/>
    </row>
    <row r="2382">
      <c r="A2382" s="1" t="str">
        <f>IFERROR(__xludf.DUMMYFUNCTION("""COMPUTED_VALUE"""),"101829;INF767K01AM9;INF767K01AN7;LIC MF Low Duration Fund-Regular Plan-Monthly IDCW;12.0098;25-Aug-2023")</f>
        <v>101829;INF767K01AM9;INF767K01AN7;LIC MF Low Duration Fund-Regular Plan-Monthly IDCW;12.0098;25-Aug-2023</v>
      </c>
      <c r="B2382" s="1"/>
    </row>
    <row r="2383">
      <c r="A2383" s="1" t="str">
        <f>IFERROR(__xludf.DUMMYFUNCTION("""COMPUTED_VALUE"""),"111675;INF767K01AP2;INF767K01AQ0;LIC MF Low Duration Fund-Regular Plan-Weekly IDCW;11.9585;25-Aug-2023")</f>
        <v>111675;INF767K01AP2;INF767K01AQ0;LIC MF Low Duration Fund-Regular Plan-Weekly IDCW;11.9585;25-Aug-2023</v>
      </c>
      <c r="B2383" s="1"/>
    </row>
    <row r="2384">
      <c r="A2384" s="1"/>
      <c r="B2384" s="1"/>
    </row>
    <row r="2385">
      <c r="A2385" s="1" t="str">
        <f>IFERROR(__xludf.DUMMYFUNCTION("""COMPUTED_VALUE"""),"Mahindra Manulife Mutual Fund")</f>
        <v>Mahindra Manulife Mutual Fund</v>
      </c>
      <c r="B2385" s="1"/>
    </row>
    <row r="2386">
      <c r="A2386" s="1"/>
      <c r="B2386" s="1"/>
    </row>
    <row r="2387">
      <c r="A2387" s="1" t="str">
        <f>IFERROR(__xludf.DUMMYFUNCTION("""COMPUTED_VALUE"""),"140617;-;INF174V01275;Mahindra Manulife Low Duration Fund - Direct Plan - Daily IDCW;1102.8207;25-Aug-2023")</f>
        <v>140617;-;INF174V01275;Mahindra Manulife Low Duration Fund - Direct Plan - Daily IDCW;1102.8207;25-Aug-2023</v>
      </c>
      <c r="B2387" s="1"/>
    </row>
    <row r="2388">
      <c r="A2388" s="1" t="str">
        <f>IFERROR(__xludf.DUMMYFUNCTION("""COMPUTED_VALUE"""),"140619;INF174V01309;INF174V01291;Mahindra Manulife Low Duration Fund - Direct Plan - Monthly IDCW;1138.3792;25-Aug-2023")</f>
        <v>140619;INF174V01309;INF174V01291;Mahindra Manulife Low Duration Fund - Direct Plan - Monthly IDCW;1138.3792;25-Aug-2023</v>
      </c>
      <c r="B2388" s="1"/>
    </row>
    <row r="2389">
      <c r="A2389" s="1" t="str">
        <f>IFERROR(__xludf.DUMMYFUNCTION("""COMPUTED_VALUE"""),"140618;-;INF174V01283;Mahindra Manulife Low Duration Fund - Direct Plan - Weekly IDCW;1031.4403;25-Aug-2023")</f>
        <v>140618;-;INF174V01283;Mahindra Manulife Low Duration Fund - Direct Plan - Weekly IDCW;1031.4403;25-Aug-2023</v>
      </c>
      <c r="B2389" s="1"/>
    </row>
    <row r="2390">
      <c r="A2390" s="1" t="str">
        <f>IFERROR(__xludf.DUMMYFUNCTION("""COMPUTED_VALUE"""),"140613;INF174V01267;-;Mahindra Manulife Low Duration Fund - Direct Plan -Growth;1520.4164;25-Aug-2023")</f>
        <v>140613;INF174V01267;-;Mahindra Manulife Low Duration Fund - Direct Plan -Growth;1520.4164;25-Aug-2023</v>
      </c>
      <c r="B2390" s="1"/>
    </row>
    <row r="2391">
      <c r="A2391" s="1" t="str">
        <f>IFERROR(__xludf.DUMMYFUNCTION("""COMPUTED_VALUE"""),"140614;-;INF174V01226;Mahindra Manulife Low Duration Fund - Regular Plan - Daily IDCW;1000.0498;25-Aug-2023")</f>
        <v>140614;-;INF174V01226;Mahindra Manulife Low Duration Fund - Regular Plan - Daily IDCW;1000.0498;25-Aug-2023</v>
      </c>
      <c r="B2391" s="1"/>
    </row>
    <row r="2392">
      <c r="A2392" s="1" t="str">
        <f>IFERROR(__xludf.DUMMYFUNCTION("""COMPUTED_VALUE"""),"140620;INF174V01218;-;Mahindra Manulife Low Duration Fund - Regular Plan - Growth;1438.2050;25-Aug-2023")</f>
        <v>140620;INF174V01218;-;Mahindra Manulife Low Duration Fund - Regular Plan - Growth;1438.2050;25-Aug-2023</v>
      </c>
      <c r="B2392" s="1"/>
    </row>
    <row r="2393">
      <c r="A2393" s="1" t="str">
        <f>IFERROR(__xludf.DUMMYFUNCTION("""COMPUTED_VALUE"""),"140616;INF174V01259;INF174V01242;Mahindra Manulife Low Duration Fund - Regular Plan - Monthly IDCW;1118.1641;25-Aug-2023")</f>
        <v>140616;INF174V01259;INF174V01242;Mahindra Manulife Low Duration Fund - Regular Plan - Monthly IDCW;1118.1641;25-Aug-2023</v>
      </c>
      <c r="B2393" s="1"/>
    </row>
    <row r="2394">
      <c r="A2394" s="1" t="str">
        <f>IFERROR(__xludf.DUMMYFUNCTION("""COMPUTED_VALUE"""),"140615;-;INF174V01234;Mahindra Manulife Low Duration Fund - Regular Plan - Weekly IDCW;1053.7483;25-Aug-2023")</f>
        <v>140615;-;INF174V01234;Mahindra Manulife Low Duration Fund - Regular Plan - Weekly IDCW;1053.7483;25-Aug-2023</v>
      </c>
      <c r="B2394" s="1"/>
    </row>
    <row r="2395">
      <c r="A2395" s="1"/>
      <c r="B2395" s="1"/>
    </row>
    <row r="2396">
      <c r="A2396" s="1" t="str">
        <f>IFERROR(__xludf.DUMMYFUNCTION("""COMPUTED_VALUE"""),"Mirae Asset Mutual Fund")</f>
        <v>Mirae Asset Mutual Fund</v>
      </c>
      <c r="B2396" s="1"/>
    </row>
    <row r="2397">
      <c r="A2397" s="1"/>
      <c r="B2397" s="1"/>
    </row>
    <row r="2398">
      <c r="A2398" s="1" t="str">
        <f>IFERROR(__xludf.DUMMYFUNCTION("""COMPUTED_VALUE"""),"118840;INF769K01BO9;-;Mirae Asset Savings Fund - Direct Plan - Growth;2131.8579;25-Aug-2023")</f>
        <v>118840;INF769K01BO9;-;Mirae Asset Savings Fund - Direct Plan - Growth;2131.8579;25-Aug-2023</v>
      </c>
      <c r="B2398" s="1"/>
    </row>
    <row r="2399">
      <c r="A2399" s="1" t="str">
        <f>IFERROR(__xludf.DUMMYFUNCTION("""COMPUTED_VALUE"""),"118843;-;INF769K01BR2;Mirae Asset Savings Fund Direct Daily IDCW;1208.9337;25-Aug-2023")</f>
        <v>118843;-;INF769K01BR2;Mirae Asset Savings Fund Direct Daily IDCW;1208.9337;25-Aug-2023</v>
      </c>
      <c r="B2399" s="1"/>
    </row>
    <row r="2400">
      <c r="A2400" s="1" t="str">
        <f>IFERROR(__xludf.DUMMYFUNCTION("""COMPUTED_VALUE"""),"118841;INF769K01BP6;INF769K01BT8;Mirae Asset Savings Fund Direct Monthly IDCW;1159.8108;25-Aug-2023")</f>
        <v>118841;INF769K01BP6;INF769K01BT8;Mirae Asset Savings Fund Direct Monthly IDCW;1159.8108;25-Aug-2023</v>
      </c>
      <c r="B2400" s="1"/>
    </row>
    <row r="2401">
      <c r="A2401" s="1" t="str">
        <f>IFERROR(__xludf.DUMMYFUNCTION("""COMPUTED_VALUE"""),"118842;INF769K01BQ4;INF769K01BU6;Mirae Asset Savings Fund Direct Quarterly IDCW;1022.9403;25-Aug-2023")</f>
        <v>118842;INF769K01BQ4;INF769K01BU6;Mirae Asset Savings Fund Direct Quarterly IDCW;1022.9403;25-Aug-2023</v>
      </c>
      <c r="B2401" s="1"/>
    </row>
    <row r="2402">
      <c r="A2402" s="1" t="str">
        <f>IFERROR(__xludf.DUMMYFUNCTION("""COMPUTED_VALUE"""),"118844;-;INF769K01BS0;Mirae Asset Savings Fund Direct Weekly IDCW;1455.0450;25-Aug-2023")</f>
        <v>118844;-;INF769K01BS0;Mirae Asset Savings Fund Direct Weekly IDCW;1455.0450;25-Aug-2023</v>
      </c>
      <c r="B2402" s="1"/>
    </row>
    <row r="2403">
      <c r="A2403" s="1" t="str">
        <f>IFERROR(__xludf.DUMMYFUNCTION("""COMPUTED_VALUE"""),"107700;-;INF769K01986;Mirae Asset Savings Fund Regular Savings Daily IDCW;1005.1646;25-Aug-2023")</f>
        <v>107700;-;INF769K01986;Mirae Asset Savings Fund Regular Savings Daily IDCW;1005.1646;25-Aug-2023</v>
      </c>
      <c r="B2403" s="1"/>
    </row>
    <row r="2404">
      <c r="A2404" s="1" t="str">
        <f>IFERROR(__xludf.DUMMYFUNCTION("""COMPUTED_VALUE"""),"107704;INF769K01960;INF769K01AA0;Mirae Asset Savings Fund Regular Savings Monthly IDCW;1087.3122;25-Aug-2023")</f>
        <v>107704;INF769K01960;INF769K01AA0;Mirae Asset Savings Fund Regular Savings Monthly IDCW;1087.3122;25-Aug-2023</v>
      </c>
      <c r="B2404" s="1"/>
    </row>
    <row r="2405">
      <c r="A2405" s="1" t="str">
        <f>IFERROR(__xludf.DUMMYFUNCTION("""COMPUTED_VALUE"""),"107702;INF769K01978;INF769K01AB8;Mirae Asset Savings Fund Regular Savings Quarterly IDCW;1010.7583;25-Aug-2023")</f>
        <v>107702;INF769K01978;INF769K01AB8;Mirae Asset Savings Fund Regular Savings Quarterly IDCW;1010.7583;25-Aug-2023</v>
      </c>
      <c r="B2405" s="1"/>
    </row>
    <row r="2406">
      <c r="A2406" s="1" t="str">
        <f>IFERROR(__xludf.DUMMYFUNCTION("""COMPUTED_VALUE"""),"107701;-;INF769K01994;Mirae Asset Savings Fund Regular Savings Weekly IDCW;1107.1403;25-Aug-2023")</f>
        <v>107701;-;INF769K01994;Mirae Asset Savings Fund Regular Savings Weekly IDCW;1107.1403;25-Aug-2023</v>
      </c>
      <c r="B2406" s="1"/>
    </row>
    <row r="2407">
      <c r="A2407" s="1" t="str">
        <f>IFERROR(__xludf.DUMMYFUNCTION("""COMPUTED_VALUE"""),"107705;INF769K01937;-;Mirae Asset Savings Fund-Regular Savings Plan- Growth;1981.0228;25-Aug-2023")</f>
        <v>107705;INF769K01937;-;Mirae Asset Savings Fund-Regular Savings Plan- Growth;1981.0228;25-Aug-2023</v>
      </c>
      <c r="B2407" s="1"/>
    </row>
    <row r="2408">
      <c r="A2408" s="1"/>
      <c r="B2408" s="1"/>
    </row>
    <row r="2409">
      <c r="A2409" s="1" t="str">
        <f>IFERROR(__xludf.DUMMYFUNCTION("""COMPUTED_VALUE"""),"Nippon India Mutual Fund")</f>
        <v>Nippon India Mutual Fund</v>
      </c>
      <c r="B2409" s="1"/>
    </row>
    <row r="2410">
      <c r="A2410" s="1"/>
      <c r="B2410" s="1"/>
    </row>
    <row r="2411">
      <c r="A2411" s="1" t="str">
        <f>IFERROR(__xludf.DUMMYFUNCTION("""COMPUTED_VALUE"""),"111747;-;INF204K01EX2;NIPPON INDIA LOW DURATION FUND - DAILY IDCW Option;1008.9718;25-Aug-2023")</f>
        <v>111747;-;INF204K01EX2;NIPPON INDIA LOW DURATION FUND - DAILY IDCW Option;1008.9718;25-Aug-2023</v>
      </c>
      <c r="B2411" s="1"/>
    </row>
    <row r="2412">
      <c r="A2412" s="1" t="str">
        <f>IFERROR(__xludf.DUMMYFUNCTION("""COMPUTED_VALUE"""),"118703;-;INF204K01ZV1;NIPPON INDIA LOW DURATION FUND - DIRECT Plan - DAILY IDCW Option;1009.0624;25-Aug-2023")</f>
        <v>118703;-;INF204K01ZV1;NIPPON INDIA LOW DURATION FUND - DIRECT Plan - DAILY IDCW Option;1009.0624;25-Aug-2023</v>
      </c>
      <c r="B2412" s="1"/>
    </row>
    <row r="2413">
      <c r="A2413" s="1" t="str">
        <f>IFERROR(__xludf.DUMMYFUNCTION("""COMPUTED_VALUE"""),"125264;INF204KA1EK7;INF204KA1EL5;NIPPON INDIA LOW DURATION FUND - DIRECT Plan - IDCW Option;1820.9488;25-Aug-2023")</f>
        <v>125264;INF204KA1EK7;INF204KA1EL5;NIPPON INDIA LOW DURATION FUND - DIRECT Plan - IDCW Option;1820.9488;25-Aug-2023</v>
      </c>
      <c r="B2413" s="1"/>
    </row>
    <row r="2414">
      <c r="A2414" s="1" t="str">
        <f>IFERROR(__xludf.DUMMYFUNCTION("""COMPUTED_VALUE"""),"118704;INF204K01ZX7;INF204K01ZY5;NIPPON INDIA LOW DURATION FUND - DIRECT Plan - MONTHLY IDCW Option;1031.2527;25-Aug-2023")</f>
        <v>118704;INF204K01ZX7;INF204K01ZY5;NIPPON INDIA LOW DURATION FUND - DIRECT Plan - MONTHLY IDCW Option;1031.2527;25-Aug-2023</v>
      </c>
      <c r="B2414" s="1"/>
    </row>
    <row r="2415">
      <c r="A2415" s="1" t="str">
        <f>IFERROR(__xludf.DUMMYFUNCTION("""COMPUTED_VALUE"""),"118705;INF204K01ZZ2;INF204K01A09;NIPPON INDIA LOW DURATION FUND - DIRECT Plan - QUARTERLY IDCW Option;1024.8257;25-Aug-2023")</f>
        <v>118705;INF204K01ZZ2;INF204K01A09;NIPPON INDIA LOW DURATION FUND - DIRECT Plan - QUARTERLY IDCW Option;1024.8257;25-Aug-2023</v>
      </c>
      <c r="B2415" s="1"/>
    </row>
    <row r="2416">
      <c r="A2416" s="1" t="str">
        <f>IFERROR(__xludf.DUMMYFUNCTION("""COMPUTED_VALUE"""),"118706;INF204K01A17;-;NIPPON INDIA LOW DURATION FUND - DIRECT Plan - WEEKLY IDCW Option;1009.7625;25-Aug-2023")</f>
        <v>118706;INF204K01A17;-;NIPPON INDIA LOW DURATION FUND - DIRECT Plan - WEEKLY IDCW Option;1009.7625;25-Aug-2023</v>
      </c>
      <c r="B2416" s="1"/>
    </row>
    <row r="2417">
      <c r="A2417" s="1" t="str">
        <f>IFERROR(__xludf.DUMMYFUNCTION("""COMPUTED_VALUE"""),"118702;INF204K01G03;-;Nippon India Low Duration Fund - Direct Plan Growth Plan - Bonus Option;2000.0017;25-Aug-2023")</f>
        <v>118702;INF204K01G03;-;Nippon India Low Duration Fund - Direct Plan Growth Plan - Bonus Option;2000.0017;25-Aug-2023</v>
      </c>
      <c r="B2417" s="1"/>
    </row>
    <row r="2418">
      <c r="A2418" s="1" t="str">
        <f>IFERROR(__xludf.DUMMYFUNCTION("""COMPUTED_VALUE"""),"118709;INF204K01ZU3;-;Nippon India Low Duration Fund - Direct Plan Growth Plan - Growth Option;3442.9574;25-Aug-2023")</f>
        <v>118709;INF204K01ZU3;-;Nippon India Low Duration Fund - Direct Plan Growth Plan - Growth Option;3442.9574;25-Aug-2023</v>
      </c>
      <c r="B2418" s="1"/>
    </row>
    <row r="2419">
      <c r="A2419" s="1" t="str">
        <f>IFERROR(__xludf.DUMMYFUNCTION("""COMPUTED_VALUE"""),"125265;INF204KA1EI1;INF204KA1EJ9;NIPPON INDIA LOW DURATION FUND - IDCW Option;1743.9843;25-Aug-2023")</f>
        <v>125265;INF204KA1EI1;INF204KA1EJ9;NIPPON INDIA LOW DURATION FUND - IDCW Option;1743.9843;25-Aug-2023</v>
      </c>
      <c r="B2419" s="1"/>
    </row>
    <row r="2420">
      <c r="A2420" s="1" t="str">
        <f>IFERROR(__xludf.DUMMYFUNCTION("""COMPUTED_VALUE"""),"111749;INF204K01EZ7;INF204K01FA7;NIPPON INDIA LOW DURATION FUND - MONTHLY IDCW Option;1024.1074;25-Aug-2023")</f>
        <v>111749;INF204K01EZ7;INF204K01FA7;NIPPON INDIA LOW DURATION FUND - MONTHLY IDCW Option;1024.1074;25-Aug-2023</v>
      </c>
      <c r="B2420" s="1"/>
    </row>
    <row r="2421">
      <c r="A2421" s="1" t="str">
        <f>IFERROR(__xludf.DUMMYFUNCTION("""COMPUTED_VALUE"""),"111750;INF204K01FB5;INF204K01FC3;NIPPON INDIA LOW DURATION FUND - QUARTERLY IDCW Option;1023.4981;25-Aug-2023")</f>
        <v>111750;INF204K01FB5;INF204K01FC3;NIPPON INDIA LOW DURATION FUND - QUARTERLY IDCW Option;1023.4981;25-Aug-2023</v>
      </c>
      <c r="B2421" s="1"/>
    </row>
    <row r="2422">
      <c r="A2422" s="1" t="str">
        <f>IFERROR(__xludf.DUMMYFUNCTION("""COMPUTED_VALUE"""),"111744;-;INF204K01EP8;NIPPON INDIA LOW DURATION FUND - RETAIL Plan - DAILY IDCW Option;1008.9723;25-Aug-2023")</f>
        <v>111744;-;INF204K01EP8;NIPPON INDIA LOW DURATION FUND - RETAIL Plan - DAILY IDCW Option;1008.9723;25-Aug-2023</v>
      </c>
      <c r="B2422" s="1"/>
    </row>
    <row r="2423">
      <c r="A2423" s="1" t="str">
        <f>IFERROR(__xludf.DUMMYFUNCTION("""COMPUTED_VALUE"""),"111748;INF204K01EN3;-;Nippon India Low Duration Fund - Retail Plan - Growth Plan - Growth Option;3125.0951;25-Aug-2023")</f>
        <v>111748;INF204K01EN3;-;Nippon India Low Duration Fund - Retail Plan - Growth Plan - Growth Option;3125.0951;25-Aug-2023</v>
      </c>
      <c r="B2423" s="1"/>
    </row>
    <row r="2424">
      <c r="A2424" s="1" t="str">
        <f>IFERROR(__xludf.DUMMYFUNCTION("""COMPUTED_VALUE"""),"111743;INF204K01EO1;-;Nippon India Low Duration Fund - Retail Plan - Growth Plan -Bonus Option;2328.7071;25-Aug-2023")</f>
        <v>111743;INF204K01EO1;-;Nippon India Low Duration Fund - Retail Plan - Growth Plan -Bonus Option;2328.7071;25-Aug-2023</v>
      </c>
      <c r="B2424" s="1"/>
    </row>
    <row r="2425">
      <c r="A2425" s="1" t="str">
        <f>IFERROR(__xludf.DUMMYFUNCTION("""COMPUTED_VALUE"""),"111751;INF204K01ER4;INF204K01ES2;NIPPON INDIA LOW DURATION FUND - RETAIL Plan - MONTHLY IDCW Option;1026.0890;25-Aug-2023")</f>
        <v>111751;INF204K01ER4;INF204K01ES2;NIPPON INDIA LOW DURATION FUND - RETAIL Plan - MONTHLY IDCW Option;1026.0890;25-Aug-2023</v>
      </c>
      <c r="B2425" s="1"/>
    </row>
    <row r="2426">
      <c r="A2426" s="1" t="str">
        <f>IFERROR(__xludf.DUMMYFUNCTION("""COMPUTED_VALUE"""),"111752;INF204K01ET0;INF204K01EU8;NIPPON INDIA LOW DURATION FUND - RETAIL Plan - QUARTERLY IDCW Option;1023.2483;25-Aug-2023")</f>
        <v>111752;INF204K01ET0;INF204K01EU8;NIPPON INDIA LOW DURATION FUND - RETAIL Plan - QUARTERLY IDCW Option;1023.2483;25-Aug-2023</v>
      </c>
      <c r="B2426" s="1"/>
    </row>
    <row r="2427">
      <c r="A2427" s="1" t="str">
        <f>IFERROR(__xludf.DUMMYFUNCTION("""COMPUTED_VALUE"""),"111745;INF204K01OP7;INF204K01EQ6;NIPPON INDIA LOW DURATION FUND - RETAIL Plan - WEEKLY IDCW Option;1009.7556;25-Aug-2023")</f>
        <v>111745;INF204K01OP7;INF204K01EQ6;NIPPON INDIA LOW DURATION FUND - RETAIL Plan - WEEKLY IDCW Option;1009.7556;25-Aug-2023</v>
      </c>
      <c r="B2427" s="1"/>
    </row>
    <row r="2428">
      <c r="A2428" s="1" t="str">
        <f>IFERROR(__xludf.DUMMYFUNCTION("""COMPUTED_VALUE"""),"111754;INF204K01OO0;INF204K01EY0;NIPPON INDIA LOW DURATION FUND - WEEKLY IDCW Option;1009.5935;25-Aug-2023")</f>
        <v>111754;INF204K01OO0;INF204K01EY0;NIPPON INDIA LOW DURATION FUND - WEEKLY IDCW Option;1009.5935;25-Aug-2023</v>
      </c>
      <c r="B2428" s="1"/>
    </row>
    <row r="2429">
      <c r="A2429" s="1" t="str">
        <f>IFERROR(__xludf.DUMMYFUNCTION("""COMPUTED_VALUE"""),"111746;INF204K01EW4;-;Nippon India Low Duration Fund -Growth Plan -Bonus Option;1904.9162;25-Aug-2023")</f>
        <v>111746;INF204K01EW4;-;Nippon India Low Duration Fund -Growth Plan -Bonus Option;1904.9162;25-Aug-2023</v>
      </c>
      <c r="B2429" s="1"/>
    </row>
    <row r="2430">
      <c r="A2430" s="1" t="str">
        <f>IFERROR(__xludf.DUMMYFUNCTION("""COMPUTED_VALUE"""),"111753;INF204K01EV6;-;Nippon India Low Duration Fund- Growth Plan - Growth Option;3280.9176;25-Aug-2023")</f>
        <v>111753;INF204K01EV6;-;Nippon India Low Duration Fund- Growth Plan - Growth Option;3280.9176;25-Aug-2023</v>
      </c>
      <c r="B2430" s="1"/>
    </row>
    <row r="2431">
      <c r="A2431" s="1"/>
      <c r="B2431" s="1"/>
    </row>
    <row r="2432">
      <c r="A2432" s="1" t="str">
        <f>IFERROR(__xludf.DUMMYFUNCTION("""COMPUTED_VALUE"""),"PGIM India Mutual Fund")</f>
        <v>PGIM India Mutual Fund</v>
      </c>
      <c r="B2432" s="1"/>
    </row>
    <row r="2433">
      <c r="A2433" s="1"/>
      <c r="B2433" s="1"/>
    </row>
    <row r="2434">
      <c r="A2434" s="1" t="str">
        <f>IFERROR(__xludf.DUMMYFUNCTION("""COMPUTED_VALUE"""),"138450;INF663L01HD2;-;PGIM India Low Duration Fund  -  Annual  Bonus;13.5767;29-Apr-2020")</f>
        <v>138450;INF663L01HD2;-;PGIM India Low Duration Fund  -  Annual  Bonus;13.5767;29-Apr-2020</v>
      </c>
      <c r="B2434" s="1"/>
    </row>
    <row r="2435">
      <c r="A2435" s="1" t="str">
        <f>IFERROR(__xludf.DUMMYFUNCTION("""COMPUTED_VALUE"""),"138437;INF663L01HY8;INF663L01HZ5;PGIM India Low Duration Fund - ANNUAL DIV;9.3875;28-Jul-2019")</f>
        <v>138437;INF663L01HY8;INF663L01HZ5;PGIM India Low Duration Fund - ANNUAL DIV;9.3875;28-Jul-2019</v>
      </c>
      <c r="B2435" s="1"/>
    </row>
    <row r="2436">
      <c r="A2436" s="1" t="str">
        <f>IFERROR(__xludf.DUMMYFUNCTION("""COMPUTED_VALUE"""),"138430;INF663L01HQ4;-;PGIM India Low Duration Fund - DAILY DIV;10.0299;25-Aug-2023")</f>
        <v>138430;INF663L01HQ4;-;PGIM India Low Duration Fund - DAILY DIV;10.0299;25-Aug-2023</v>
      </c>
      <c r="B2436" s="1"/>
    </row>
    <row r="2437">
      <c r="A2437" s="1" t="str">
        <f>IFERROR(__xludf.DUMMYFUNCTION("""COMPUTED_VALUE"""),"138452;INF663L01HW2;INF663L01HX0;PGIM India Low Duration Fund - Direct Dividend;9.8385;28-Jul-2019")</f>
        <v>138452;INF663L01HW2;INF663L01HX0;PGIM India Low Duration Fund - Direct Dividend;9.8385;28-Jul-2019</v>
      </c>
      <c r="B2437" s="1"/>
    </row>
    <row r="2438">
      <c r="A2438" s="1" t="str">
        <f>IFERROR(__xludf.DUMMYFUNCTION("""COMPUTED_VALUE"""),"138449;INF663L01JS6;-;PGIM India Low Duration Fund - Direct Plan -  Annual  Bonus;14.178;03-Jan-2018")</f>
        <v>138449;INF663L01JS6;-;PGIM India Low Duration Fund - Direct Plan -  Annual  Bonus;14.178;03-Jan-2018</v>
      </c>
      <c r="B2438" s="1"/>
    </row>
    <row r="2439">
      <c r="A2439" s="1" t="str">
        <f>IFERROR(__xludf.DUMMYFUNCTION("""COMPUTED_VALUE"""),"138444;INF663L01HO9;-;PGIM India Low Duration Fund - Direct Plan - Annual Dividend;10.4116;28-Jul-2019")</f>
        <v>138444;INF663L01HO9;-;PGIM India Low Duration Fund - Direct Plan - Annual Dividend;10.4116;28-Jul-2019</v>
      </c>
      <c r="B2439" s="1"/>
    </row>
    <row r="2440">
      <c r="A2440" s="1" t="str">
        <f>IFERROR(__xludf.DUMMYFUNCTION("""COMPUTED_VALUE"""),"138441;INF663L01HF7;-;PGIM India Low Duration Fund - Direct Plan - Daily Dividend;10.0302;25-Aug-2023")</f>
        <v>138441;INF663L01HF7;-;PGIM India Low Duration Fund - Direct Plan - Daily Dividend;10.0302;25-Aug-2023</v>
      </c>
      <c r="B2440" s="1"/>
    </row>
    <row r="2441">
      <c r="A2441" s="1" t="str">
        <f>IFERROR(__xludf.DUMMYFUNCTION("""COMPUTED_VALUE"""),"138442;INF663L01HM3;-;PGIM India Low Duration Fund - Direct Plan - Fortnightly Dividend;8.6068;28-Jul-2019")</f>
        <v>138442;INF663L01HM3;-;PGIM India Low Duration Fund - Direct Plan - Fortnightly Dividend;8.6068;28-Jul-2019</v>
      </c>
      <c r="B2441" s="1"/>
    </row>
    <row r="2442">
      <c r="A2442" s="1" t="str">
        <f>IFERROR(__xludf.DUMMYFUNCTION("""COMPUTED_VALUE"""),"138443;INF663L01HE0;-;PGIM India Low Duration Fund - Direct Plan - Growth;27.7692;25-Aug-2023")</f>
        <v>138443;INF663L01HE0;-;PGIM India Low Duration Fund - Direct Plan - Growth;27.7692;25-Aug-2023</v>
      </c>
      <c r="B2442" s="1"/>
    </row>
    <row r="2443">
      <c r="A2443" s="1" t="str">
        <f>IFERROR(__xludf.DUMMYFUNCTION("""COMPUTED_VALUE"""),"138447;INF663L01JR8;-;PGIM India Low Duration Fund - Direct Plan - Monthly Bonus;13.7182;10-Sep-2018")</f>
        <v>138447;INF663L01JR8;-;PGIM India Low Duration Fund - Direct Plan - Monthly Bonus;13.7182;10-Sep-2018</v>
      </c>
      <c r="B2443" s="1"/>
    </row>
    <row r="2444">
      <c r="A2444" s="1" t="str">
        <f>IFERROR(__xludf.DUMMYFUNCTION("""COMPUTED_VALUE"""),"138439;INF663L01HK7;-;PGIM India Low Duration Fund - Direct Plan - Monthly Dividend;10.3356;25-Aug-2023")</f>
        <v>138439;INF663L01HK7;-;PGIM India Low Duration Fund - Direct Plan - Monthly Dividend;10.3356;25-Aug-2023</v>
      </c>
      <c r="B2444" s="1"/>
    </row>
    <row r="2445">
      <c r="A2445" s="1" t="str">
        <f>IFERROR(__xludf.DUMMYFUNCTION("""COMPUTED_VALUE"""),"138445;INF663L01HI1;INF663L01HJ9;PGIM India Low Duration Fund - Direct Plan - Quarterly Dividend;8.7376;28-Jul-2019")</f>
        <v>138445;INF663L01HI1;INF663L01HJ9;PGIM India Low Duration Fund - Direct Plan - Quarterly Dividend;8.7376;28-Jul-2019</v>
      </c>
      <c r="B2445" s="1"/>
    </row>
    <row r="2446">
      <c r="A2446" s="1" t="str">
        <f>IFERROR(__xludf.DUMMYFUNCTION("""COMPUTED_VALUE"""),"138446;INF663L01HG5;INF663L01HH3;PGIM India Low Duration Fund - Direct Plan - Weekly Dividend;10.2269;25-Aug-2023")</f>
        <v>138446;INF663L01HG5;INF663L01HH3;PGIM India Low Duration Fund - Direct Plan - Weekly Dividend;10.2269;25-Aug-2023</v>
      </c>
      <c r="B2446" s="1"/>
    </row>
    <row r="2447">
      <c r="A2447" s="1" t="str">
        <f>IFERROR(__xludf.DUMMYFUNCTION("""COMPUTED_VALUE"""),"138426;INF663L01HT8;INF663L01HU6;PGIM India Low Duration Fund - FORTNIGHTLY DIV;8.5967;28-Jul-2019")</f>
        <v>138426;INF663L01HT8;INF663L01HU6;PGIM India Low Duration Fund - FORTNIGHTLY DIV;8.5967;28-Jul-2019</v>
      </c>
      <c r="B2447" s="1"/>
    </row>
    <row r="2448">
      <c r="A2448" s="1" t="str">
        <f>IFERROR(__xludf.DUMMYFUNCTION("""COMPUTED_VALUE"""),"138423;INF663L01HV4;-;PGIM India Low Duration Fund - GR;25.8941;25-Aug-2023")</f>
        <v>138423;INF663L01HV4;-;PGIM India Low Duration Fund - GR;25.8941;25-Aug-2023</v>
      </c>
      <c r="B2448" s="1"/>
    </row>
    <row r="2449">
      <c r="A2449" s="1" t="str">
        <f>IFERROR(__xludf.DUMMYFUNCTION("""COMPUTED_VALUE"""),"138448;INF663L01JT4;-;PGIM India Low Duration Fund - Monthly Bonus Option;12.0399;28-Jul-2019")</f>
        <v>138448;INF663L01JT4;-;PGIM India Low Duration Fund - Monthly Bonus Option;12.0399;28-Jul-2019</v>
      </c>
      <c r="B2449" s="1"/>
    </row>
    <row r="2450">
      <c r="A2450" s="1" t="str">
        <f>IFERROR(__xludf.DUMMYFUNCTION("""COMPUTED_VALUE"""),"138436;INF663L01IC2;INF663L01ID0;PGIM India Low Duration Fund - QUARTERLY DIV;8.6643;28-Jul-2019")</f>
        <v>138436;INF663L01IC2;INF663L01ID0;PGIM India Low Duration Fund - QUARTERLY DIV;8.6643;28-Jul-2019</v>
      </c>
      <c r="B2450" s="1"/>
    </row>
    <row r="2451">
      <c r="A2451" s="1" t="str">
        <f>IFERROR(__xludf.DUMMYFUNCTION("""COMPUTED_VALUE"""),"149813;-;-;PGIM India Low Duration Fund - Segregated Portfolio 1 - Direct Plan - Annual Dividend Option;0;25-Aug-2023")</f>
        <v>149813;-;-;PGIM India Low Duration Fund - Segregated Portfolio 1 - Direct Plan - Annual Dividend Option;0;25-Aug-2023</v>
      </c>
      <c r="B2451" s="1"/>
    </row>
    <row r="2452">
      <c r="A2452" s="1" t="str">
        <f>IFERROR(__xludf.DUMMYFUNCTION("""COMPUTED_VALUE"""),"149806;-;-;PGIM India Low Duration Fund - Segregated Portfolio 1 - Direct Plan - Growth Option;0;25-Aug-2023")</f>
        <v>149806;-;-;PGIM India Low Duration Fund - Segregated Portfolio 1 - Direct Plan - Growth Option;0;25-Aug-2023</v>
      </c>
      <c r="B2452" s="1"/>
    </row>
    <row r="2453">
      <c r="A2453" s="1" t="str">
        <f>IFERROR(__xludf.DUMMYFUNCTION("""COMPUTED_VALUE"""),"149812;-;-;PGIM India Low Duration Fund - Segregated Portfolio 1 - Direct Plan - Monthly Dividend Option;0;25-Aug-2023")</f>
        <v>149812;-;-;PGIM India Low Duration Fund - Segregated Portfolio 1 - Direct Plan - Monthly Dividend Option;0;25-Aug-2023</v>
      </c>
      <c r="B2453" s="1"/>
    </row>
    <row r="2454">
      <c r="A2454" s="1" t="str">
        <f>IFERROR(__xludf.DUMMYFUNCTION("""COMPUTED_VALUE"""),"149807;-;-;PGIM India Low Duration Fund - Segregated Portfolio 1 - Direct Plan - Quarterly Dividend Option;0;25-Aug-2023")</f>
        <v>149807;-;-;PGIM India Low Duration Fund - Segregated Portfolio 1 - Direct Plan - Quarterly Dividend Option;0;25-Aug-2023</v>
      </c>
      <c r="B2454" s="1"/>
    </row>
    <row r="2455">
      <c r="A2455" s="1" t="str">
        <f>IFERROR(__xludf.DUMMYFUNCTION("""COMPUTED_VALUE"""),"149810;-;-;PGIM India Low Duration Fund - Segregated Portfolio 1 - Regular Plan - Growth Option;0;25-Aug-2023")</f>
        <v>149810;-;-;PGIM India Low Duration Fund - Segregated Portfolio 1 - Regular Plan - Growth Option;0;25-Aug-2023</v>
      </c>
      <c r="B2455" s="1"/>
    </row>
    <row r="2456">
      <c r="A2456" s="1" t="str">
        <f>IFERROR(__xludf.DUMMYFUNCTION("""COMPUTED_VALUE"""),"149808;-;-;PGIM India Low Duration Fund - Segregated Portfolio 1 - Regular Plan - Monthly Dividend Option;0;25-Aug-2023")</f>
        <v>149808;-;-;PGIM India Low Duration Fund - Segregated Portfolio 1 - Regular Plan - Monthly Dividend Option;0;25-Aug-2023</v>
      </c>
      <c r="B2456" s="1"/>
    </row>
    <row r="2457">
      <c r="A2457" s="1" t="str">
        <f>IFERROR(__xludf.DUMMYFUNCTION("""COMPUTED_VALUE"""),"149809;-;-;PGIM India Low Duration Fund - Segregated Portfolio 1 - Regular Plan- Annual Dividend Option;0;25-Aug-2023")</f>
        <v>149809;-;-;PGIM India Low Duration Fund - Segregated Portfolio 1 - Regular Plan- Annual Dividend Option;0;25-Aug-2023</v>
      </c>
      <c r="B2457" s="1"/>
    </row>
    <row r="2458">
      <c r="A2458" s="1" t="str">
        <f>IFERROR(__xludf.DUMMYFUNCTION("""COMPUTED_VALUE"""),"149811;-;-;PGIM India Low Duration Fund - Segregated Portfolio 1- Regular Plan - Quarterly Dividend Option;0;25-Aug-2023")</f>
        <v>149811;-;-;PGIM India Low Duration Fund - Segregated Portfolio 1- Regular Plan - Quarterly Dividend Option;0;25-Aug-2023</v>
      </c>
      <c r="B2458" s="1"/>
    </row>
    <row r="2459">
      <c r="A2459" s="1" t="str">
        <f>IFERROR(__xludf.DUMMYFUNCTION("""COMPUTED_VALUE"""),"138438;INF663L01IA6;INF663L01IB4;PGIM India Low Duration Fund DIV OPTION;9.4582;28-Jul-2019")</f>
        <v>138438;INF663L01IA6;INF663L01IB4;PGIM India Low Duration Fund DIV OPTION;9.4582;28-Jul-2019</v>
      </c>
      <c r="B2459" s="1"/>
    </row>
    <row r="2460">
      <c r="A2460" s="1" t="str">
        <f>IFERROR(__xludf.DUMMYFUNCTION("""COMPUTED_VALUE"""),"138429;INF223J01986;-;PGIM India Low Duration Fund INSTITUTIONAL - MONTHLY DIV;9.9688;21-Jan-2022")</f>
        <v>138429;INF223J01986;-;PGIM India Low Duration Fund INSTITUTIONAL - MONTHLY DIV;9.9688;21-Jan-2022</v>
      </c>
      <c r="B2460" s="1"/>
    </row>
    <row r="2461">
      <c r="A2461" s="1" t="str">
        <f>IFERROR(__xludf.DUMMYFUNCTION("""COMPUTED_VALUE"""),"138427;INF663L01JN7;-;PGIM India Low Duration Fund INSTITUTIONAL -GR;21.6022;21-Jan-2022")</f>
        <v>138427;INF663L01JN7;-;PGIM India Low Duration Fund INSTITUTIONAL -GR;21.6022;21-Jan-2022</v>
      </c>
      <c r="B2461" s="1"/>
    </row>
    <row r="2462">
      <c r="A2462" s="1" t="str">
        <f>IFERROR(__xludf.DUMMYFUNCTION("""COMPUTED_VALUE"""),"138431;INF663L01JP2;-;PGIM India Low Duration Fund INSTITUTIONAL -Weekly;9.3644;21-Jan-2022")</f>
        <v>138431;INF663L01JP2;-;PGIM India Low Duration Fund INSTITUTIONAL -Weekly;9.3644;21-Jan-2022</v>
      </c>
      <c r="B2462" s="1"/>
    </row>
    <row r="2463">
      <c r="A2463" s="1" t="str">
        <f>IFERROR(__xludf.DUMMYFUNCTION("""COMPUTED_VALUE"""),"138432;INF663L01JO5;-;PGIM India Low Duration Fund INSTITUTIONAL-Daily;9.3258;21-Jan-2022")</f>
        <v>138432;INF663L01JO5;-;PGIM India Low Duration Fund INSTITUTIONAL-Daily;9.3258;21-Jan-2022</v>
      </c>
      <c r="B2463" s="1"/>
    </row>
    <row r="2464">
      <c r="A2464" s="1" t="str">
        <f>IFERROR(__xludf.DUMMYFUNCTION("""COMPUTED_VALUE"""),"138435;INF663L01JQ0;-;PGIM India Low Duration Fund- Bonus Option;16.8702;28-Jul-2019")</f>
        <v>138435;INF663L01JQ0;-;PGIM India Low Duration Fund- Bonus Option;16.8702;28-Jul-2019</v>
      </c>
      <c r="B2464" s="1"/>
    </row>
    <row r="2465">
      <c r="A2465" s="1" t="str">
        <f>IFERROR(__xludf.DUMMYFUNCTION("""COMPUTED_VALUE"""),"138424;INF663L01HR2;INF663L01HS0;PGIM India Low Duration Fund- MONTHLY DIV;10.2288;25-Aug-2023")</f>
        <v>138424;INF663L01HR2;INF663L01HS0;PGIM India Low Duration Fund- MONTHLY DIV;10.2288;25-Aug-2023</v>
      </c>
      <c r="B2465" s="1"/>
    </row>
    <row r="2466">
      <c r="A2466" s="1" t="str">
        <f>IFERROR(__xludf.DUMMYFUNCTION("""COMPUTED_VALUE"""),"138425;INF663L01IE8;INF663L01IF5;PGIM India Low Duration Fund- WEEKLY DIV;10.1117;25-Aug-2023")</f>
        <v>138425;INF663L01IE8;INF663L01IF5;PGIM India Low Duration Fund- WEEKLY DIV;10.1117;25-Aug-2023</v>
      </c>
      <c r="B2466" s="1"/>
    </row>
    <row r="2467">
      <c r="A2467" s="1"/>
      <c r="B2467" s="1"/>
    </row>
    <row r="2468">
      <c r="A2468" s="1" t="str">
        <f>IFERROR(__xludf.DUMMYFUNCTION("""COMPUTED_VALUE"""),"SBI Mutual Fund")</f>
        <v>SBI Mutual Fund</v>
      </c>
      <c r="B2468" s="1"/>
    </row>
    <row r="2469">
      <c r="A2469" s="1"/>
      <c r="B2469" s="1"/>
    </row>
    <row r="2470">
      <c r="A2470" s="1" t="str">
        <f>IFERROR(__xludf.DUMMYFUNCTION("""COMPUTED_VALUE"""),"119810;-;INF200K01VJ3;SBI Magnum Low Duration Fund - Direct Plan - Daily Income Distribution cum Capital Withdrawal Option (IDCW);1217.3029;25-Aug-2023")</f>
        <v>119810;-;INF200K01VJ3;SBI Magnum Low Duration Fund - Direct Plan - Daily Income Distribution cum Capital Withdrawal Option (IDCW);1217.3029;25-Aug-2023</v>
      </c>
      <c r="B2470" s="1"/>
    </row>
    <row r="2471">
      <c r="A2471" s="1" t="str">
        <f>IFERROR(__xludf.DUMMYFUNCTION("""COMPUTED_VALUE"""),"119811;INF200K01VK1;INF200K01VL9;SBI Magnum Low Duration Fund - Direct Plan - Fortnightly Income Distribution cum Capital Withdrawal Option (IDCW);1238.5077;25-Aug-2023")</f>
        <v>119811;INF200K01VK1;INF200K01VL9;SBI Magnum Low Duration Fund - Direct Plan - Fortnightly Income Distribution cum Capital Withdrawal Option (IDCW);1238.5077;25-Aug-2023</v>
      </c>
      <c r="B2471" s="1"/>
    </row>
    <row r="2472">
      <c r="A2472" s="1" t="str">
        <f>IFERROR(__xludf.DUMMYFUNCTION("""COMPUTED_VALUE"""),"119812;INF200K01VM7;-;SBI MAGNUM LOW DURATION FUND - DIRECT PLAN - GROWTH;3157.6683;25-Aug-2023")</f>
        <v>119812;INF200K01VM7;-;SBI MAGNUM LOW DURATION FUND - DIRECT PLAN - GROWTH;3157.6683;25-Aug-2023</v>
      </c>
      <c r="B2472" s="1"/>
    </row>
    <row r="2473">
      <c r="A2473" s="1" t="str">
        <f>IFERROR(__xludf.DUMMYFUNCTION("""COMPUTED_VALUE"""),"119818;INF200K01VN5;INF200K01VO3;SBI Magnum Low Duration Fund - Direct Plan - Monthly Income Distribution cum Capital Withdrawal Option (IDCW);1403.1254;25-Aug-2023")</f>
        <v>119818;INF200K01VN5;INF200K01VO3;SBI Magnum Low Duration Fund - Direct Plan - Monthly Income Distribution cum Capital Withdrawal Option (IDCW);1403.1254;25-Aug-2023</v>
      </c>
      <c r="B2473" s="1"/>
    </row>
    <row r="2474">
      <c r="A2474" s="1" t="str">
        <f>IFERROR(__xludf.DUMMYFUNCTION("""COMPUTED_VALUE"""),"119819;INF200K01VP0;INF200K01VQ8;SBI Magnum Low Duration Fund - Direct Plan - Weekly Income Distribution cum Capital Withdrawal Option (IDCW);1219.0281;25-Aug-2023")</f>
        <v>119819;INF200K01VP0;INF200K01VQ8;SBI Magnum Low Duration Fund - Direct Plan - Weekly Income Distribution cum Capital Withdrawal Option (IDCW);1219.0281;25-Aug-2023</v>
      </c>
      <c r="B2474" s="1"/>
    </row>
    <row r="2475">
      <c r="A2475" s="1" t="str">
        <f>IFERROR(__xludf.DUMMYFUNCTION("""COMPUTED_VALUE"""),"106213;-;INF200K01ML8;SBI Magnum Low Duration Fund - Regular Plan - Daily Income Distribution cum Capital Withdrawal Option (IDCW);1194.0753;25-Aug-2023")</f>
        <v>106213;-;INF200K01ML8;SBI Magnum Low Duration Fund - Regular Plan - Daily Income Distribution cum Capital Withdrawal Option (IDCW);1194.0753;25-Aug-2023</v>
      </c>
      <c r="B2475" s="1"/>
    </row>
    <row r="2476">
      <c r="A2476" s="1" t="str">
        <f>IFERROR(__xludf.DUMMYFUNCTION("""COMPUTED_VALUE"""),"106215;INF200K01MM6;INF200K01MN4;SBI Magnum Low Duration Fund - Regular Plan - Fornightly Income Distribution cum Capital Withdrawal Option (IDCW);1214.9675;25-Aug-2023")</f>
        <v>106215;INF200K01MM6;INF200K01MN4;SBI Magnum Low Duration Fund - Regular Plan - Fornightly Income Distribution cum Capital Withdrawal Option (IDCW);1214.9675;25-Aug-2023</v>
      </c>
      <c r="B2476" s="1"/>
    </row>
    <row r="2477">
      <c r="A2477" s="1" t="str">
        <f>IFERROR(__xludf.DUMMYFUNCTION("""COMPUTED_VALUE"""),"106212;INF200K01MO2;-;SBI MAGNUM LOW DURATION FUND - REGULAR PLAN - GROWTH;3065.5752;25-Aug-2023")</f>
        <v>106212;INF200K01MO2;-;SBI MAGNUM LOW DURATION FUND - REGULAR PLAN - GROWTH;3065.5752;25-Aug-2023</v>
      </c>
      <c r="B2477" s="1"/>
    </row>
    <row r="2478">
      <c r="A2478" s="1" t="str">
        <f>IFERROR(__xludf.DUMMYFUNCTION("""COMPUTED_VALUE"""),"106216;INF200K01MP9;INF200K01MQ7;SBI Magnum Low Duration Fund - Regular Plan - Monthly Income Distribution cum Capital Withdrawal Option (IDCW);1344.5633;25-Aug-2023")</f>
        <v>106216;INF200K01MP9;INF200K01MQ7;SBI Magnum Low Duration Fund - Regular Plan - Monthly Income Distribution cum Capital Withdrawal Option (IDCW);1344.5633;25-Aug-2023</v>
      </c>
      <c r="B2478" s="1"/>
    </row>
    <row r="2479">
      <c r="A2479" s="1" t="str">
        <f>IFERROR(__xludf.DUMMYFUNCTION("""COMPUTED_VALUE"""),"106214;INF200K01MR5;INF200K01MS3;SBI Magnum Low Duration Fund - Regular Plan - Weekly Income Distribution cum Capital Withdrawal Option (IDCW);1194.0591;25-Aug-2023")</f>
        <v>106214;INF200K01MR5;INF200K01MS3;SBI Magnum Low Duration Fund - Regular Plan - Weekly Income Distribution cum Capital Withdrawal Option (IDCW);1194.0591;25-Aug-2023</v>
      </c>
      <c r="B2479" s="1"/>
    </row>
    <row r="2480">
      <c r="A2480" s="1" t="str">
        <f>IFERROR(__xludf.DUMMYFUNCTION("""COMPUTED_VALUE"""),"106221;-;INF200K01MD5;SBI Short Horizon Debt Fund - Ultra Short Term Fund - Institutional Plan - Daily Income Distribution cum Capital Withdrawal Option (IDCW);1194.1377;25-Aug-2023")</f>
        <v>106221;-;INF200K01MD5;SBI Short Horizon Debt Fund - Ultra Short Term Fund - Institutional Plan - Daily Income Distribution cum Capital Withdrawal Option (IDCW);1194.1377;25-Aug-2023</v>
      </c>
      <c r="B2480" s="1"/>
    </row>
    <row r="2481">
      <c r="A2481" s="1" t="str">
        <f>IFERROR(__xludf.DUMMYFUNCTION("""COMPUTED_VALUE"""),"106217;INF200K01MG8;-;SBI Short Horizon Debt Fund - Ultra Short Term Fund - Institutional Plan - Growth;3119.5986;25-Aug-2023")</f>
        <v>106217;INF200K01MG8;-;SBI Short Horizon Debt Fund - Ultra Short Term Fund - Institutional Plan - Growth;3119.5986;25-Aug-2023</v>
      </c>
      <c r="B2481" s="1"/>
    </row>
    <row r="2482">
      <c r="A2482" s="1" t="str">
        <f>IFERROR(__xludf.DUMMYFUNCTION("""COMPUTED_VALUE"""),"106224;INF200K01MH6;INF200K01MI4;SBI Short Horizon Debt Fund - Ultra Short Term Fund - Institutional Plan - Monthly Income Distribution cum Capital Withdrawal Option (IDCW);N.A.;04-Sep-2017")</f>
        <v>106224;INF200K01MH6;INF200K01MI4;SBI Short Horizon Debt Fund - Ultra Short Term Fund - Institutional Plan - Monthly Income Distribution cum Capital Withdrawal Option (IDCW);N.A.;04-Sep-2017</v>
      </c>
      <c r="B2482" s="1"/>
    </row>
    <row r="2483">
      <c r="A2483" s="1" t="str">
        <f>IFERROR(__xludf.DUMMYFUNCTION("""COMPUTED_VALUE"""),"106222;INF200K01MJ2;INF200K01MK0;SBI Short Horizon Debt Fund - Ultra Short Term Fund- Institutional Plan - Weekly Income Distribution cum Capital Withdrawal Option (IDCW);1191.3859;25-Aug-2023")</f>
        <v>106222;INF200K01MJ2;INF200K01MK0;SBI Short Horizon Debt Fund - Ultra Short Term Fund- Institutional Plan - Weekly Income Distribution cum Capital Withdrawal Option (IDCW);1191.3859;25-Aug-2023</v>
      </c>
      <c r="B2483" s="1"/>
    </row>
    <row r="2484">
      <c r="A2484" s="1" t="str">
        <f>IFERROR(__xludf.DUMMYFUNCTION("""COMPUTED_VALUE"""),"106223;INF200K01ME3;INF200K01MF0;SBI Short Horizon Debt Fund -Ultra Short Term Fund - Institutional Plan - Fortnightly Income Distribution cum Capital Withdrawal Option (IDCW);N.A.;04-Sep-2017")</f>
        <v>106223;INF200K01ME3;INF200K01MF0;SBI Short Horizon Debt Fund -Ultra Short Term Fund - Institutional Plan - Fortnightly Income Distribution cum Capital Withdrawal Option (IDCW);N.A.;04-Sep-2017</v>
      </c>
      <c r="B2484" s="1"/>
    </row>
    <row r="2485">
      <c r="A2485" s="1"/>
      <c r="B2485" s="1"/>
    </row>
    <row r="2486">
      <c r="A2486" s="1" t="str">
        <f>IFERROR(__xludf.DUMMYFUNCTION("""COMPUTED_VALUE"""),"Sundaram Mutual Fund")</f>
        <v>Sundaram Mutual Fund</v>
      </c>
      <c r="B2486" s="1"/>
    </row>
    <row r="2487">
      <c r="A2487" s="1"/>
      <c r="B2487" s="1"/>
    </row>
    <row r="2488">
      <c r="A2488" s="1" t="str">
        <f>IFERROR(__xludf.DUMMYFUNCTION("""COMPUTED_VALUE"""),"149747;-;INF903JA1JW8;Sundaram Low Duration Fund (Formerly Know as Principal Low Duation Fund) Regular Principal Units;1178.2004;25-Aug-2023")</f>
        <v>149747;-;INF903JA1JW8;Sundaram Low Duration Fund (Formerly Know as Principal Low Duation Fund) Regular Principal Units;1178.2004;25-Aug-2023</v>
      </c>
      <c r="B2488" s="1"/>
    </row>
    <row r="2489">
      <c r="A2489" s="1" t="str">
        <f>IFERROR(__xludf.DUMMYFUNCTION("""COMPUTED_VALUE"""),"149523;-;INF173K01FR8;Sundaram Low Duration Fund (Formerly Known as Principal Low Duration Fund) - Direct Plan - Daily Income Distribution CUM Capital Withdrawal Option;1009.6449;25-Aug-2023")</f>
        <v>149523;-;INF173K01FR8;Sundaram Low Duration Fund (Formerly Known as Principal Low Duration Fund) - Direct Plan - Daily Income Distribution CUM Capital Withdrawal Option;1009.6449;25-Aug-2023</v>
      </c>
      <c r="B2489" s="1"/>
    </row>
    <row r="2490">
      <c r="A2490" s="1" t="str">
        <f>IFERROR(__xludf.DUMMYFUNCTION("""COMPUTED_VALUE"""),"149526;INF173K01FS6;-;Sundaram Low Duration Fund (Formerly Known as Principal Low Duration Fund) - Direct Plan - Growth Option;3220.2029;25-Aug-2023")</f>
        <v>149526;INF173K01FS6;-;Sundaram Low Duration Fund (Formerly Known as Principal Low Duration Fund) - Direct Plan - Growth Option;3220.2029;25-Aug-2023</v>
      </c>
      <c r="B2490" s="1"/>
    </row>
    <row r="2491">
      <c r="A2491" s="1" t="str">
        <f>IFERROR(__xludf.DUMMYFUNCTION("""COMPUTED_VALUE"""),"149525;INF173K01FT4;INF173K01FU2;Sundaram Low Duration Fund (Formerly Known as Principal Low Duration Fund) - Direct Plan - Monthly Income Distribution CUM Capital Withdrawal Option;1096.7308;25-Aug-2023")</f>
        <v>149525;INF173K01FT4;INF173K01FU2;Sundaram Low Duration Fund (Formerly Known as Principal Low Duration Fund) - Direct Plan - Monthly Income Distribution CUM Capital Withdrawal Option;1096.7308;25-Aug-2023</v>
      </c>
      <c r="B2491" s="1"/>
    </row>
    <row r="2492">
      <c r="A2492" s="1" t="str">
        <f>IFERROR(__xludf.DUMMYFUNCTION("""COMPUTED_VALUE"""),"149524;INF903JA1KA2;INF173K01FW8;Sundaram Low Duration Fund (Formerly Known as Principal Low Duration Fund) - Direct Plan - Weekly Income Distribution CUM Capital Withdrawal Option;1006.4489;25-Aug-2023")</f>
        <v>149524;INF903JA1KA2;INF173K01FW8;Sundaram Low Duration Fund (Formerly Known as Principal Low Duration Fund) - Direct Plan - Weekly Income Distribution CUM Capital Withdrawal Option;1006.4489;25-Aug-2023</v>
      </c>
      <c r="B2492" s="1"/>
    </row>
    <row r="2493">
      <c r="A2493" s="1" t="str">
        <f>IFERROR(__xludf.DUMMYFUNCTION("""COMPUTED_VALUE"""),"149520;INF903JA1JU2;INF173K01DI2;Sundaram Low Duration Fund (Formerly Known as Principal Low Duration Fund) - Weekly Income Distribution CUM Capital Withdrawal Option;1010.1385;25-Aug-2023")</f>
        <v>149520;INF903JA1JU2;INF173K01DI2;Sundaram Low Duration Fund (Formerly Known as Principal Low Duration Fund) - Weekly Income Distribution CUM Capital Withdrawal Option;1010.1385;25-Aug-2023</v>
      </c>
      <c r="B2493" s="1"/>
    </row>
    <row r="2494">
      <c r="A2494" s="1" t="str">
        <f>IFERROR(__xludf.DUMMYFUNCTION("""COMPUTED_VALUE"""),"149522;-;INF173K01DH4;Sundaram Low Duration Fund (Formerly Known as Principal Low Duration Fund) -Daily Income Distribution CUM Capital Withdrawal Option;1015.7943;25-Aug-2023")</f>
        <v>149522;-;INF173K01DH4;Sundaram Low Duration Fund (Formerly Known as Principal Low Duration Fund) -Daily Income Distribution CUM Capital Withdrawal Option;1015.7943;25-Aug-2023</v>
      </c>
      <c r="B2494" s="1"/>
    </row>
    <row r="2495">
      <c r="A2495" s="1" t="str">
        <f>IFERROR(__xludf.DUMMYFUNCTION("""COMPUTED_VALUE"""),"149748;INF903JA1KB0;INF903JA1JX6;Sundaram Low Duration Fund (Formerly Known as Principal Low Duration Fund) Direct Fortnightly IDCW;1097.6734;25-Aug-2023")</f>
        <v>149748;INF903JA1KB0;INF903JA1JX6;Sundaram Low Duration Fund (Formerly Known as Principal Low Duration Fund) Direct Fortnightly IDCW;1097.6734;25-Aug-2023</v>
      </c>
      <c r="B2495" s="1"/>
    </row>
    <row r="2496">
      <c r="A2496" s="1" t="str">
        <f>IFERROR(__xludf.DUMMYFUNCTION("""COMPUTED_VALUE"""),"149751;INF903JA1JV0;INF903JA1JR8;Sundaram Low Duration Fund (Formerly Known as Principal Low Duration Fund) Regular Fortnightly IDCW;1087.5596;25-Aug-2023")</f>
        <v>149751;INF903JA1JV0;INF903JA1JR8;Sundaram Low Duration Fund (Formerly Known as Principal Low Duration Fund) Regular Fortnightly IDCW;1087.5596;25-Aug-2023</v>
      </c>
      <c r="B2496" s="1"/>
    </row>
    <row r="2497">
      <c r="A2497" s="1" t="str">
        <f>IFERROR(__xludf.DUMMYFUNCTION("""COMPUTED_VALUE"""),"149752;INF903JA1JT4;INF903JA1JS6;Sundaram Low Duration Fund (Formerly Known as Principal Low Duration Fund) Regular Quarterly IDCW;1131.0636;25-Aug-2023")</f>
        <v>149752;INF903JA1JT4;INF903JA1JS6;Sundaram Low Duration Fund (Formerly Known as Principal Low Duration Fund) Regular Quarterly IDCW;1131.0636;25-Aug-2023</v>
      </c>
      <c r="B2497" s="1"/>
    </row>
    <row r="2498">
      <c r="A2498" s="1" t="str">
        <f>IFERROR(__xludf.DUMMYFUNCTION("""COMPUTED_VALUE"""),"149519;INF173K01DG6;-;Sundaram Low Duration Fund (Formerly Known as Principal Low Duration Fund)- Growth Option;3042.2978;25-Aug-2023")</f>
        <v>149519;INF173K01DG6;-;Sundaram Low Duration Fund (Formerly Known as Principal Low Duration Fund)- Growth Option;3042.2978;25-Aug-2023</v>
      </c>
      <c r="B2498" s="1"/>
    </row>
    <row r="2499">
      <c r="A2499" s="1" t="str">
        <f>IFERROR(__xludf.DUMMYFUNCTION("""COMPUTED_VALUE"""),"149521;INF173K01DJ0;INF173K01DK8;Sundaram Low Duration Fund (Formerly Known as Principal Low Duration Fund)- Monthly Income Distribution CUM Capital Withdrawal Option;1086.7906;25-Aug-2023")</f>
        <v>149521;INF173K01DJ0;INF173K01DK8;Sundaram Low Duration Fund (Formerly Known as Principal Low Duration Fund)- Monthly Income Distribution CUM Capital Withdrawal Option;1086.7906;25-Aug-2023</v>
      </c>
      <c r="B2499" s="1"/>
    </row>
    <row r="2500">
      <c r="A2500" s="1" t="str">
        <f>IFERROR(__xludf.DUMMYFUNCTION("""COMPUTED_VALUE"""),"149750;INF903JA1JZ1;INF903JA1JY4;Sundaram Low Duration Fund(Formerly Known as Principal Low Duration Fund) Direct Quarterly IDCW;1156.6681;25-Aug-2023")</f>
        <v>149750;INF903JA1JZ1;INF903JA1JY4;Sundaram Low Duration Fund(Formerly Known as Principal Low Duration Fund) Direct Quarterly IDCW;1156.6681;25-Aug-2023</v>
      </c>
      <c r="B2500" s="1"/>
    </row>
    <row r="2501">
      <c r="A2501" s="1"/>
      <c r="B2501" s="1"/>
    </row>
    <row r="2502">
      <c r="A2502" s="1" t="str">
        <f>IFERROR(__xludf.DUMMYFUNCTION("""COMPUTED_VALUE"""),"Tata Mutual Fund")</f>
        <v>Tata Mutual Fund</v>
      </c>
      <c r="B2502" s="1"/>
    </row>
    <row r="2503">
      <c r="A2503" s="1"/>
      <c r="B2503" s="1"/>
    </row>
    <row r="2504">
      <c r="A2504" s="1" t="str">
        <f>IFERROR(__xludf.DUMMYFUNCTION("""COMPUTED_VALUE"""),"119863;INF277K01OK4;-;Tata Treasury Advantage Fund - Direct Plan - Growth Option;3517.0370;25-Aug-2023")</f>
        <v>119863;INF277K01OK4;-;Tata Treasury Advantage Fund - Direct Plan - Growth Option;3517.0370;25-Aug-2023</v>
      </c>
      <c r="B2504" s="1"/>
    </row>
    <row r="2505">
      <c r="A2505" s="1" t="str">
        <f>IFERROR(__xludf.DUMMYFUNCTION("""COMPUTED_VALUE"""),"103159;INF277K01MA9;-;Tata Treasury Advantage Fund - Regular Plan - Growth Option;3442.8136;25-Aug-2023")</f>
        <v>103159;INF277K01MA9;-;Tata Treasury Advantage Fund - Regular Plan - Growth Option;3442.8136;25-Aug-2023</v>
      </c>
      <c r="B2505" s="1"/>
    </row>
    <row r="2506">
      <c r="A2506" s="1" t="str">
        <f>IFERROR(__xludf.DUMMYFUNCTION("""COMPUTED_VALUE"""),"119864;-;INF277K018B3;Tata Treasury Advantage Fund Direct Plan - Daily Reinvestment of IDCW Option;1003.5316;25-Aug-2023")</f>
        <v>119864;-;INF277K018B3;Tata Treasury Advantage Fund Direct Plan - Daily Reinvestment of IDCW Option;1003.5316;25-Aug-2023</v>
      </c>
      <c r="B2506" s="1"/>
    </row>
    <row r="2507">
      <c r="A2507" s="1" t="str">
        <f>IFERROR(__xludf.DUMMYFUNCTION("""COMPUTED_VALUE"""),"119957;INF277K01OL2;INF277K01OM0;Tata Treasury Advantage Fund Direct Plan - Periodic Payout of IDCW Option;2230.0206;25-Aug-2023")</f>
        <v>119957;INF277K01OL2;INF277K01OM0;Tata Treasury Advantage Fund Direct Plan - Periodic Payout of IDCW Option;2230.0206;25-Aug-2023</v>
      </c>
      <c r="B2507" s="1"/>
    </row>
    <row r="2508">
      <c r="A2508" s="1" t="str">
        <f>IFERROR(__xludf.DUMMYFUNCTION("""COMPUTED_VALUE"""),"119865;INF277K019B1;INF277K010C8;Tata Treasury Advantage Fund Direct Plan - Weekly Payout of IDCW Option;1008.9387;25-Aug-2023")</f>
        <v>119865;INF277K019B1;INF277K010C8;Tata Treasury Advantage Fund Direct Plan - Weekly Payout of IDCW Option;1008.9387;25-Aug-2023</v>
      </c>
      <c r="B2508" s="1"/>
    </row>
    <row r="2509">
      <c r="A2509" s="1" t="str">
        <f>IFERROR(__xludf.DUMMYFUNCTION("""COMPUTED_VALUE"""),"103160;-;INF277K01LZ8;Tata Treasury Advantage Fund Regular Plan - Daily Reinvestment of IDCW Option;1003.5288;25-Aug-2023")</f>
        <v>103160;-;INF277K01LZ8;Tata Treasury Advantage Fund Regular Plan - Daily Reinvestment of IDCW Option;1003.5288;25-Aug-2023</v>
      </c>
      <c r="B2509" s="1"/>
    </row>
    <row r="2510">
      <c r="A2510" s="1" t="str">
        <f>IFERROR(__xludf.DUMMYFUNCTION("""COMPUTED_VALUE"""),"115464;INF277K01MC5;INF277K01ME1;Tata Treasury Advantage Fund Regular Plan - Periodic Payout of IDCW Option;2182.2174;25-Aug-2023")</f>
        <v>115464;INF277K01MC5;INF277K01ME1;Tata Treasury Advantage Fund Regular Plan - Periodic Payout of IDCW Option;2182.2174;25-Aug-2023</v>
      </c>
      <c r="B2510" s="1"/>
    </row>
    <row r="2511">
      <c r="A2511" s="1" t="str">
        <f>IFERROR(__xludf.DUMMYFUNCTION("""COMPUTED_VALUE"""),"103158;INF277K01MD3;INF277K01MB7;Tata Treasury Advantage Fund Regular Plan - Weekly Payout of IDCW Option;1008.9147;25-Aug-2023")</f>
        <v>103158;INF277K01MD3;INF277K01MB7;Tata Treasury Advantage Fund Regular Plan - Weekly Payout of IDCW Option;1008.9147;25-Aug-2023</v>
      </c>
      <c r="B2511" s="1"/>
    </row>
    <row r="2512">
      <c r="A2512" s="1"/>
      <c r="B2512" s="1"/>
    </row>
    <row r="2513">
      <c r="A2513" s="1" t="str">
        <f>IFERROR(__xludf.DUMMYFUNCTION("""COMPUTED_VALUE"""),"UTI Mutual Fund")</f>
        <v>UTI Mutual Fund</v>
      </c>
      <c r="B2513" s="1"/>
    </row>
    <row r="2514">
      <c r="A2514" s="1"/>
      <c r="B2514" s="1"/>
    </row>
    <row r="2515">
      <c r="A2515" s="1" t="str">
        <f>IFERROR(__xludf.DUMMYFUNCTION("""COMPUTED_VALUE"""),"120738;INF789F01XH5;-;UTI - Treasury Advantage Fund - Direct Plan - Bonus Option;2199.7192;01-Mar-2021")</f>
        <v>120738;INF789F01XH5;-;UTI - Treasury Advantage Fund - Direct Plan - Bonus Option;2199.7192;01-Mar-2021</v>
      </c>
      <c r="B2515" s="1"/>
    </row>
    <row r="2516">
      <c r="A2516" s="1" t="str">
        <f>IFERROR(__xludf.DUMMYFUNCTION("""COMPUTED_VALUE"""),"120735;INF789F01XI3;-;UTI - Treasury Advantage Fund - Direct Plan - Growth Option;3137.0932;25-Aug-2023")</f>
        <v>120735;INF789F01XI3;-;UTI - Treasury Advantage Fund - Direct Plan - Growth Option;3137.0932;25-Aug-2023</v>
      </c>
      <c r="B2516" s="1"/>
    </row>
    <row r="2517">
      <c r="A2517" s="1" t="str">
        <f>IFERROR(__xludf.DUMMYFUNCTION("""COMPUTED_VALUE"""),"102538;INF789F01OK8;INF789F01OL6;UTI - Treasury Advantage Fund - Discontinued - Annaul Dividend Option;2954.9589;25-Aug-2023")</f>
        <v>102538;INF789F01OK8;INF789F01OL6;UTI - Treasury Advantage Fund - Discontinued - Annaul Dividend Option;2954.9589;25-Aug-2023</v>
      </c>
      <c r="B2517" s="1"/>
    </row>
    <row r="2518">
      <c r="A2518" s="1" t="str">
        <f>IFERROR(__xludf.DUMMYFUNCTION("""COMPUTED_VALUE"""),"105578;-;INF789F01349;UTI - Treasury Advantage Fund - Discontinued - Periodic Dividend Plan;1049.5567;25-Aug-2023")</f>
        <v>105578;-;INF789F01349;UTI - Treasury Advantage Fund - Discontinued - Periodic Dividend Plan;1049.5567;25-Aug-2023</v>
      </c>
      <c r="B2518" s="1"/>
    </row>
    <row r="2519">
      <c r="A2519" s="1" t="str">
        <f>IFERROR(__xludf.DUMMYFUNCTION("""COMPUTED_VALUE"""),"102541;INF789F01OO0;INF789F01OP7;UTI - Treasury Advantage Fund - Discontinued - Quarterly Dividend Option;1944.5315;25-Aug-2023")</f>
        <v>102541;INF789F01OO0;INF789F01OP7;UTI - Treasury Advantage Fund - Discontinued - Quarterly Dividend Option;1944.5315;25-Aug-2023</v>
      </c>
      <c r="B2519" s="1"/>
    </row>
    <row r="2520">
      <c r="A2520" s="1" t="str">
        <f>IFERROR(__xludf.DUMMYFUNCTION("""COMPUTED_VALUE"""),"102539;INF789F01OM4;-;UTI - Treasury Advantage Fund - Discontinued Bonus Option;3665.876;25-Aug-2023")</f>
        <v>102539;INF789F01OM4;-;UTI - Treasury Advantage Fund - Discontinued Bonus Option;3665.876;25-Aug-2023</v>
      </c>
      <c r="B2520" s="1"/>
    </row>
    <row r="2521">
      <c r="A2521" s="1" t="str">
        <f>IFERROR(__xludf.DUMMYFUNCTION("""COMPUTED_VALUE"""),"105659;INF789F01PA6;-;UTI - Treasury Advantage Fund - Discontinued Flexi Dividend Plan;1088.3066;25-Aug-2023")</f>
        <v>105659;INF789F01PA6;-;UTI - Treasury Advantage Fund - Discontinued Flexi Dividend Plan;1088.3066;25-Aug-2023</v>
      </c>
      <c r="B2521" s="1"/>
    </row>
    <row r="2522">
      <c r="A2522" s="1" t="str">
        <f>IFERROR(__xludf.DUMMYFUNCTION("""COMPUTED_VALUE"""),"102540;INF789F01331;-;UTI - Treasury Advantage Fund - Discontinued Growth Option;5499.441;25-Aug-2023")</f>
        <v>102540;INF789F01331;-;UTI - Treasury Advantage Fund - Discontinued Growth Option;5499.441;25-Aug-2023</v>
      </c>
      <c r="B2522" s="1"/>
    </row>
    <row r="2523">
      <c r="A2523" s="1" t="str">
        <f>IFERROR(__xludf.DUMMYFUNCTION("""COMPUTED_VALUE"""),"105670;INF789F01OY9;INF789F01OZ6;UTI - Treasury Advantage Fund - Discontinued Monthly Dividend Option;1031.9347;25-Aug-2023")</f>
        <v>105670;INF789F01OY9;INF789F01OZ6;UTI - Treasury Advantage Fund - Discontinued Monthly Dividend Option;1031.9347;25-Aug-2023</v>
      </c>
      <c r="B2523" s="1"/>
    </row>
    <row r="2524">
      <c r="A2524" s="1" t="str">
        <f>IFERROR(__xludf.DUMMYFUNCTION("""COMPUTED_VALUE"""),"102545;INF789F01OS1;-;UTI - Treasury Advantage Fund - Regular Plan - Bonus Option;2585.1873;25-Aug-2023")</f>
        <v>102545;INF789F01OS1;-;UTI - Treasury Advantage Fund - Regular Plan - Bonus Option;2585.1873;25-Aug-2023</v>
      </c>
      <c r="B2524" s="1"/>
    </row>
    <row r="2525">
      <c r="A2525" s="1" t="str">
        <f>IFERROR(__xludf.DUMMYFUNCTION("""COMPUTED_VALUE"""),"102544;INF789F01OT9;-;UTI - Treasury Advantage Fund - Regular Plan - Growth Option;3093.1114;25-Aug-2023")</f>
        <v>102544;INF789F01OT9;-;UTI - Treasury Advantage Fund - Regular Plan - Growth Option;3093.1114;25-Aug-2023</v>
      </c>
      <c r="B2525" s="1"/>
    </row>
    <row r="2526">
      <c r="A2526" s="1" t="str">
        <f>IFERROR(__xludf.DUMMYFUNCTION("""COMPUTED_VALUE"""),"141958;INF789F01XF9;INF789F01XG7;UTI Treasury Advantage Fund - Direct Plan - Annual IDCW;1161.2465;25-Aug-2023")</f>
        <v>141958;INF789F01XF9;INF789F01XG7;UTI Treasury Advantage Fund - Direct Plan - Annual IDCW;1161.2465;25-Aug-2023</v>
      </c>
      <c r="B2526" s="1"/>
    </row>
    <row r="2527">
      <c r="A2527" s="1" t="str">
        <f>IFERROR(__xludf.DUMMYFUNCTION("""COMPUTED_VALUE"""),"120737;-;INF789F01XE2;UTI Treasury Advantage Fund - Direct Plan - Daily IDCW (Reinvestment);1197.7266;25-Aug-2023")</f>
        <v>120737;-;INF789F01XE2;UTI Treasury Advantage Fund - Direct Plan - Daily IDCW (Reinvestment);1197.7266;25-Aug-2023</v>
      </c>
      <c r="B2527" s="1"/>
    </row>
    <row r="2528">
      <c r="A2528" s="1" t="str">
        <f>IFERROR(__xludf.DUMMYFUNCTION("""COMPUTED_VALUE"""),"133127;INF789FA1O44;INF789FA1O51;UTI Treasury Advantage Fund - Direct Plan - Flexi IDCW;1331.3392;25-Aug-2023")</f>
        <v>133127;INF789FA1O44;INF789FA1O51;UTI Treasury Advantage Fund - Direct Plan - Flexi IDCW;1331.3392;25-Aug-2023</v>
      </c>
      <c r="B2528" s="1"/>
    </row>
    <row r="2529">
      <c r="A2529" s="1" t="str">
        <f>IFERROR(__xludf.DUMMYFUNCTION("""COMPUTED_VALUE"""),"135191;INF789FA1O02;INF789FA1O10;UTI Treasury Advantage Fund - Direct Plan - Fortnightly IDCW;1341.3292;25-Aug-2023")</f>
        <v>135191;INF789FA1O02;INF789FA1O10;UTI Treasury Advantage Fund - Direct Plan - Fortnightly IDCW;1341.3292;25-Aug-2023</v>
      </c>
      <c r="B2529" s="1"/>
    </row>
    <row r="2530">
      <c r="A2530" s="1" t="str">
        <f>IFERROR(__xludf.DUMMYFUNCTION("""COMPUTED_VALUE"""),"133469;INF789FA1O28;INF789FA1O36;UTI Treasury Advantage Fund - Direct Plan - Half-Yearly IDCW;1213.6707;25-Aug-2023")</f>
        <v>133469;INF789FA1O28;INF789FA1O36;UTI Treasury Advantage Fund - Direct Plan - Half-Yearly IDCW;1213.6707;25-Aug-2023</v>
      </c>
      <c r="B2530" s="1"/>
    </row>
    <row r="2531">
      <c r="A2531" s="1" t="str">
        <f>IFERROR(__xludf.DUMMYFUNCTION("""COMPUTED_VALUE"""),"120736;INF789F01XJ1;INF789F01XK9;UTI Treasury Advantage Fund - Direct Plan - Monthly IDCW;1224.8099;25-Aug-2023")</f>
        <v>120736;INF789F01XJ1;INF789F01XK9;UTI Treasury Advantage Fund - Direct Plan - Monthly IDCW;1224.8099;25-Aug-2023</v>
      </c>
      <c r="B2531" s="1"/>
    </row>
    <row r="2532">
      <c r="A2532" s="1" t="str">
        <f>IFERROR(__xludf.DUMMYFUNCTION("""COMPUTED_VALUE"""),"120734;INF789F01XL7;INF789F01XM5;UTI Treasury Advantage Fund - Direct Plan - Quarterly IDCW;1682.0145;25-Aug-2023")</f>
        <v>120734;INF789F01XL7;INF789F01XM5;UTI Treasury Advantage Fund - Direct Plan - Quarterly IDCW;1682.0145;25-Aug-2023</v>
      </c>
      <c r="B2532" s="1"/>
    </row>
    <row r="2533">
      <c r="A2533" s="1" t="str">
        <f>IFERROR(__xludf.DUMMYFUNCTION("""COMPUTED_VALUE"""),"120739;INF789F01XN3;INF789F01XO1;UTI Treasury Advantage Fund - Direct Plan - Weekly IDCW;1022.1255;25-Aug-2023")</f>
        <v>120739;INF789F01XN3;INF789F01XO1;UTI Treasury Advantage Fund - Direct Plan - Weekly IDCW;1022.1255;25-Aug-2023</v>
      </c>
      <c r="B2533" s="1"/>
    </row>
    <row r="2534">
      <c r="A2534" s="1" t="str">
        <f>IFERROR(__xludf.DUMMYFUNCTION("""COMPUTED_VALUE"""),"105605;-;INF789F01ON2;UTI Treasury Advantage Fund - Regular Plan - Daily IDCW (Reinvestment);1192.1527;25-Aug-2023")</f>
        <v>105605;-;INF789F01ON2;UTI Treasury Advantage Fund - Regular Plan - Daily IDCW (Reinvestment);1192.1527;25-Aug-2023</v>
      </c>
      <c r="B2534" s="1"/>
    </row>
    <row r="2535">
      <c r="A2535" s="1" t="str">
        <f>IFERROR(__xludf.DUMMYFUNCTION("""COMPUTED_VALUE"""),"133130;INF789FA1N86;INF789FA1N94;UTI Treasury Advantage Fund - Regular Plan - Flexi IDCW;1176.4359;25-Aug-2023")</f>
        <v>133130;INF789FA1N86;INF789FA1N94;UTI Treasury Advantage Fund - Regular Plan - Flexi IDCW;1176.4359;25-Aug-2023</v>
      </c>
      <c r="B2535" s="1"/>
    </row>
    <row r="2536">
      <c r="A2536" s="1" t="str">
        <f>IFERROR(__xludf.DUMMYFUNCTION("""COMPUTED_VALUE"""),"133733;INF789FA1N45;INF789FA1N52;UTI Treasury Advantage Fund - Regular Plan - Fortnightly IDCW;1332.5959;25-Aug-2023")</f>
        <v>133733;INF789FA1N45;INF789FA1N52;UTI Treasury Advantage Fund - Regular Plan - Fortnightly IDCW;1332.5959;25-Aug-2023</v>
      </c>
      <c r="B2536" s="1"/>
    </row>
    <row r="2537">
      <c r="A2537" s="1" t="str">
        <f>IFERROR(__xludf.DUMMYFUNCTION("""COMPUTED_VALUE"""),"136345;INF789FA1N60;INF789FA1N78;UTI Treasury Advantage Fund - Regular Plan - Half-Yearly IDCW;1220.9141;25-Aug-2023")</f>
        <v>136345;INF789FA1N60;INF789FA1N78;UTI Treasury Advantage Fund - Regular Plan - Half-Yearly IDCW;1220.9141;25-Aug-2023</v>
      </c>
      <c r="B2537" s="1"/>
    </row>
    <row r="2538">
      <c r="A2538" s="1" t="str">
        <f>IFERROR(__xludf.DUMMYFUNCTION("""COMPUTED_VALUE"""),"105658;INF789F01OU7;INF789F01OV5;UTI Treasury Advantage Fund - Regular Plan - Monthly IDCW;1216.0223;25-Aug-2023")</f>
        <v>105658;INF789F01OU7;INF789F01OV5;UTI Treasury Advantage Fund - Regular Plan - Monthly IDCW;1216.0223;25-Aug-2023</v>
      </c>
      <c r="B2538" s="1"/>
    </row>
    <row r="2539">
      <c r="A2539" s="1" t="str">
        <f>IFERROR(__xludf.DUMMYFUNCTION("""COMPUTED_VALUE"""),"115483;INF789F01OW3;INF789F01OX1;UTI Treasury Advantage Fund - Regular Plan - Quarterly IDCW;1267.5922;25-Aug-2023")</f>
        <v>115483;INF789F01OW3;INF789F01OX1;UTI Treasury Advantage Fund - Regular Plan - Quarterly IDCW;1267.5922;25-Aug-2023</v>
      </c>
      <c r="B2539" s="1"/>
    </row>
    <row r="2540">
      <c r="A2540" s="1" t="str">
        <f>IFERROR(__xludf.DUMMYFUNCTION("""COMPUTED_VALUE"""),"105627;INF789F01PB4;INF789F01PC2;UTI Treasury Advantage Fund - Regular Plan - Weekly IDCW;1195.1561;25-Aug-2023")</f>
        <v>105627;INF789F01PB4;INF789F01PC2;UTI Treasury Advantage Fund - Regular Plan - Weekly IDCW;1195.1561;25-Aug-2023</v>
      </c>
      <c r="B2540" s="1"/>
    </row>
    <row r="2541">
      <c r="A2541" s="1"/>
      <c r="B2541" s="1"/>
    </row>
    <row r="2542">
      <c r="A2542" s="1" t="str">
        <f>IFERROR(__xludf.DUMMYFUNCTION("""COMPUTED_VALUE"""),"Open Ended Schemes(Debt Scheme - Medium Duration Fund)")</f>
        <v>Open Ended Schemes(Debt Scheme - Medium Duration Fund)</v>
      </c>
      <c r="B2542" s="1"/>
    </row>
    <row r="2543">
      <c r="A2543" s="1"/>
      <c r="B2543" s="1"/>
    </row>
    <row r="2544">
      <c r="A2544" s="1" t="str">
        <f>IFERROR(__xludf.DUMMYFUNCTION("""COMPUTED_VALUE"""),"Aditya Birla Sun Life Mutual Fund")</f>
        <v>Aditya Birla Sun Life Mutual Fund</v>
      </c>
      <c r="B2544" s="1"/>
    </row>
    <row r="2545">
      <c r="A2545" s="1"/>
      <c r="B2545" s="1"/>
    </row>
    <row r="2546">
      <c r="A2546" s="1" t="str">
        <f>IFERROR(__xludf.DUMMYFUNCTION("""COMPUTED_VALUE"""),"119540;INF209KA1KN3;-;Aditya Birla Sun Life Medium Term Plan - DIRECT - HALF YEARLY IDCW;13.4224;25-Aug-2023")</f>
        <v>119540;INF209KA1KN3;-;Aditya Birla Sun Life Medium Term Plan - DIRECT - HALF YEARLY IDCW;13.4224;25-Aug-2023</v>
      </c>
      <c r="B2546" s="1"/>
    </row>
    <row r="2547">
      <c r="A2547" s="1" t="str">
        <f>IFERROR(__xludf.DUMMYFUNCTION("""COMPUTED_VALUE"""),"119538;INF209KA1KO1;-;Aditya Birla Sun Life Medium Term Plan - Direct - IDCW;16.484;25-Aug-2023")</f>
        <v>119538;INF209KA1KO1;-;Aditya Birla Sun Life Medium Term Plan - Direct - IDCW;16.484;25-Aug-2023</v>
      </c>
      <c r="B2547" s="1"/>
    </row>
    <row r="2548">
      <c r="A2548" s="1" t="str">
        <f>IFERROR(__xludf.DUMMYFUNCTION("""COMPUTED_VALUE"""),"119541;INF209KA1KP8;-;Aditya Birla Sun Life Medium Term Plan - DIRECT - Quarterly IDCW;12.873;25-Aug-2023")</f>
        <v>119541;INF209KA1KP8;-;Aditya Birla Sun Life Medium Term Plan - DIRECT - Quarterly IDCW;12.873;25-Aug-2023</v>
      </c>
      <c r="B2548" s="1"/>
    </row>
    <row r="2549">
      <c r="A2549" s="1" t="str">
        <f>IFERROR(__xludf.DUMMYFUNCTION("""COMPUTED_VALUE"""),"119539;INF209K01XA9;-;Aditya Birla Sun Life Medium Term Plan - Growth - Direct Plan;35.3688;25-Aug-2023")</f>
        <v>119539;INF209K01XA9;-;Aditya Birla Sun Life Medium Term Plan - Growth - Direct Plan;35.3688;25-Aug-2023</v>
      </c>
      <c r="B2549" s="1"/>
    </row>
    <row r="2550">
      <c r="A2550" s="1" t="str">
        <f>IFERROR(__xludf.DUMMYFUNCTION("""COMPUTED_VALUE"""),"111803;INF209K01603;-;Aditya Birla Sun Life Medium Term Plan - Growth - Regular Plan;32.9629;25-Aug-2023")</f>
        <v>111803;INF209K01603;-;Aditya Birla Sun Life Medium Term Plan - Growth - Regular Plan;32.9629;25-Aug-2023</v>
      </c>
      <c r="B2550" s="1"/>
    </row>
    <row r="2551">
      <c r="A2551" s="1" t="str">
        <f>IFERROR(__xludf.DUMMYFUNCTION("""COMPUTED_VALUE"""),"111804;INF209K01660;-;Aditya Birla Sun Life Medium Term Plan - Institutional - Growth Plan;22.1442;04-Apr-2019")</f>
        <v>111804;INF209K01660;-;Aditya Birla Sun Life Medium Term Plan - Institutional - Growth Plan;22.1442;04-Apr-2019</v>
      </c>
      <c r="B2551" s="1"/>
    </row>
    <row r="2552">
      <c r="A2552" s="1" t="str">
        <f>IFERROR(__xludf.DUMMYFUNCTION("""COMPUTED_VALUE"""),"111811;INF209K01595;INF209K01CZ0;Aditya Birla Sun Life Medium Term Plan - REGULAR - HALFYEARLY IDCW;12.8268;25-Aug-2023")</f>
        <v>111811;INF209K01595;INF209K01CZ0;Aditya Birla Sun Life Medium Term Plan - REGULAR - HALFYEARLY IDCW;12.8268;25-Aug-2023</v>
      </c>
      <c r="B2552" s="1"/>
    </row>
    <row r="2553">
      <c r="A2553" s="1" t="str">
        <f>IFERROR(__xludf.DUMMYFUNCTION("""COMPUTED_VALUE"""),"111812;INF209K01611;INF209K01DA1;Aditya Birla Sun Life Medium Term Plan - Regular - IDCW;15.305;25-Aug-2023")</f>
        <v>111812;INF209K01611;INF209K01DA1;Aditya Birla Sun Life Medium Term Plan - Regular - IDCW;15.305;25-Aug-2023</v>
      </c>
      <c r="B2553" s="1"/>
    </row>
    <row r="2554">
      <c r="A2554" s="1" t="str">
        <f>IFERROR(__xludf.DUMMYFUNCTION("""COMPUTED_VALUE"""),"111809;INF209K01637;INF209KB1OJ2;Aditya Birla Sun Life Medium Term Plan - REGULAR - Quarterly IDCW;12.4636;25-Aug-2023")</f>
        <v>111809;INF209K01637;INF209KB1OJ2;Aditya Birla Sun Life Medium Term Plan - REGULAR - Quarterly IDCW;12.4636;25-Aug-2023</v>
      </c>
      <c r="B2554" s="1"/>
    </row>
    <row r="2555">
      <c r="A2555" s="1"/>
      <c r="B2555" s="1"/>
    </row>
    <row r="2556">
      <c r="A2556" s="1" t="str">
        <f>IFERROR(__xludf.DUMMYFUNCTION("""COMPUTED_VALUE"""),"Axis Mutual Fund")</f>
        <v>Axis Mutual Fund</v>
      </c>
      <c r="B2556" s="1"/>
    </row>
    <row r="2557">
      <c r="A2557" s="1"/>
      <c r="B2557" s="1"/>
    </row>
    <row r="2558">
      <c r="A2558" s="1" t="str">
        <f>IFERROR(__xludf.DUMMYFUNCTION("""COMPUTED_VALUE"""),"120475;INF846K01DT0;-;Axis Strategic Bond Fund - Direct Plan - Growth Option;26.0911;25-Aug-2023")</f>
        <v>120475;INF846K01DT0;-;Axis Strategic Bond Fund - Direct Plan - Growth Option;26.0911;25-Aug-2023</v>
      </c>
      <c r="B2558" s="1"/>
    </row>
    <row r="2559">
      <c r="A2559" s="1" t="str">
        <f>IFERROR(__xludf.DUMMYFUNCTION("""COMPUTED_VALUE"""),"120474;INF846K01DU8;INF846K01DV6;Axis Strategic Bond Fund - Direct Plan - Half Yearly IDCW;11.6354;25-Aug-2023")</f>
        <v>120474;INF846K01DU8;INF846K01DV6;Axis Strategic Bond Fund - Direct Plan - Half Yearly IDCW;11.6354;25-Aug-2023</v>
      </c>
      <c r="B2559" s="1"/>
    </row>
    <row r="2560">
      <c r="A2560" s="1" t="str">
        <f>IFERROR(__xludf.DUMMYFUNCTION("""COMPUTED_VALUE"""),"120476;INF846K01DW4;INF846K01DX2;Axis Strategic Bond Fund - Direct Plan - Quarterly IDCW;10.3812;25-Aug-2023")</f>
        <v>120476;INF846K01DW4;INF846K01DX2;Axis Strategic Bond Fund - Direct Plan - Quarterly IDCW;10.3812;25-Aug-2023</v>
      </c>
      <c r="B2560" s="1"/>
    </row>
    <row r="2561">
      <c r="A2561" s="1" t="str">
        <f>IFERROR(__xludf.DUMMYFUNCTION("""COMPUTED_VALUE"""),"128958;INF846K01NO0;-;Axis Strategic Bond Fund - Regular Plan - Bonus Option;13.2560;30-Jan-2015")</f>
        <v>128958;INF846K01NO0;-;Axis Strategic Bond Fund - Regular Plan - Bonus Option;13.2560;30-Jan-2015</v>
      </c>
      <c r="B2561" s="1"/>
    </row>
    <row r="2562">
      <c r="A2562" s="1" t="str">
        <f>IFERROR(__xludf.DUMMYFUNCTION("""COMPUTED_VALUE"""),"116894;INF846K01BP2;-;Axis Strategic Bond Fund - Regular Plan - Growth Option;24.0308;25-Aug-2023")</f>
        <v>116894;INF846K01BP2;-;Axis Strategic Bond Fund - Regular Plan - Growth Option;24.0308;25-Aug-2023</v>
      </c>
      <c r="B2562" s="1"/>
    </row>
    <row r="2563">
      <c r="A2563" s="1" t="str">
        <f>IFERROR(__xludf.DUMMYFUNCTION("""COMPUTED_VALUE"""),"116896;INF846K01BR8;INF846K01BT4;Axis Strategic Bond Fund - Regular Plan - Half Yearly IDCW;10.7228;25-Aug-2023")</f>
        <v>116896;INF846K01BR8;INF846K01BT4;Axis Strategic Bond Fund - Regular Plan - Half Yearly IDCW;10.7228;25-Aug-2023</v>
      </c>
      <c r="B2563" s="1"/>
    </row>
    <row r="2564">
      <c r="A2564" s="1" t="str">
        <f>IFERROR(__xludf.DUMMYFUNCTION("""COMPUTED_VALUE"""),"116895;INF846K01BQ0;INF846K01BS6;Axis Strategic Bond Fund - Regular Plan - Quarterly IDCW;10.2472;25-Aug-2023")</f>
        <v>116895;INF846K01BQ0;INF846K01BS6;Axis Strategic Bond Fund - Regular Plan - Quarterly IDCW;10.2472;25-Aug-2023</v>
      </c>
      <c r="B2564" s="1"/>
    </row>
    <row r="2565">
      <c r="A2565" s="1"/>
      <c r="B2565" s="1"/>
    </row>
    <row r="2566">
      <c r="A2566" s="1" t="str">
        <f>IFERROR(__xludf.DUMMYFUNCTION("""COMPUTED_VALUE"""),"Bandhan Mutual Fund")</f>
        <v>Bandhan Mutual Fund</v>
      </c>
      <c r="B2566" s="1"/>
    </row>
    <row r="2567">
      <c r="A2567" s="1"/>
      <c r="B2567" s="1"/>
    </row>
    <row r="2568">
      <c r="A2568" s="1" t="str">
        <f>IFERROR(__xludf.DUMMYFUNCTION("""COMPUTED_VALUE"""),"108730;INF194K01KF9;INF194K01KE2;BANDHAN Bond Fund - Medium Term - Regular Plan - Bi-Monthly IDCW;11.9038;25-Aug-2023")</f>
        <v>108730;INF194K01KF9;INF194K01KE2;BANDHAN Bond Fund - Medium Term - Regular Plan - Bi-Monthly IDCW;11.9038;25-Aug-2023</v>
      </c>
      <c r="B2568" s="1"/>
    </row>
    <row r="2569">
      <c r="A2569" s="1" t="str">
        <f>IFERROR(__xludf.DUMMYFUNCTION("""COMPUTED_VALUE"""),"108731;INF194K01JW6;INF194K01JV8;BANDHAN Bond Fund - Medium Term - Regular Plan - Daily IDCW;10.2821;25-Aug-2023")</f>
        <v>108731;INF194K01JW6;INF194K01JV8;BANDHAN Bond Fund - Medium Term - Regular Plan - Daily IDCW;10.2821;25-Aug-2023</v>
      </c>
      <c r="B2569" s="1"/>
    </row>
    <row r="2570">
      <c r="A2570" s="1" t="str">
        <f>IFERROR(__xludf.DUMMYFUNCTION("""COMPUTED_VALUE"""),"108729;INF194K01KI3;INF194K01KH5;BANDHAN Bond Fund - Medium Term - Regular Plan - Fortnightly IDCW;10.2544;25-Aug-2023")</f>
        <v>108729;INF194K01KI3;INF194K01KH5;BANDHAN Bond Fund - Medium Term - Regular Plan - Fortnightly IDCW;10.2544;25-Aug-2023</v>
      </c>
      <c r="B2570" s="1"/>
    </row>
    <row r="2571">
      <c r="A2571" s="1" t="str">
        <f>IFERROR(__xludf.DUMMYFUNCTION("""COMPUTED_VALUE"""),"108728;INF194K01JU0;-;BANDHAN Bond Fund - Medium Term - Regular Plan - Growth;39.7658;25-Aug-2023")</f>
        <v>108728;INF194K01JU0;-;BANDHAN Bond Fund - Medium Term - Regular Plan - Growth;39.7658;25-Aug-2023</v>
      </c>
      <c r="B2571" s="1"/>
    </row>
    <row r="2572">
      <c r="A2572" s="1" t="str">
        <f>IFERROR(__xludf.DUMMYFUNCTION("""COMPUTED_VALUE"""),"113169;INF194K01JZ9;INF194K01JY2;BANDHAN Bond Fund - Medium Term - Regular Plan - IDCW Quarterly;10.9450;25-Aug-2023")</f>
        <v>113169;INF194K01JZ9;INF194K01JY2;BANDHAN Bond Fund - Medium Term - Regular Plan - IDCW Quarterly;10.9450;25-Aug-2023</v>
      </c>
      <c r="B2572" s="1"/>
    </row>
    <row r="2573">
      <c r="A2573" s="1" t="str">
        <f>IFERROR(__xludf.DUMMYFUNCTION("""COMPUTED_VALUE"""),"108727;INF194K01KC6;INF194K01KB8;BANDHAN Bond Fund - Medium Term - Regular Plan - Monthly IDCW;10.2489;25-Aug-2023")</f>
        <v>108727;INF194K01KC6;INF194K01KB8;BANDHAN Bond Fund - Medium Term - Regular Plan - Monthly IDCW;10.2489;25-Aug-2023</v>
      </c>
      <c r="B2573" s="1"/>
    </row>
    <row r="2574">
      <c r="A2574" s="1" t="str">
        <f>IFERROR(__xludf.DUMMYFUNCTION("""COMPUTED_VALUE"""),"131385;INF194KA1TA8;INF194KA1TB6;BANDHAN Bond Fund - Medium Term - Regular Plan - Periodic IDCW;12.5267;25-Aug-2023")</f>
        <v>131385;INF194KA1TA8;INF194KA1TB6;BANDHAN Bond Fund - Medium Term - Regular Plan - Periodic IDCW;12.5267;25-Aug-2023</v>
      </c>
      <c r="B2574" s="1"/>
    </row>
    <row r="2575">
      <c r="A2575" s="1" t="str">
        <f>IFERROR(__xludf.DUMMYFUNCTION("""COMPUTED_VALUE"""),"118399;INF194K01T59;INF194K01T42;BANDHAN Bond Fund - Medium Term Plan-Direct Plan-Bi Monthly IDCW;12.2897;25-Aug-2023")</f>
        <v>118399;INF194K01T59;INF194K01T42;BANDHAN Bond Fund - Medium Term Plan-Direct Plan-Bi Monthly IDCW;12.2897;25-Aug-2023</v>
      </c>
      <c r="B2575" s="1"/>
    </row>
    <row r="2576">
      <c r="A2576" s="1" t="str">
        <f>IFERROR(__xludf.DUMMYFUNCTION("""COMPUTED_VALUE"""),"118400;-;INF194K01S68;BANDHAN Bond Fund - Medium Term Plan-Direct Plan-Daily IDCW;10.4165;25-Aug-2023")</f>
        <v>118400;-;INF194K01S68;BANDHAN Bond Fund - Medium Term Plan-Direct Plan-Daily IDCW;10.4165;25-Aug-2023</v>
      </c>
      <c r="B2576" s="1"/>
    </row>
    <row r="2577">
      <c r="A2577" s="1" t="str">
        <f>IFERROR(__xludf.DUMMYFUNCTION("""COMPUTED_VALUE"""),"118404;INF194K01T83;INF194K01T75;BANDHAN Bond Fund - Medium Term Plan-Direct Plan-Fortnightly IDCW;10.2618;25-Aug-2023")</f>
        <v>118404;INF194K01T83;INF194K01T75;BANDHAN Bond Fund - Medium Term Plan-Direct Plan-Fortnightly IDCW;10.2618;25-Aug-2023</v>
      </c>
      <c r="B2577" s="1"/>
    </row>
    <row r="2578">
      <c r="A2578" s="1" t="str">
        <f>IFERROR(__xludf.DUMMYFUNCTION("""COMPUTED_VALUE"""),"118401;INF194K01S50;-;BANDHAN Bond Fund - Medium Term Plan-Direct Plan-Growth;42.7710;25-Aug-2023")</f>
        <v>118401;INF194K01S50;-;BANDHAN Bond Fund - Medium Term Plan-Direct Plan-Growth;42.7710;25-Aug-2023</v>
      </c>
      <c r="B2578" s="1"/>
    </row>
    <row r="2579">
      <c r="A2579" s="1" t="str">
        <f>IFERROR(__xludf.DUMMYFUNCTION("""COMPUTED_VALUE"""),"118402;INF194K01T26;INF194K01T18;BANDHAN Bond Fund - Medium Term Plan-Direct Plan-Monthly IDCW;10.4864;25-Aug-2023")</f>
        <v>118402;INF194K01T26;INF194K01T18;BANDHAN Bond Fund - Medium Term Plan-Direct Plan-Monthly IDCW;10.4864;25-Aug-2023</v>
      </c>
      <c r="B2579" s="1"/>
    </row>
    <row r="2580">
      <c r="A2580" s="1" t="str">
        <f>IFERROR(__xludf.DUMMYFUNCTION("""COMPUTED_VALUE"""),"131384;INF194KA1TD2;INF194KA1TE0;BANDHAN Bond Fund - Medium Term Plan-Direct Plan-Periodic IDCW;11.1671;25-Aug-2023")</f>
        <v>131384;INF194KA1TD2;INF194KA1TE0;BANDHAN Bond Fund - Medium Term Plan-Direct Plan-Periodic IDCW;11.1671;25-Aug-2023</v>
      </c>
      <c r="B2580" s="1"/>
    </row>
    <row r="2581">
      <c r="A2581" s="1" t="str">
        <f>IFERROR(__xludf.DUMMYFUNCTION("""COMPUTED_VALUE"""),"118403;INF194K01S92;INF194K01S84;BANDHAN Bond Fund - Medium Term Plan-Direct Plan-Quartely IDCW;11.1182;25-Aug-2023")</f>
        <v>118403;INF194K01S92;INF194K01S84;BANDHAN Bond Fund - Medium Term Plan-Direct Plan-Quartely IDCW;11.1182;25-Aug-2023</v>
      </c>
      <c r="B2581" s="1"/>
    </row>
    <row r="2582">
      <c r="A2582" s="1"/>
      <c r="B2582" s="1"/>
    </row>
    <row r="2583">
      <c r="A2583" s="1" t="str">
        <f>IFERROR(__xludf.DUMMYFUNCTION("""COMPUTED_VALUE"""),"Baroda BNP Paribas Mutual Fund")</f>
        <v>Baroda BNP Paribas Mutual Fund</v>
      </c>
      <c r="B2583" s="1"/>
    </row>
    <row r="2584">
      <c r="A2584" s="1"/>
      <c r="B2584" s="1"/>
    </row>
    <row r="2585">
      <c r="A2585" s="1" t="str">
        <f>IFERROR(__xludf.DUMMYFUNCTION("""COMPUTED_VALUE"""),"150292;-;-;Baroda BNP Paribas Medium Duration - Regular Plan - Monthly IDCW - Segregated Portfolio - 1;0;25-Aug-2023")</f>
        <v>150292;-;-;Baroda BNP Paribas Medium Duration - Regular Plan - Monthly IDCW - Segregated Portfolio - 1;0;25-Aug-2023</v>
      </c>
      <c r="B2585" s="1"/>
    </row>
    <row r="2586">
      <c r="A2586" s="1" t="str">
        <f>IFERROR(__xludf.DUMMYFUNCTION("""COMPUTED_VALUE"""),"150295;-;-;Baroda BNP Paribas Medium Duration - Regular Plan - Quarterly IDCW - Segregated Portfolio - 1;0;25-Aug-2023")</f>
        <v>150295;-;-;Baroda BNP Paribas Medium Duration - Regular Plan - Quarterly IDCW - Segregated Portfolio - 1;0;25-Aug-2023</v>
      </c>
      <c r="B2586" s="1"/>
    </row>
    <row r="2587">
      <c r="A2587" s="1" t="str">
        <f>IFERROR(__xludf.DUMMYFUNCTION("""COMPUTED_VALUE"""),"150304;-;-;Baroda BNP Paribas Medium Duration Fund  - Direct Plan - Weekly IDCW - Segregated Portfolio - 1;0;25-Aug-2023")</f>
        <v>150304;-;-;Baroda BNP Paribas Medium Duration Fund  - Direct Plan - Weekly IDCW - Segregated Portfolio - 1;0;25-Aug-2023</v>
      </c>
      <c r="B2587" s="1"/>
    </row>
    <row r="2588">
      <c r="A2588" s="1" t="str">
        <f>IFERROR(__xludf.DUMMYFUNCTION("""COMPUTED_VALUE"""),"150305;-;-;Baroda BNP Paribas Medium Duration Fund - Defunct Plan - Daily IDCW Option - Segregated Portfolio - 1;0;25-Aug-2023")</f>
        <v>150305;-;-;Baroda BNP Paribas Medium Duration Fund - Defunct Plan - Daily IDCW Option - Segregated Portfolio - 1;0;25-Aug-2023</v>
      </c>
      <c r="B2588" s="1"/>
    </row>
    <row r="2589">
      <c r="A2589" s="1" t="str">
        <f>IFERROR(__xludf.DUMMYFUNCTION("""COMPUTED_VALUE"""),"150301;-;-;Baroda BNP Paribas Medium Duration Fund - Defunct Plan - Growth Option - Segregated Portfolio - 1;0;25-Aug-2023")</f>
        <v>150301;-;-;Baroda BNP Paribas Medium Duration Fund - Defunct Plan - Growth Option - Segregated Portfolio - 1;0;25-Aug-2023</v>
      </c>
      <c r="B2589" s="1"/>
    </row>
    <row r="2590">
      <c r="A2590" s="1" t="str">
        <f>IFERROR(__xludf.DUMMYFUNCTION("""COMPUTED_VALUE"""),"150300;-;-;Baroda BNP Paribas Medium Duration Fund - Defunct Plan - Monthly IDCW Option - Segregated Portfolio - 1;0;25-Aug-2023")</f>
        <v>150300;-;-;Baroda BNP Paribas Medium Duration Fund - Defunct Plan - Monthly IDCW Option - Segregated Portfolio - 1;0;25-Aug-2023</v>
      </c>
      <c r="B2590" s="1"/>
    </row>
    <row r="2591">
      <c r="A2591" s="1" t="str">
        <f>IFERROR(__xludf.DUMMYFUNCTION("""COMPUTED_VALUE"""),"150290;-;-;Baroda BNP Paribas Medium Duration Fund - Defunct Plan - Weekly IDCW Option - Segregated Portfolio - 1;0;25-Aug-2023")</f>
        <v>150290;-;-;Baroda BNP Paribas Medium Duration Fund - Defunct Plan - Weekly IDCW Option - Segregated Portfolio - 1;0;25-Aug-2023</v>
      </c>
      <c r="B2591" s="1"/>
    </row>
    <row r="2592">
      <c r="A2592" s="1" t="str">
        <f>IFERROR(__xludf.DUMMYFUNCTION("""COMPUTED_VALUE"""),"150247;INF251K01LY6;INF251K01MG1;BARODA BNP PARIBAS Medium Duration Fund - Direct Plan - Annual IDCW Option;11.0523;25-Aug-2023")</f>
        <v>150247;INF251K01LY6;INF251K01MG1;BARODA BNP PARIBAS Medium Duration Fund - Direct Plan - Annual IDCW Option;11.0523;25-Aug-2023</v>
      </c>
      <c r="B2592" s="1"/>
    </row>
    <row r="2593">
      <c r="A2593" s="1" t="str">
        <f>IFERROR(__xludf.DUMMYFUNCTION("""COMPUTED_VALUE"""),"150245;INF251K01LW0;INF251K01ME6;BARODA BNP PARIBAS Medium Duration Fund - Direct Plan - Calendar Quarterly IDCW Option;10.2522;25-Aug-2023")</f>
        <v>150245;INF251K01LW0;INF251K01ME6;BARODA BNP PARIBAS Medium Duration Fund - Direct Plan - Calendar Quarterly IDCW Option;10.2522;25-Aug-2023</v>
      </c>
      <c r="B2593" s="1"/>
    </row>
    <row r="2594">
      <c r="A2594" s="1" t="str">
        <f>IFERROR(__xludf.DUMMYFUNCTION("""COMPUTED_VALUE"""),"150293;-;-;Baroda BNP Paribas Medium Duration Fund - Direct Plan - Daily IDCW - Segregated Portfolio - 1;0;25-Aug-2023")</f>
        <v>150293;-;-;Baroda BNP Paribas Medium Duration Fund - Direct Plan - Daily IDCW - Segregated Portfolio - 1;0;25-Aug-2023</v>
      </c>
      <c r="B2594" s="1"/>
    </row>
    <row r="2595">
      <c r="A2595" s="1" t="str">
        <f>IFERROR(__xludf.DUMMYFUNCTION("""COMPUTED_VALUE"""),"150294;-;-;Baroda BNP Paribas Medium Duration Fund - Direct Plan - Growth - Segregated Portfolio - 1;0;25-Aug-2023")</f>
        <v>150294;-;-;Baroda BNP Paribas Medium Duration Fund - Direct Plan - Growth - Segregated Portfolio - 1;0;25-Aug-2023</v>
      </c>
      <c r="B2595" s="1"/>
    </row>
    <row r="2596">
      <c r="A2596" s="1" t="str">
        <f>IFERROR(__xludf.DUMMYFUNCTION("""COMPUTED_VALUE"""),"150241;INF251K01LU4;-;BARODA BNP PARIBAS Medium Duration Fund - Direct Plan - Growth Option;17.5219;25-Aug-2023")</f>
        <v>150241;INF251K01LU4;-;BARODA BNP PARIBAS Medium Duration Fund - Direct Plan - Growth Option;17.5219;25-Aug-2023</v>
      </c>
      <c r="B2596" s="1"/>
    </row>
    <row r="2597">
      <c r="A2597" s="1" t="str">
        <f>IFERROR(__xludf.DUMMYFUNCTION("""COMPUTED_VALUE"""),"150246;INF251K01LX8;INF251K01MF3;BARODA BNP PARIBAS Medium Duration Fund - Direct Plan - Half yearly IDCW Option;10.0000;25-Aug-2023")</f>
        <v>150246;INF251K01LX8;INF251K01MF3;BARODA BNP PARIBAS Medium Duration Fund - Direct Plan - Half yearly IDCW Option;10.0000;25-Aug-2023</v>
      </c>
      <c r="B2597" s="1"/>
    </row>
    <row r="2598">
      <c r="A2598" s="1" t="str">
        <f>IFERROR(__xludf.DUMMYFUNCTION("""COMPUTED_VALUE"""),"150306;-;-;Baroda BNP Paribas Medium Duration Fund - Direct Plan - Monthly IDCW - Segregated Portfolio - 1;0;25-Aug-2023")</f>
        <v>150306;-;-;Baroda BNP Paribas Medium Duration Fund - Direct Plan - Monthly IDCW - Segregated Portfolio - 1;0;25-Aug-2023</v>
      </c>
      <c r="B2598" s="1"/>
    </row>
    <row r="2599">
      <c r="A2599" s="1" t="str">
        <f>IFERROR(__xludf.DUMMYFUNCTION("""COMPUTED_VALUE"""),"150244;INF251K01LV2;INF251K01MD8;BARODA BNP PARIBAS Medium Duration Fund - Direct Plan - Monthly IDCW Option;10.5960;25-Aug-2023")</f>
        <v>150244;INF251K01LV2;INF251K01MD8;BARODA BNP PARIBAS Medium Duration Fund - Direct Plan - Monthly IDCW Option;10.5960;25-Aug-2023</v>
      </c>
      <c r="B2599" s="1"/>
    </row>
    <row r="2600">
      <c r="A2600" s="1" t="str">
        <f>IFERROR(__xludf.DUMMYFUNCTION("""COMPUTED_VALUE"""),"150303;-;-;Baroda BNP Paribas Medium Duration Fund - Direct Plan - Quarterly IDCW - Segregated Portfolio - 1;0;25-Aug-2023")</f>
        <v>150303;-;-;Baroda BNP Paribas Medium Duration Fund - Direct Plan - Quarterly IDCW - Segregated Portfolio - 1;0;25-Aug-2023</v>
      </c>
      <c r="B2600" s="1"/>
    </row>
    <row r="2601">
      <c r="A2601" s="1" t="str">
        <f>IFERROR(__xludf.DUMMYFUNCTION("""COMPUTED_VALUE"""),"150249;INF251K01LP4;INF251K01LZ3;BARODA BNP PARIBAS Medium Duration Fund - Regular Plan - Annual IDCW Option;10.9113;25-Aug-2023")</f>
        <v>150249;INF251K01LP4;INF251K01LZ3;BARODA BNP PARIBAS Medium Duration Fund - Regular Plan - Annual IDCW Option;10.9113;25-Aug-2023</v>
      </c>
      <c r="B2601" s="1"/>
    </row>
    <row r="2602">
      <c r="A2602" s="1" t="str">
        <f>IFERROR(__xludf.DUMMYFUNCTION("""COMPUTED_VALUE"""),"150242;INF251K01LQ2;INF251K01MA4;BARODA BNP PARIBAS Medium Duration Fund - Regular Plan - Calendar Quarterly IDCW Option;10.3703;25-Aug-2023")</f>
        <v>150242;INF251K01LQ2;INF251K01MA4;BARODA BNP PARIBAS Medium Duration Fund - Regular Plan - Calendar Quarterly IDCW Option;10.3703;25-Aug-2023</v>
      </c>
      <c r="B2602" s="1"/>
    </row>
    <row r="2603">
      <c r="A2603" s="1" t="str">
        <f>IFERROR(__xludf.DUMMYFUNCTION("""COMPUTED_VALUE"""),"150288;-;-;Baroda BNP Paribas Medium Duration Fund - Regular Plan - Daily IDCW - Segregated Portfolio - 1;0;25-Aug-2023")</f>
        <v>150288;-;-;Baroda BNP Paribas Medium Duration Fund - Regular Plan - Daily IDCW - Segregated Portfolio - 1;0;25-Aug-2023</v>
      </c>
      <c r="B2603" s="1"/>
    </row>
    <row r="2604">
      <c r="A2604" s="1" t="str">
        <f>IFERROR(__xludf.DUMMYFUNCTION("""COMPUTED_VALUE"""),"150291;-;-;Baroda BNP Paribas Medium Duration Fund - Regular Plan - Growth - Segregated Portfolio - 1;0;25-Aug-2023")</f>
        <v>150291;-;-;Baroda BNP Paribas Medium Duration Fund - Regular Plan - Growth - Segregated Portfolio - 1;0;25-Aug-2023</v>
      </c>
      <c r="B2604" s="1"/>
    </row>
    <row r="2605">
      <c r="A2605" s="1" t="str">
        <f>IFERROR(__xludf.DUMMYFUNCTION("""COMPUTED_VALUE"""),"150240;INF251K01LT6;-;BARODA BNP PARIBAS Medium Duration Fund - Regular Plan - Growth Option;16.4744;25-Aug-2023")</f>
        <v>150240;INF251K01LT6;-;BARODA BNP PARIBAS Medium Duration Fund - Regular Plan - Growth Option;16.4744;25-Aug-2023</v>
      </c>
      <c r="B2605" s="1"/>
    </row>
    <row r="2606">
      <c r="A2606" s="1" t="str">
        <f>IFERROR(__xludf.DUMMYFUNCTION("""COMPUTED_VALUE"""),"150248;INF251K01LR0;INF251K01MB2;BARODA BNP PARIBAS Medium Duration Fund - Regular Plan - Half Yearly IDCW Option;10.5375;25-Aug-2023")</f>
        <v>150248;INF251K01LR0;INF251K01MB2;BARODA BNP PARIBAS Medium Duration Fund - Regular Plan - Half Yearly IDCW Option;10.5375;25-Aug-2023</v>
      </c>
      <c r="B2606" s="1"/>
    </row>
    <row r="2607">
      <c r="A2607" s="1" t="str">
        <f>IFERROR(__xludf.DUMMYFUNCTION("""COMPUTED_VALUE"""),"150243;INF251K01LS8;INF251K01MC0;BARODA BNP PARIBAS Medium Duration Fund - Regular Plan - Monthly IDCW Option;10.2457;25-Aug-2023")</f>
        <v>150243;INF251K01LS8;INF251K01MC0;BARODA BNP PARIBAS Medium Duration Fund - Regular Plan - Monthly IDCW Option;10.2457;25-Aug-2023</v>
      </c>
      <c r="B2607" s="1"/>
    </row>
    <row r="2608">
      <c r="A2608" s="1" t="str">
        <f>IFERROR(__xludf.DUMMYFUNCTION("""COMPUTED_VALUE"""),"150289;-;-;Baroda BNP Paribas Medium Duration Fund - Regular Plan - Weekly IDCW - Segregated Portfolio - 1;0;25-Aug-2023")</f>
        <v>150289;-;-;Baroda BNP Paribas Medium Duration Fund - Regular Plan - Weekly IDCW - Segregated Portfolio - 1;0;25-Aug-2023</v>
      </c>
      <c r="B2608" s="1"/>
    </row>
    <row r="2609">
      <c r="A2609" s="1"/>
      <c r="B2609" s="1"/>
    </row>
    <row r="2610">
      <c r="A2610" s="1" t="str">
        <f>IFERROR(__xludf.DUMMYFUNCTION("""COMPUTED_VALUE"""),"DSP Mutual Fund")</f>
        <v>DSP Mutual Fund</v>
      </c>
      <c r="B2610" s="1"/>
    </row>
    <row r="2611">
      <c r="A2611" s="1"/>
      <c r="B2611" s="1"/>
    </row>
    <row r="2612">
      <c r="A2612" s="1" t="str">
        <f>IFERROR(__xludf.DUMMYFUNCTION("""COMPUTED_VALUE"""),"118924;INF740K01MZ3;-;DSP Bond Fund - Direct Plan - Growth;74.5146;25-Aug-2023")</f>
        <v>118924;INF740K01MZ3;-;DSP Bond Fund - Direct Plan - Growth;74.5146;25-Aug-2023</v>
      </c>
      <c r="B2612" s="1"/>
    </row>
    <row r="2613">
      <c r="A2613" s="1" t="str">
        <f>IFERROR(__xludf.DUMMYFUNCTION("""COMPUTED_VALUE"""),"118922;INF740K01NB2;INF740K01ND8;DSP Bond Fund - Direct Plan - IDCW;11.7146;25-Aug-2023")</f>
        <v>118922;INF740K01NB2;INF740K01ND8;DSP Bond Fund - Direct Plan - IDCW;11.7146;25-Aug-2023</v>
      </c>
      <c r="B2613" s="1"/>
    </row>
    <row r="2614">
      <c r="A2614" s="1" t="str">
        <f>IFERROR(__xludf.DUMMYFUNCTION("""COMPUTED_VALUE"""),"118921;INF740K01NA4;INF740K01NC0;DSP Bond Fund - Direct Plan - IDCW - Monthly;11.1472;25-Aug-2023")</f>
        <v>118921;INF740K01NA4;INF740K01NC0;DSP Bond Fund - Direct Plan - IDCW - Monthly;11.1472;25-Aug-2023</v>
      </c>
      <c r="B2614" s="1"/>
    </row>
    <row r="2615">
      <c r="A2615" s="1" t="str">
        <f>IFERROR(__xludf.DUMMYFUNCTION("""COMPUTED_VALUE"""),"100078;INF740K01557;-;DSP Bond Fund - Growth;70.6348;25-Aug-2023")</f>
        <v>100078;INF740K01557;-;DSP Bond Fund - Growth;70.6348;25-Aug-2023</v>
      </c>
      <c r="B2615" s="1"/>
    </row>
    <row r="2616">
      <c r="A2616" s="1" t="str">
        <f>IFERROR(__xludf.DUMMYFUNCTION("""COMPUTED_VALUE"""),"100077;INF740K01565;INF740K01995;DSP Bond Fund - IDCW;11.5917;25-Aug-2023")</f>
        <v>100077;INF740K01565;INF740K01995;DSP Bond Fund - IDCW;11.5917;25-Aug-2023</v>
      </c>
      <c r="B2616" s="1"/>
    </row>
    <row r="2617">
      <c r="A2617" s="1" t="str">
        <f>IFERROR(__xludf.DUMMYFUNCTION("""COMPUTED_VALUE"""),"100079;INF740K01573;INF740K01AA1;DSP Bond Fund - IDCW - Monthly;11.0493;25-Aug-2023")</f>
        <v>100079;INF740K01573;INF740K01AA1;DSP Bond Fund - IDCW - Monthly;11.0493;25-Aug-2023</v>
      </c>
      <c r="B2617" s="1"/>
    </row>
    <row r="2618">
      <c r="A2618" s="1"/>
      <c r="B2618" s="1"/>
    </row>
    <row r="2619">
      <c r="A2619" s="1" t="str">
        <f>IFERROR(__xludf.DUMMYFUNCTION("""COMPUTED_VALUE"""),"Franklin Templeton Mutual Fund")</f>
        <v>Franklin Templeton Mutual Fund</v>
      </c>
      <c r="B2619" s="1"/>
    </row>
    <row r="2620">
      <c r="A2620" s="1"/>
      <c r="B2620" s="1"/>
    </row>
    <row r="2621">
      <c r="A2621" s="1" t="str">
        <f>IFERROR(__xludf.DUMMYFUNCTION("""COMPUTED_VALUE"""),"118554;INF090I01JI9;-;Franklin India Income Opportunities Fund - Direct - Growth;26.5759;12-Dec-2021")</f>
        <v>118554;INF090I01JI9;-;Franklin India Income Opportunities Fund - Direct - Growth;26.5759;12-Dec-2021</v>
      </c>
      <c r="B2621" s="1"/>
    </row>
    <row r="2622">
      <c r="A2622" s="1" t="str">
        <f>IFERROR(__xludf.DUMMYFUNCTION("""COMPUTED_VALUE"""),"118555;INF090I01JG3;INF090I01JH1;Franklin India Income Opportunities Fund - Direct - IDCW ;12.4807;12-Dec-2021")</f>
        <v>118555;INF090I01JG3;INF090I01JH1;Franklin India Income Opportunities Fund - Direct - IDCW ;12.4807;12-Dec-2021</v>
      </c>
      <c r="B2622" s="1"/>
    </row>
    <row r="2623">
      <c r="A2623" s="1" t="str">
        <f>IFERROR(__xludf.DUMMYFUNCTION("""COMPUTED_VALUE"""),"112304;INF090I01445;-;Franklin India Income Opportunities Fund - Growth;24.9338;12-Dec-2021")</f>
        <v>112304;INF090I01445;-;Franklin India Income Opportunities Fund - Growth;24.9338;12-Dec-2021</v>
      </c>
      <c r="B2623" s="1"/>
    </row>
    <row r="2624">
      <c r="A2624" s="1" t="str">
        <f>IFERROR(__xludf.DUMMYFUNCTION("""COMPUTED_VALUE"""),"112305;INF090I01452;INF090I01460;Franklin India Income Opportunities Fund - IDCW ;11.5593;12-Dec-2021")</f>
        <v>112305;INF090I01452;INF090I01460;Franklin India Income Opportunities Fund - IDCW ;11.5593;12-Dec-2021</v>
      </c>
      <c r="B2624" s="1"/>
    </row>
    <row r="2625">
      <c r="A2625" s="1" t="str">
        <f>IFERROR(__xludf.DUMMYFUNCTION("""COMPUTED_VALUE"""),"147965;INF090I01TC1;-;Franklin India Income Opportunities Fund- Segregated Portfolio 1- 8.25% Vodafone Idea Ltd-10JUL20-Direct Dividend Plan;0.0000;20-Jul-2020")</f>
        <v>147965;INF090I01TC1;-;Franklin India Income Opportunities Fund- Segregated Portfolio 1- 8.25% Vodafone Idea Ltd-10JUL20-Direct Dividend Plan;0.0000;20-Jul-2020</v>
      </c>
      <c r="B2625" s="1"/>
    </row>
    <row r="2626">
      <c r="A2626" s="1" t="str">
        <f>IFERROR(__xludf.DUMMYFUNCTION("""COMPUTED_VALUE"""),"147963;INF090I01TD9;-;Franklin India Income Opportunities Fund- Segregated Portfolio 1- 8.25% Vodafone Idea Ltd-10JUL20-Direct Growth Plan;0.0000;20-Jul-2020")</f>
        <v>147963;INF090I01TD9;-;Franklin India Income Opportunities Fund- Segregated Portfolio 1- 8.25% Vodafone Idea Ltd-10JUL20-Direct Growth Plan;0.0000;20-Jul-2020</v>
      </c>
      <c r="B2626" s="1"/>
    </row>
    <row r="2627">
      <c r="A2627" s="1" t="str">
        <f>IFERROR(__xludf.DUMMYFUNCTION("""COMPUTED_VALUE"""),"147964;INF090I01TA5;-;Franklin India Income Opportunities Fund- Segregated Portfolio 1- 8.25% Vodafone Idea Ltd-10JUL20-Dividend Plan;0.0000;20-Jul-2020")</f>
        <v>147964;INF090I01TA5;-;Franklin India Income Opportunities Fund- Segregated Portfolio 1- 8.25% Vodafone Idea Ltd-10JUL20-Dividend Plan;0.0000;20-Jul-2020</v>
      </c>
      <c r="B2627" s="1"/>
    </row>
    <row r="2628">
      <c r="A2628" s="1" t="str">
        <f>IFERROR(__xludf.DUMMYFUNCTION("""COMPUTED_VALUE"""),"147962;INF090I01TB3;-;Franklin India Income Opportunities Fund- Segregated Portfolio 1- 8.25% Vodafone Idea Ltd-10JUL20-Growth Plan;0.0000;20-Jul-2020")</f>
        <v>147962;INF090I01TB3;-;Franklin India Income Opportunities Fund- Segregated Portfolio 1- 8.25% Vodafone Idea Ltd-10JUL20-Growth Plan;0.0000;20-Jul-2020</v>
      </c>
      <c r="B2628" s="1"/>
    </row>
    <row r="2629">
      <c r="A2629" s="1" t="str">
        <f>IFERROR(__xludf.DUMMYFUNCTION("""COMPUTED_VALUE"""),"147967;INF090I01TG2;-;Franklin India Income Opportunities Fund- Segregated Portfolio 2 - 10.90% Vodafone Idea Ltd (02-Sep-2023) - Direct IDCW;0.2687;25-Aug-2023")</f>
        <v>147967;INF090I01TG2;-;Franklin India Income Opportunities Fund- Segregated Portfolio 2 - 10.90% Vodafone Idea Ltd (02-Sep-2023) - Direct IDCW;0.2687;25-Aug-2023</v>
      </c>
      <c r="B2629" s="1"/>
    </row>
    <row r="2630">
      <c r="A2630" s="1" t="str">
        <f>IFERROR(__xludf.DUMMYFUNCTION("""COMPUTED_VALUE"""),"147969;INF090I01TE7;-;Franklin India Income Opportunities Fund- Segregated Portfolio 2 - 10.90% Vodafone Idea Ltd (02-Sep-2023) - IDCW;0.2509;25-Aug-2023")</f>
        <v>147969;INF090I01TE7;-;Franklin India Income Opportunities Fund- Segregated Portfolio 2 - 10.90% Vodafone Idea Ltd (02-Sep-2023) - IDCW;0.2509;25-Aug-2023</v>
      </c>
      <c r="B2630" s="1"/>
    </row>
    <row r="2631">
      <c r="A2631" s="1" t="str">
        <f>IFERROR(__xludf.DUMMYFUNCTION("""COMPUTED_VALUE"""),"147966;INF090I01TH0;-;Franklin India Income Opportunities Fund- Segregated Portfolio 2- 10.90% Vodafone Idea Ltd 02Sep2023-Direct Growth Plan;0.5722;25-Aug-2023")</f>
        <v>147966;INF090I01TH0;-;Franklin India Income Opportunities Fund- Segregated Portfolio 2- 10.90% Vodafone Idea Ltd 02Sep2023-Direct Growth Plan;0.5722;25-Aug-2023</v>
      </c>
      <c r="B2631" s="1"/>
    </row>
    <row r="2632">
      <c r="A2632" s="1" t="str">
        <f>IFERROR(__xludf.DUMMYFUNCTION("""COMPUTED_VALUE"""),"147968;INF090I01TF4;-;Franklin India Income Opportunities Fund- Segregated Portfolio 2- 10.90% Vodafone Idea Ltd 02Sep2023-Growth Plan;0.5412;25-Aug-2023")</f>
        <v>147968;INF090I01TF4;-;Franklin India Income Opportunities Fund- Segregated Portfolio 2- 10.90% Vodafone Idea Ltd 02Sep2023-Growth Plan;0.5412;25-Aug-2023</v>
      </c>
      <c r="B2632" s="1"/>
    </row>
    <row r="2633">
      <c r="A2633" s="1"/>
      <c r="B2633" s="1"/>
    </row>
    <row r="2634">
      <c r="A2634" s="1" t="str">
        <f>IFERROR(__xludf.DUMMYFUNCTION("""COMPUTED_VALUE"""),"HDFC Mutual Fund")</f>
        <v>HDFC Mutual Fund</v>
      </c>
      <c r="B2634" s="1"/>
    </row>
    <row r="2635">
      <c r="A2635" s="1"/>
      <c r="B2635" s="1"/>
    </row>
    <row r="2636">
      <c r="A2636" s="1" t="str">
        <f>IFERROR(__xludf.DUMMYFUNCTION("""COMPUTED_VALUE"""),"101990;INF179K01897;INF179K01905;HDFC Medium Term Debt Fund - Fornightly IDCW Option;10.117;25-Aug-2023")</f>
        <v>101990;INF179K01897;INF179K01905;HDFC Medium Term Debt Fund - Fornightly IDCW Option;10.117;25-Aug-2023</v>
      </c>
      <c r="B2636" s="1"/>
    </row>
    <row r="2637">
      <c r="A2637" s="1" t="str">
        <f>IFERROR(__xludf.DUMMYFUNCTION("""COMPUTED_VALUE"""),"119080;INF179KA1NP8;INF179KA1NO1;HDFC Medium Term Debt Fund - Fortnightly IDCW Opt - Direct Plan;10.1199;25-Aug-2023")</f>
        <v>119080;INF179KA1NP8;INF179KA1NO1;HDFC Medium Term Debt Fund - Fortnightly IDCW Opt - Direct Plan;10.1199;25-Aug-2023</v>
      </c>
      <c r="B2637" s="1"/>
    </row>
    <row r="2638">
      <c r="A2638" s="1" t="str">
        <f>IFERROR(__xludf.DUMMYFUNCTION("""COMPUTED_VALUE"""),"101989;INF179K01913;-;HDFC Medium Term Debt Fund - Growth Option;48.8284;25-Aug-2023")</f>
        <v>101989;INF179K01913;-;HDFC Medium Term Debt Fund - Growth Option;48.8284;25-Aug-2023</v>
      </c>
      <c r="B2638" s="1"/>
    </row>
    <row r="2639">
      <c r="A2639" s="1" t="str">
        <f>IFERROR(__xludf.DUMMYFUNCTION("""COMPUTED_VALUE"""),"119081;INF179K01WI9;-;HDFC Medium Term Debt Fund - Growth Option - Direct Plan;52.336;25-Aug-2023")</f>
        <v>119081;INF179K01WI9;-;HDFC Medium Term Debt Fund - Growth Option - Direct Plan;52.336;25-Aug-2023</v>
      </c>
      <c r="B2639" s="1"/>
    </row>
    <row r="2640">
      <c r="A2640" s="1" t="str">
        <f>IFERROR(__xludf.DUMMYFUNCTION("""COMPUTED_VALUE"""),"132852;INF179KA1E16;INF179KA1E08;HDFC Medium Term Debt Fund - IDCW Option;17.6211;25-Aug-2023")</f>
        <v>132852;INF179KA1E16;INF179KA1E08;HDFC Medium Term Debt Fund - IDCW Option;17.6211;25-Aug-2023</v>
      </c>
      <c r="B2640" s="1"/>
    </row>
    <row r="2641">
      <c r="A2641" s="1" t="str">
        <f>IFERROR(__xludf.DUMMYFUNCTION("""COMPUTED_VALUE"""),"132853;INF179KA1D90;INF179KA1D82;HDFC Medium Term Debt Fund - IDCW Option - Direct Plan;18.6801;25-Aug-2023")</f>
        <v>132853;INF179KA1D90;INF179KA1D82;HDFC Medium Term Debt Fund - IDCW Option - Direct Plan;18.6801;25-Aug-2023</v>
      </c>
      <c r="B2641" s="1"/>
    </row>
    <row r="2642">
      <c r="A2642" s="1"/>
      <c r="B2642" s="1"/>
    </row>
    <row r="2643">
      <c r="A2643" s="1" t="str">
        <f>IFERROR(__xludf.DUMMYFUNCTION("""COMPUTED_VALUE"""),"HSBC Mutual Fund")</f>
        <v>HSBC Mutual Fund</v>
      </c>
      <c r="B2643" s="1"/>
    </row>
    <row r="2644">
      <c r="A2644" s="1"/>
      <c r="B2644" s="1"/>
    </row>
    <row r="2645">
      <c r="A2645" s="1" t="str">
        <f>IFERROR(__xludf.DUMMYFUNCTION("""COMPUTED_VALUE"""),"151150;INF917K01WF8;INF917K01WC5;HSBC Medium Duration Fund - Direct Annual IDCW;11.9669;25-Aug-2023")</f>
        <v>151150;INF917K01WF8;INF917K01WC5;HSBC Medium Duration Fund - Direct Annual IDCW;11.9669;25-Aug-2023</v>
      </c>
      <c r="B2645" s="1"/>
    </row>
    <row r="2646">
      <c r="A2646" s="1" t="str">
        <f>IFERROR(__xludf.DUMMYFUNCTION("""COMPUTED_VALUE"""),"151146;INF917K01TK4;-;HSBC Medium Duration Fund - Direct Growth;19.0054;25-Aug-2023")</f>
        <v>151146;INF917K01TK4;-;HSBC Medium Duration Fund - Direct Growth;19.0054;25-Aug-2023</v>
      </c>
      <c r="B2646" s="1"/>
    </row>
    <row r="2647">
      <c r="A2647" s="1" t="str">
        <f>IFERROR(__xludf.DUMMYFUNCTION("""COMPUTED_VALUE"""),"151148;INF917K01TM0;INF917K01TL2;HSBC Medium Duration Fund - Direct IDCW;11.5376;25-Aug-2023")</f>
        <v>151148;INF917K01TM0;INF917K01TL2;HSBC Medium Duration Fund - Direct IDCW;11.5376;25-Aug-2023</v>
      </c>
      <c r="B2647" s="1"/>
    </row>
    <row r="2648">
      <c r="A2648" s="1" t="str">
        <f>IFERROR(__xludf.DUMMYFUNCTION("""COMPUTED_VALUE"""),"151151;INF917K01WE1;INF917K01WD3;HSBC Medium Duration Fund - Regular Annual IDCW;11.0854;25-Aug-2023")</f>
        <v>151151;INF917K01WE1;INF917K01WD3;HSBC Medium Duration Fund - Regular Annual IDCW;11.0854;25-Aug-2023</v>
      </c>
      <c r="B2648" s="1"/>
    </row>
    <row r="2649">
      <c r="A2649" s="1" t="str">
        <f>IFERROR(__xludf.DUMMYFUNCTION("""COMPUTED_VALUE"""),"151149;INF917K01TH0;-;HSBC Medium Duration Fund - Regular Growth;17.6417;25-Aug-2023")</f>
        <v>151149;INF917K01TH0;-;HSBC Medium Duration Fund - Regular Growth;17.6417;25-Aug-2023</v>
      </c>
      <c r="B2649" s="1"/>
    </row>
    <row r="2650">
      <c r="A2650" s="1" t="str">
        <f>IFERROR(__xludf.DUMMYFUNCTION("""COMPUTED_VALUE"""),"151147;INF917K01TJ6;INF917K01TI8;HSBC Medium Duration Fund - Regular IDCW;10.6482;25-Aug-2023")</f>
        <v>151147;INF917K01TJ6;INF917K01TI8;HSBC Medium Duration Fund - Regular IDCW;10.6482;25-Aug-2023</v>
      </c>
      <c r="B2650" s="1"/>
    </row>
    <row r="2651">
      <c r="A2651" s="1"/>
      <c r="B2651" s="1"/>
    </row>
    <row r="2652">
      <c r="A2652" s="1" t="str">
        <f>IFERROR(__xludf.DUMMYFUNCTION("""COMPUTED_VALUE"""),"ICICI Prudential Mutual Fund")</f>
        <v>ICICI Prudential Mutual Fund</v>
      </c>
      <c r="B2652" s="1"/>
    </row>
    <row r="2653">
      <c r="A2653" s="1"/>
      <c r="B2653" s="1"/>
    </row>
    <row r="2654">
      <c r="A2654" s="1" t="str">
        <f>IFERROR(__xludf.DUMMYFUNCTION("""COMPUTED_VALUE"""),"132981;INF109KA12G3;INF109KA13G1;ICICI Prudential Medium Term Bond Fund - Annual IDCW;12.9357;16-Sep-2022")</f>
        <v>132981;INF109KA12G3;INF109KA13G1;ICICI Prudential Medium Term Bond Fund - Annual IDCW;12.9357;16-Sep-2022</v>
      </c>
      <c r="B2654" s="1"/>
    </row>
    <row r="2655">
      <c r="A2655" s="1" t="str">
        <f>IFERROR(__xludf.DUMMYFUNCTION("""COMPUTED_VALUE"""),"130935;INF109KA1B99;-;ICICI Prudential Medium Term Bond Fund - Bonus;15.0013;24-Apr-2020")</f>
        <v>130935;INF109KA1B99;-;ICICI Prudential Medium Term Bond Fund - Bonus;15.0013;24-Apr-2020</v>
      </c>
      <c r="B2655" s="1"/>
    </row>
    <row r="2656">
      <c r="A2656" s="1" t="str">
        <f>IFERROR(__xludf.DUMMYFUNCTION("""COMPUTED_VALUE"""),"120670;INF109K015A5;-;ICICI Prudential Medium Term Bond Fund - Direct Plan - Growth;41.9698;25-Aug-2023")</f>
        <v>120670;INF109K015A5;-;ICICI Prudential Medium Term Bond Fund - Direct Plan - Growth;41.9698;25-Aug-2023</v>
      </c>
      <c r="B2656" s="1"/>
    </row>
    <row r="2657">
      <c r="A2657" s="1" t="str">
        <f>IFERROR(__xludf.DUMMYFUNCTION("""COMPUTED_VALUE"""),"120672;INF109K016A3;INF109K017A1;ICICI Prudential Medium Term Bond Fund - Direct Plan - Half Yearly IDCW;11.1332;16-Sep-2022")</f>
        <v>120672;INF109K016A3;INF109K017A1;ICICI Prudential Medium Term Bond Fund - Direct Plan - Half Yearly IDCW;11.1332;16-Sep-2022</v>
      </c>
      <c r="B2657" s="1"/>
    </row>
    <row r="2658">
      <c r="A2658" s="1" t="str">
        <f>IFERROR(__xludf.DUMMYFUNCTION("""COMPUTED_VALUE"""),"120671;INF109K018A9;INF109K019A7;ICICI Prudential Medium Term Bond Fund - Direct Plan - Quarterly IDCW;11.1900;25-Aug-2023")</f>
        <v>120671;INF109K018A9;INF109K019A7;ICICI Prudential Medium Term Bond Fund - Direct Plan - Quarterly IDCW;11.1900;25-Aug-2023</v>
      </c>
      <c r="B2658" s="1"/>
    </row>
    <row r="2659">
      <c r="A2659" s="1" t="str">
        <f>IFERROR(__xludf.DUMMYFUNCTION("""COMPUTED_VALUE"""),"130936;INF109KA1B81;-;ICICI Prudential Medium Term Bond Fund - Direct Plan Bonus;16.1701;24-Apr-2020")</f>
        <v>130936;INF109KA1B81;-;ICICI Prudential Medium Term Bond Fund - Direct Plan Bonus;16.1701;24-Apr-2020</v>
      </c>
      <c r="B2659" s="1"/>
    </row>
    <row r="2660">
      <c r="A2660" s="1" t="str">
        <f>IFERROR(__xludf.DUMMYFUNCTION("""COMPUTED_VALUE"""),"102741;INF109K01AH4;-;ICICI Prudential Medium Term Bond Fund - Growth;38.6759;25-Aug-2023")</f>
        <v>102741;INF109K01AH4;-;ICICI Prudential Medium Term Bond Fund - Growth;38.6759;25-Aug-2023</v>
      </c>
      <c r="B2660" s="1"/>
    </row>
    <row r="2661">
      <c r="A2661" s="1" t="str">
        <f>IFERROR(__xludf.DUMMYFUNCTION("""COMPUTED_VALUE"""),"117330;INF109K01B53;INF109K01B61;ICICI Prudential Medium Term Bond Fund - Half Yearly IDCW;10.6331;16-Sep-2022")</f>
        <v>117330;INF109K01B53;INF109K01B61;ICICI Prudential Medium Term Bond Fund - Half Yearly IDCW;10.6331;16-Sep-2022</v>
      </c>
      <c r="B2661" s="1"/>
    </row>
    <row r="2662">
      <c r="A2662" s="1" t="str">
        <f>IFERROR(__xludf.DUMMYFUNCTION("""COMPUTED_VALUE"""),"113137;INF109K01UF6;INF109K01IO3;ICICI Prudential Medium Term Bond Fund - Quarterly IDCW;10.6285;25-Aug-2023")</f>
        <v>113137;INF109K01UF6;INF109K01IO3;ICICI Prudential Medium Term Bond Fund - Quarterly IDCW;10.6285;25-Aug-2023</v>
      </c>
      <c r="B2662" s="1"/>
    </row>
    <row r="2663">
      <c r="A2663" s="1" t="str">
        <f>IFERROR(__xludf.DUMMYFUNCTION("""COMPUTED_VALUE"""),"132982;INF109KA10G7;INF109KA11G5;ICICI Prudential Medium Term Bond Fund -Direct Plan - Annual IDCW;14.3488;16-Sep-2022")</f>
        <v>132982;INF109KA10G7;INF109KA11G5;ICICI Prudential Medium Term Bond Fund -Direct Plan - Annual IDCW;14.3488;16-Sep-2022</v>
      </c>
      <c r="B2663" s="1"/>
    </row>
    <row r="2664">
      <c r="A2664" s="1" t="str">
        <f>IFERROR(__xludf.DUMMYFUNCTION("""COMPUTED_VALUE"""),"113080;INF109K01UD1;INF109K01IP0;ICICI Prudential Medium Term Bond Fund Plan A - Weekly Dividend;10.0458;17-Feb-2012")</f>
        <v>113080;INF109K01UD1;INF109K01IP0;ICICI Prudential Medium Term Bond Fund Plan A - Weekly Dividend;10.0458;17-Feb-2012</v>
      </c>
      <c r="B2664" s="1"/>
    </row>
    <row r="2665">
      <c r="A2665" s="1" t="str">
        <f>IFERROR(__xludf.DUMMYFUNCTION("""COMPUTED_VALUE"""),"117706;INF109K01B87;-;ICICI Prudential Medium Term Bond Fund Plan B - Half Yearly Dividend;10.8612;06-Jan-2020")</f>
        <v>117706;INF109K01B87;-;ICICI Prudential Medium Term Bond Fund Plan B - Half Yearly Dividend;10.8612;06-Jan-2020</v>
      </c>
      <c r="B2665" s="1"/>
    </row>
    <row r="2666">
      <c r="A2666" s="1" t="str">
        <f>IFERROR(__xludf.DUMMYFUNCTION("""COMPUTED_VALUE"""),"113138;INF109K01UI0;INF109K01IQ8;ICICI Prudential Medium Term Bond Fund Plan B - Quarterly Dividend;10.6002;24-Apr-2020")</f>
        <v>113138;INF109K01UI0;INF109K01IQ8;ICICI Prudential Medium Term Bond Fund Plan B - Quarterly Dividend;10.6002;24-Apr-2020</v>
      </c>
      <c r="B2666" s="1"/>
    </row>
    <row r="2667">
      <c r="A2667" s="1" t="str">
        <f>IFERROR(__xludf.DUMMYFUNCTION("""COMPUTED_VALUE"""),"113136;INF109K01UO8;INF109K01UN0;ICICI Prudential Medium Term Bond Fund Plan C - Quarterly Dividend;10.4491;28-Jan-2016")</f>
        <v>113136;INF109K01UO8;INF109K01UN0;ICICI Prudential Medium Term Bond Fund Plan C - Quarterly Dividend;10.4491;28-Jan-2016</v>
      </c>
      <c r="B2667" s="1"/>
    </row>
    <row r="2668">
      <c r="A2668" s="1" t="str">
        <f>IFERROR(__xludf.DUMMYFUNCTION("""COMPUTED_VALUE"""),"102743;INF109K01AJ0;-;ICICI Prudential Medium Term Bond Fund-Plan B-Growth;32.0584;24-Apr-2020")</f>
        <v>102743;INF109K01AJ0;-;ICICI Prudential Medium Term Bond Fund-Plan B-Growth;32.0584;24-Apr-2020</v>
      </c>
      <c r="B2668" s="1"/>
    </row>
    <row r="2669">
      <c r="A2669" s="1"/>
      <c r="B2669" s="1"/>
    </row>
    <row r="2670">
      <c r="A2670" s="1" t="str">
        <f>IFERROR(__xludf.DUMMYFUNCTION("""COMPUTED_VALUE"""),"Invesco Mutual Fund")</f>
        <v>Invesco Mutual Fund</v>
      </c>
      <c r="B2670" s="1"/>
    </row>
    <row r="2671">
      <c r="A2671" s="1"/>
      <c r="B2671" s="1"/>
    </row>
    <row r="2672">
      <c r="A2672" s="1" t="str">
        <f>IFERROR(__xludf.DUMMYFUNCTION("""COMPUTED_VALUE"""),"149013;INF205KA1411;INF205KA1445;Invesco India Medium Duration Fund - Direct - Discretionary IDCW (Payout/Reinvestment);1099.14;25-Aug-2023")</f>
        <v>149013;INF205KA1411;INF205KA1445;Invesco India Medium Duration Fund - Direct - Discretionary IDCW (Payout/Reinvestment);1099.14;25-Aug-2023</v>
      </c>
      <c r="B2672" s="1"/>
    </row>
    <row r="2673">
      <c r="A2673" s="1" t="str">
        <f>IFERROR(__xludf.DUMMYFUNCTION("""COMPUTED_VALUE"""),"149011;INF205KA1429;-;Invesco India Medium Duration Fund - Direct - Growth;1099.1094;25-Aug-2023")</f>
        <v>149011;INF205KA1429;-;Invesco India Medium Duration Fund - Direct - Growth;1099.1094;25-Aug-2023</v>
      </c>
      <c r="B2673" s="1"/>
    </row>
    <row r="2674">
      <c r="A2674" s="1" t="str">
        <f>IFERROR(__xludf.DUMMYFUNCTION("""COMPUTED_VALUE"""),"149014;INF205KA1403;INF205KA1437;Invesco India Medium Duration Fund - Direct - Quarterly IDCW (Payout / Reinvestment));1052.7752;25-Aug-2023")</f>
        <v>149014;INF205KA1403;INF205KA1437;Invesco India Medium Duration Fund - Direct - Quarterly IDCW (Payout / Reinvestment));1052.7752;25-Aug-2023</v>
      </c>
      <c r="B2674" s="1"/>
    </row>
    <row r="2675">
      <c r="A2675" s="1" t="str">
        <f>IFERROR(__xludf.DUMMYFUNCTION("""COMPUTED_VALUE"""),"149010;INF205KA1361;INF205KA1395;Invesco India Medium Duration Fund - Regular - Discretionary IDCW(Payout / Reinvestment));1077.2741;25-Aug-2023")</f>
        <v>149010;INF205KA1361;INF205KA1395;Invesco India Medium Duration Fund - Regular - Discretionary IDCW(Payout / Reinvestment));1077.2741;25-Aug-2023</v>
      </c>
      <c r="B2675" s="1"/>
    </row>
    <row r="2676">
      <c r="A2676" s="1" t="str">
        <f>IFERROR(__xludf.DUMMYFUNCTION("""COMPUTED_VALUE"""),"149012;INF205KA1379;-;Invesco India Medium Duration Fund - Regular - Growth;1077.2748;25-Aug-2023")</f>
        <v>149012;INF205KA1379;-;Invesco India Medium Duration Fund - Regular - Growth;1077.2748;25-Aug-2023</v>
      </c>
      <c r="B2676" s="1"/>
    </row>
    <row r="2677">
      <c r="A2677" s="1" t="str">
        <f>IFERROR(__xludf.DUMMYFUNCTION("""COMPUTED_VALUE"""),"149009;INF205KA1353;INF205KA1387;Invesco India Medium Duration Fund - Regular - Quarterly IDCW (Payout / Reinvestment);1035.5069;25-Aug-2023")</f>
        <v>149009;INF205KA1353;INF205KA1387;Invesco India Medium Duration Fund - Regular - Quarterly IDCW (Payout / Reinvestment);1035.5069;25-Aug-2023</v>
      </c>
      <c r="B2677" s="1"/>
    </row>
    <row r="2678">
      <c r="A2678" s="1"/>
      <c r="B2678" s="1"/>
    </row>
    <row r="2679">
      <c r="A2679" s="1" t="str">
        <f>IFERROR(__xludf.DUMMYFUNCTION("""COMPUTED_VALUE"""),"Kotak Mahindra Mutual Fund")</f>
        <v>Kotak Mahindra Mutual Fund</v>
      </c>
      <c r="B2679" s="1"/>
    </row>
    <row r="2680">
      <c r="A2680" s="1"/>
      <c r="B2680" s="1"/>
    </row>
    <row r="2681">
      <c r="A2681" s="1" t="str">
        <f>IFERROR(__xludf.DUMMYFUNCTION("""COMPUTED_VALUE"""),"128079;INF174K01VSI;INF174K01VU7;Kotak Medium Term Fund - Direct - Standard Income Distribution cum capital withdrawal option;21.2095;25-Aug-2023")</f>
        <v>128079;INF174K01VSI;INF174K01VU7;Kotak Medium Term Fund - Direct - Standard Income Distribution cum capital withdrawal option;21.2095;25-Aug-2023</v>
      </c>
      <c r="B2681" s="1"/>
    </row>
    <row r="2682">
      <c r="A2682" s="1" t="str">
        <f>IFERROR(__xludf.DUMMYFUNCTION("""COMPUTED_VALUE"""),"128006;INF174K01VQ5;-;Kotak Medium Term Fund - Direct Growth;21.2078;25-Aug-2023")</f>
        <v>128006;INF174K01VQ5;-;Kotak Medium Term Fund - Direct Growth;21.2078;25-Aug-2023</v>
      </c>
      <c r="B2682" s="1"/>
    </row>
    <row r="2683">
      <c r="A2683" s="1" t="str">
        <f>IFERROR(__xludf.DUMMYFUNCTION("""COMPUTED_VALUE"""),"128009;INF174K01VL6;-;Kotak Medium Term Fund - Growth;19.4226;25-Aug-2023")</f>
        <v>128009;INF174K01VL6;-;Kotak Medium Term Fund - Growth;19.4226;25-Aug-2023</v>
      </c>
      <c r="B2683" s="1"/>
    </row>
    <row r="2684">
      <c r="A2684" s="1" t="str">
        <f>IFERROR(__xludf.DUMMYFUNCTION("""COMPUTED_VALUE"""),"128078;INF174K01VN2;INF174K01VP7;Kotak Medium Term Fund - Standard Income Distribution cum capital withdrawal option;11.9213;25-Aug-2023")</f>
        <v>128078;INF174K01VN2;INF174K01VP7;Kotak Medium Term Fund - Standard Income Distribution cum capital withdrawal option;11.9213;25-Aug-2023</v>
      </c>
      <c r="B2684" s="1"/>
    </row>
    <row r="2685">
      <c r="A2685" s="1"/>
      <c r="B2685" s="1"/>
    </row>
    <row r="2686">
      <c r="A2686" s="1" t="str">
        <f>IFERROR(__xludf.DUMMYFUNCTION("""COMPUTED_VALUE"""),"Nippon India Mutual Fund")</f>
        <v>Nippon India Mutual Fund</v>
      </c>
      <c r="B2686" s="1"/>
    </row>
    <row r="2687">
      <c r="A2687" s="1"/>
      <c r="B2687" s="1"/>
    </row>
    <row r="2688">
      <c r="A2688" s="1" t="str">
        <f>IFERROR(__xludf.DUMMYFUNCTION("""COMPUTED_VALUE"""),"148284;INF204KB16Q0;INF204KB17Q8;NIPPON INDIA STRATEGIC DEBT FUND -  SEGREGATED PORTFOLIO 2 - DIRECT Plan - IDCW Option;0.0000;25-Aug-2023")</f>
        <v>148284;INF204KB16Q0;INF204KB17Q8;NIPPON INDIA STRATEGIC DEBT FUND -  SEGREGATED PORTFOLIO 2 - DIRECT Plan - IDCW Option;0.0000;25-Aug-2023</v>
      </c>
      <c r="B2688" s="1"/>
    </row>
    <row r="2689">
      <c r="A2689" s="1" t="str">
        <f>IFERROR(__xludf.DUMMYFUNCTION("""COMPUTED_VALUE"""),"148289;INF204KB18Q6;INF204KB19Q4;NIPPON INDIA STRATEGIC DEBT FUND -  SEGREGATED PORTFOLIO 2 - DIRECT Plan - QUARTERLY IDCW Option;0.0000;25-Aug-2023")</f>
        <v>148289;INF204KB18Q6;INF204KB19Q4;NIPPON INDIA STRATEGIC DEBT FUND -  SEGREGATED PORTFOLIO 2 - DIRECT Plan - QUARTERLY IDCW Option;0.0000;25-Aug-2023</v>
      </c>
      <c r="B2689" s="1"/>
    </row>
    <row r="2690">
      <c r="A2690" s="1" t="str">
        <f>IFERROR(__xludf.DUMMYFUNCTION("""COMPUTED_VALUE"""),"148290;INF204KB12R7;INF204KB13R5;NIPPON INDIA STRATEGIC DEBT FUND -  SEGREGATED PORTFOLIO 2 - IDCW Option;0.0000;25-Aug-2023")</f>
        <v>148290;INF204KB12R7;INF204KB13R5;NIPPON INDIA STRATEGIC DEBT FUND -  SEGREGATED PORTFOLIO 2 - IDCW Option;0.0000;25-Aug-2023</v>
      </c>
      <c r="B2690" s="1"/>
    </row>
    <row r="2691">
      <c r="A2691" s="1" t="str">
        <f>IFERROR(__xludf.DUMMYFUNCTION("""COMPUTED_VALUE"""),"148287;INF204KB14R3;INF204KB15R0;NIPPON INDIA STRATEGIC DEBT FUND -  SEGREGATED PORTFOLIO 2 - QUARTERLY IDCW Option;0.0000;25-Aug-2023")</f>
        <v>148287;INF204KB14R3;INF204KB15R0;NIPPON INDIA STRATEGIC DEBT FUND -  SEGREGATED PORTFOLIO 2 - QUARTERLY IDCW Option;0.0000;25-Aug-2023</v>
      </c>
      <c r="B2691" s="1"/>
    </row>
    <row r="2692">
      <c r="A2692" s="1" t="str">
        <f>IFERROR(__xludf.DUMMYFUNCTION("""COMPUTED_VALUE"""),"130051;INF204KA1QA2;-;Nippon India Strategic Debt Fund - Bonus Option;10.5217;11-Nov-2020")</f>
        <v>130051;INF204KA1QA2;-;Nippon India Strategic Debt Fund - Bonus Option;10.5217;11-Nov-2020</v>
      </c>
      <c r="B2692" s="1"/>
    </row>
    <row r="2693">
      <c r="A2693" s="1" t="str">
        <f>IFERROR(__xludf.DUMMYFUNCTION("""COMPUTED_VALUE"""),"130052;INF204KA1QG9;-;Nippon India Strategic Debt Fund - Direct Plan - Bonus Option;14.3825;25-Aug-2023")</f>
        <v>130052;INF204KA1QG9;-;Nippon India Strategic Debt Fund - Direct Plan - Bonus Option;14.3825;25-Aug-2023</v>
      </c>
      <c r="B2693" s="1"/>
    </row>
    <row r="2694">
      <c r="A2694" s="1" t="str">
        <f>IFERROR(__xludf.DUMMYFUNCTION("""COMPUTED_VALUE"""),"130050;INF204KA1QF1;-;Nippon India Strategic Debt Fund - Direct Plan - Growth Option;14.3793;25-Aug-2023")</f>
        <v>130050;INF204KA1QF1;-;Nippon India Strategic Debt Fund - Direct Plan - Growth Option;14.3793;25-Aug-2023</v>
      </c>
      <c r="B2694" s="1"/>
    </row>
    <row r="2695">
      <c r="A2695" s="1" t="str">
        <f>IFERROR(__xludf.DUMMYFUNCTION("""COMPUTED_VALUE"""),"130054;INF204KA1QH7;INF204KA1QJ3;NIPPON INDIA STRATEGIC DEBT FUND - DIRECT Plan - IDCW Option;12.1285;25-Aug-2023")</f>
        <v>130054;INF204KA1QH7;INF204KA1QJ3;NIPPON INDIA STRATEGIC DEBT FUND - DIRECT Plan - IDCW Option;12.1285;25-Aug-2023</v>
      </c>
      <c r="B2695" s="1"/>
    </row>
    <row r="2696">
      <c r="A2696" s="1" t="str">
        <f>IFERROR(__xludf.DUMMYFUNCTION("""COMPUTED_VALUE"""),"130055;INF204KA1QI5;INF204KA1QK1;NIPPON INDIA STRATEGIC DEBT FUND - DIRECT Plan - QUARTERLY IDCW Option;10.2388;25-Aug-2023")</f>
        <v>130055;INF204KA1QI5;INF204KA1QK1;NIPPON INDIA STRATEGIC DEBT FUND - DIRECT Plan - QUARTERLY IDCW Option;10.2388;25-Aug-2023</v>
      </c>
      <c r="B2696" s="1"/>
    </row>
    <row r="2697">
      <c r="A2697" s="1" t="str">
        <f>IFERROR(__xludf.DUMMYFUNCTION("""COMPUTED_VALUE"""),"130037;INF204KA1PZ1;-;Nippon India Strategic Debt Fund - Growth Option;13.4108;25-Aug-2023")</f>
        <v>130037;INF204KA1PZ1;-;Nippon India Strategic Debt Fund - Growth Option;13.4108;25-Aug-2023</v>
      </c>
      <c r="B2697" s="1"/>
    </row>
    <row r="2698">
      <c r="A2698" s="1" t="str">
        <f>IFERROR(__xludf.DUMMYFUNCTION("""COMPUTED_VALUE"""),"130053;INF204KA1QB0;INF204KA1QD6;NIPPON INDIA STRATEGIC DEBT FUND - IDCW Option;11.4758;25-Aug-2023")</f>
        <v>130053;INF204KA1QB0;INF204KA1QD6;NIPPON INDIA STRATEGIC DEBT FUND - IDCW Option;11.4758;25-Aug-2023</v>
      </c>
      <c r="B2698" s="1"/>
    </row>
    <row r="2699">
      <c r="A2699" s="1" t="str">
        <f>IFERROR(__xludf.DUMMYFUNCTION("""COMPUTED_VALUE"""),"130056;INF204KA1QC8;INF204KA1QE4;NIPPON INDIA STRATEGIC DEBT FUND - QUARTERLY IDCW Option;9.8916;25-Aug-2023")</f>
        <v>130056;INF204KA1QC8;INF204KA1QE4;NIPPON INDIA STRATEGIC DEBT FUND - QUARTERLY IDCW Option;9.8916;25-Aug-2023</v>
      </c>
      <c r="B2699" s="1"/>
    </row>
    <row r="2700">
      <c r="A2700" s="1" t="str">
        <f>IFERROR(__xludf.DUMMYFUNCTION("""COMPUTED_VALUE"""),"148077;INF204KB19M3;-;Nippon India Strategic Debt Fund - Segregated Portfolio 1 - Bonus Option;0.1794;27-Jan-2022")</f>
        <v>148077;INF204KB19M3;-;Nippon India Strategic Debt Fund - Segregated Portfolio 1 - Bonus Option;0.1794;27-Jan-2022</v>
      </c>
      <c r="B2700" s="1"/>
    </row>
    <row r="2701">
      <c r="A2701" s="1" t="str">
        <f>IFERROR(__xludf.DUMMYFUNCTION("""COMPUTED_VALUE"""),"148078;INF204KB13M6;-;Nippon India Strategic Debt Fund - Segregated Portfolio 1 - Direct Plan - Bonus Option;0.1888;27-Jan-2022")</f>
        <v>148078;INF204KB13M6;-;Nippon India Strategic Debt Fund - Segregated Portfolio 1 - Direct Plan - Bonus Option;0.1888;27-Jan-2022</v>
      </c>
      <c r="B2701" s="1"/>
    </row>
    <row r="2702">
      <c r="A2702" s="1" t="str">
        <f>IFERROR(__xludf.DUMMYFUNCTION("""COMPUTED_VALUE"""),"148080;INF204KB18M5;-;Nippon India Strategic Debt Fund - Segregated Portfolio 1 - Direct Plan - Growth Option;0.1886;27-Jan-2022")</f>
        <v>148080;INF204KB18M5;-;Nippon India Strategic Debt Fund - Segregated Portfolio 1 - Direct Plan - Growth Option;0.1886;27-Jan-2022</v>
      </c>
      <c r="B2702" s="1"/>
    </row>
    <row r="2703">
      <c r="A2703" s="1" t="str">
        <f>IFERROR(__xludf.DUMMYFUNCTION("""COMPUTED_VALUE"""),"148079;INF204KB14M4;INF204KB15M1;NIPPON INDIA STRATEGIC DEBT FUND - SEGREGATED PORTFOLIO 1 - Direct Plan - IDCW Option;0.1591;27-Jan-2022")</f>
        <v>148079;INF204KB14M4;INF204KB15M1;NIPPON INDIA STRATEGIC DEBT FUND - SEGREGATED PORTFOLIO 1 - Direct Plan - IDCW Option;0.1591;27-Jan-2022</v>
      </c>
      <c r="B2703" s="1"/>
    </row>
    <row r="2704">
      <c r="A2704" s="1" t="str">
        <f>IFERROR(__xludf.DUMMYFUNCTION("""COMPUTED_VALUE"""),"148081;INF204KB16M9;INF204KB17M7;NIPPON INDIA STRATEGIC DEBT FUND - SEGREGATED PORTFOLIO 1 - Direct Plan - QUARTERLY IDCW Option;0.1343;27-Jan-2022")</f>
        <v>148081;INF204KB16M9;INF204KB17M7;NIPPON INDIA STRATEGIC DEBT FUND - SEGREGATED PORTFOLIO 1 - Direct Plan - QUARTERLY IDCW Option;0.1343;27-Jan-2022</v>
      </c>
      <c r="B2704" s="1"/>
    </row>
    <row r="2705">
      <c r="A2705" s="1" t="str">
        <f>IFERROR(__xludf.DUMMYFUNCTION("""COMPUTED_VALUE"""),"148083;INF204KB14N2;-;Nippon India Strategic Debt Fund - Segregated Portfolio 1 - Growth Option;0.1794;27-Jan-2022")</f>
        <v>148083;INF204KB14N2;-;Nippon India Strategic Debt Fund - Segregated Portfolio 1 - Growth Option;0.1794;27-Jan-2022</v>
      </c>
      <c r="B2705" s="1"/>
    </row>
    <row r="2706">
      <c r="A2706" s="1" t="str">
        <f>IFERROR(__xludf.DUMMYFUNCTION("""COMPUTED_VALUE"""),"148082;INF204KB10N0;INF204KB11N8;NIPPON INDIA STRATEGIC DEBT FUND - SEGREGATED PORTFOLIO 1 - IDCW Option;0.1535;27-Jan-2022")</f>
        <v>148082;INF204KB10N0;INF204KB11N8;NIPPON INDIA STRATEGIC DEBT FUND - SEGREGATED PORTFOLIO 1 - IDCW Option;0.1535;27-Jan-2022</v>
      </c>
      <c r="B2706" s="1"/>
    </row>
    <row r="2707">
      <c r="A2707" s="1" t="str">
        <f>IFERROR(__xludf.DUMMYFUNCTION("""COMPUTED_VALUE"""),"148084;INF204KB12N6;INF204KB13N4;NIPPON INDIA STRATEGIC DEBT FUND - SEGREGATED PORTFOLIO 1 - QUARTERLY IDCW Option;0.1323;27-Jan-2022")</f>
        <v>148084;INF204KB12N6;INF204KB13N4;NIPPON INDIA STRATEGIC DEBT FUND - SEGREGATED PORTFOLIO 1 - QUARTERLY IDCW Option;0.1323;27-Jan-2022</v>
      </c>
      <c r="B2707" s="1"/>
    </row>
    <row r="2708">
      <c r="A2708" s="1" t="str">
        <f>IFERROR(__xludf.DUMMYFUNCTION("""COMPUTED_VALUE"""),"148283;INF204KB11R9;-;Nippon India Strategic Debt Fund - Segregated Portfolio 2 - Bonus Option;0.0000;25-Aug-2023")</f>
        <v>148283;INF204KB11R9;-;Nippon India Strategic Debt Fund - Segregated Portfolio 2 - Bonus Option;0.0000;25-Aug-2023</v>
      </c>
      <c r="B2708" s="1"/>
    </row>
    <row r="2709">
      <c r="A2709" s="1" t="str">
        <f>IFERROR(__xludf.DUMMYFUNCTION("""COMPUTED_VALUE"""),"148288;INF204KB15Q2;-;Nippon India Strategic Debt Fund - Segregated Portfolio 2 - Direct Plan - Bonus Option;0.0000;25-Aug-2023")</f>
        <v>148288;INF204KB15Q2;-;Nippon India Strategic Debt Fund - Segregated Portfolio 2 - Direct Plan - Bonus Option;0.0000;25-Aug-2023</v>
      </c>
      <c r="B2709" s="1"/>
    </row>
    <row r="2710">
      <c r="A2710" s="1" t="str">
        <f>IFERROR(__xludf.DUMMYFUNCTION("""COMPUTED_VALUE"""),"148285;INF204KB10R1;-;Nippon India Strategic Debt Fund - Segregated Portfolio 2 - Direct Plan - Growth Option;0.0000;25-Aug-2023")</f>
        <v>148285;INF204KB10R1;-;Nippon India Strategic Debt Fund - Segregated Portfolio 2 - Direct Plan - Growth Option;0.0000;25-Aug-2023</v>
      </c>
      <c r="B2710" s="1"/>
    </row>
    <row r="2711">
      <c r="A2711" s="1" t="str">
        <f>IFERROR(__xludf.DUMMYFUNCTION("""COMPUTED_VALUE"""),"148286;INF204KB16R8;-;Nippon India Strategic Debt Fund - Segregated Portfolio 2 - Growth Option;0.0000;25-Aug-2023")</f>
        <v>148286;INF204KB16R8;-;Nippon India Strategic Debt Fund - Segregated Portfolio 2 - Growth Option;0.0000;25-Aug-2023</v>
      </c>
      <c r="B2711" s="1"/>
    </row>
    <row r="2712">
      <c r="A2712" s="1"/>
      <c r="B2712" s="1"/>
    </row>
    <row r="2713">
      <c r="A2713" s="1" t="str">
        <f>IFERROR(__xludf.DUMMYFUNCTION("""COMPUTED_VALUE"""),"SBI Mutual Fund")</f>
        <v>SBI Mutual Fund</v>
      </c>
      <c r="B2713" s="1"/>
    </row>
    <row r="2714">
      <c r="A2714" s="1"/>
      <c r="B2714" s="1"/>
    </row>
    <row r="2715">
      <c r="A2715" s="1" t="str">
        <f>IFERROR(__xludf.DUMMYFUNCTION("""COMPUTED_VALUE"""),"119824;INF200K01VB0;-;SBI MAGNUM MEDIUM DURATION FUND - DIRECT PLAN - GROWTH;47.4691;25-Aug-2023")</f>
        <v>119824;INF200K01VB0;-;SBI MAGNUM MEDIUM DURATION FUND - DIRECT PLAN - GROWTH;47.4691;25-Aug-2023</v>
      </c>
      <c r="B2715" s="1"/>
    </row>
    <row r="2716">
      <c r="A2716" s="1" t="str">
        <f>IFERROR(__xludf.DUMMYFUNCTION("""COMPUTED_VALUE"""),"119825;INF200K01UZ1;INF200K01VA2;SBI Magnum Medium Duration Fund - Direct Plan - Income Distribution cum Capital Withdrawal Option (IDCW);18.4520;25-Aug-2023")</f>
        <v>119825;INF200K01UZ1;INF200K01VA2;SBI Magnum Medium Duration Fund - Direct Plan - Income Distribution cum Capital Withdrawal Option (IDCW);18.4520;25-Aug-2023</v>
      </c>
      <c r="B2716" s="1"/>
    </row>
    <row r="2717">
      <c r="A2717" s="1" t="str">
        <f>IFERROR(__xludf.DUMMYFUNCTION("""COMPUTED_VALUE"""),"102053;INF200K01719;-;SBI MAGNUM MEDIUM DURATION FUND - REGULAR PLAN - GROWTH;44.3457;25-Aug-2023")</f>
        <v>102053;INF200K01719;-;SBI MAGNUM MEDIUM DURATION FUND - REGULAR PLAN - GROWTH;44.3457;25-Aug-2023</v>
      </c>
      <c r="B2717" s="1"/>
    </row>
    <row r="2718">
      <c r="A2718" s="1" t="str">
        <f>IFERROR(__xludf.DUMMYFUNCTION("""COMPUTED_VALUE"""),"102054;INF200K01727;INF200K01735;SBI Magnum Medium Duration Fund - Regular Plan - Income Distribution cum Capital Withdrawal Option (IDCW);17.1896;25-Aug-2023")</f>
        <v>102054;INF200K01727;INF200K01735;SBI Magnum Medium Duration Fund - Regular Plan - Income Distribution cum Capital Withdrawal Option (IDCW);17.1896;25-Aug-2023</v>
      </c>
      <c r="B2718" s="1"/>
    </row>
    <row r="2719">
      <c r="A2719" s="1"/>
      <c r="B2719" s="1"/>
    </row>
    <row r="2720">
      <c r="A2720" s="1" t="str">
        <f>IFERROR(__xludf.DUMMYFUNCTION("""COMPUTED_VALUE"""),"Sundaram Mutual Fund")</f>
        <v>Sundaram Mutual Fund</v>
      </c>
      <c r="B2720" s="1"/>
    </row>
    <row r="2721">
      <c r="A2721" s="1"/>
      <c r="B2721" s="1"/>
    </row>
    <row r="2722">
      <c r="A2722" s="1" t="str">
        <f>IFERROR(__xludf.DUMMYFUNCTION("""COMPUTED_VALUE"""),"119676;INF903J01PH0;INF903J01PM0;Sundaram Medium Term Bond Fund Direct Plan - Annual Income Distribution cum Capital Withdrawal (IDCW);13.9220;25-Aug-2023")</f>
        <v>119676;INF903J01PH0;INF903J01PM0;Sundaram Medium Term Bond Fund Direct Plan - Annual Income Distribution cum Capital Withdrawal (IDCW);13.9220;25-Aug-2023</v>
      </c>
      <c r="B2722" s="1"/>
    </row>
    <row r="2723">
      <c r="A2723" s="1" t="str">
        <f>IFERROR(__xludf.DUMMYFUNCTION("""COMPUTED_VALUE"""),"119675;INF903J01PO6;-;Sundaram Medium Term Bond Fund Direct Plan - Growth;67.5319;25-Aug-2023")</f>
        <v>119675;INF903J01PO6;-;Sundaram Medium Term Bond Fund Direct Plan - Growth;67.5319;25-Aug-2023</v>
      </c>
      <c r="B2723" s="1"/>
    </row>
    <row r="2724">
      <c r="A2724" s="1" t="str">
        <f>IFERROR(__xludf.DUMMYFUNCTION("""COMPUTED_VALUE"""),"119672;INF903J01PK4;INF903J01PL2;Sundaram Medium Term Bond Fund Direct Plan - Quarterly Income Distribution cum Capital Withdrawal (IDCW);24.6031;25-Aug-2023")</f>
        <v>119672;INF903J01PK4;INF903J01PL2;Sundaram Medium Term Bond Fund Direct Plan - Quarterly Income Distribution cum Capital Withdrawal (IDCW);24.6031;25-Aug-2023</v>
      </c>
      <c r="B2724" s="1"/>
    </row>
    <row r="2725">
      <c r="A2725" s="1" t="str">
        <f>IFERROR(__xludf.DUMMYFUNCTION("""COMPUTED_VALUE"""),"100608;INF903J01FY6;-;Sundaram Medium Term Bond Fund Institutional Plan - Growth;69.4751;25-Aug-2023")</f>
        <v>100608;INF903J01FY6;-;Sundaram Medium Term Bond Fund Institutional Plan - Growth;69.4751;25-Aug-2023</v>
      </c>
      <c r="B2725" s="1"/>
    </row>
    <row r="2726">
      <c r="A2726" s="1" t="str">
        <f>IFERROR(__xludf.DUMMYFUNCTION("""COMPUTED_VALUE"""),"100610;INF903J01FT6;INF903J01FW0;Sundaram Medium Term Bond Fund Regular Plan - Annual Income Distribution cum Capital Withdrawal (IDCW);12.4949;25-Aug-2023")</f>
        <v>100610;INF903J01FT6;INF903J01FW0;Sundaram Medium Term Bond Fund Regular Plan - Annual Income Distribution cum Capital Withdrawal (IDCW);12.4949;25-Aug-2023</v>
      </c>
      <c r="B2726" s="1"/>
    </row>
    <row r="2727">
      <c r="A2727" s="1" t="str">
        <f>IFERROR(__xludf.DUMMYFUNCTION("""COMPUTED_VALUE"""),"100604;INF903J01FX8;-;Sundaram Medium Term Bond Fund Regular Plan - Bonus;20.9979;25-Aug-2023")</f>
        <v>100604;INF903J01FX8;-;Sundaram Medium Term Bond Fund Regular Plan - Bonus;20.9979;25-Aug-2023</v>
      </c>
      <c r="B2727" s="1"/>
    </row>
    <row r="2728">
      <c r="A2728" s="1" t="str">
        <f>IFERROR(__xludf.DUMMYFUNCTION("""COMPUTED_VALUE"""),"100603;INF903J01FQ2;-;Sundaram Medium Term Bond Fund Regular Plan - Growth;61.4797;25-Aug-2023")</f>
        <v>100603;INF903J01FQ2;-;Sundaram Medium Term Bond Fund Regular Plan - Growth;61.4797;25-Aug-2023</v>
      </c>
      <c r="B2728" s="1"/>
    </row>
    <row r="2729">
      <c r="A2729" s="1" t="str">
        <f>IFERROR(__xludf.DUMMYFUNCTION("""COMPUTED_VALUE"""),"100609;INF903J01FS8;INF903J01FV2;Sundaram Medium Term Bond Fund Regular Plan- Half Yearly Income Distribution cum Capital Withdrawal (IDCW);12.8884;25-Aug-2023")</f>
        <v>100609;INF903J01FS8;INF903J01FV2;Sundaram Medium Term Bond Fund Regular Plan- Half Yearly Income Distribution cum Capital Withdrawal (IDCW);12.8884;25-Aug-2023</v>
      </c>
      <c r="B2729" s="1"/>
    </row>
    <row r="2730">
      <c r="A2730" s="1" t="str">
        <f>IFERROR(__xludf.DUMMYFUNCTION("""COMPUTED_VALUE"""),"100602;INF903J01FR0;INF903J01FU4;Sundaram Medium Term Bond Fund Regular Plan- Quarterly Income Distribution cum Capital Withdrawal (IDCW);12.5482;25-Aug-2023")</f>
        <v>100602;INF903J01FR0;INF903J01FU4;Sundaram Medium Term Bond Fund Regular Plan- Quarterly Income Distribution cum Capital Withdrawal (IDCW);12.5482;25-Aug-2023</v>
      </c>
      <c r="B2730" s="1"/>
    </row>
    <row r="2731">
      <c r="A2731" s="1"/>
      <c r="B2731" s="1"/>
    </row>
    <row r="2732">
      <c r="A2732" s="1" t="str">
        <f>IFERROR(__xludf.DUMMYFUNCTION("""COMPUTED_VALUE"""),"Tata Mutual Fund")</f>
        <v>Tata Mutual Fund</v>
      </c>
      <c r="B2732" s="1"/>
    </row>
    <row r="2733">
      <c r="A2733" s="1"/>
      <c r="B2733" s="1"/>
    </row>
    <row r="2734">
      <c r="A2734" s="1" t="str">
        <f>IFERROR(__xludf.DUMMYFUNCTION("""COMPUTED_VALUE"""),"101703;INF277K01717;-;Tata Medium Term Fund -Regular Plan - Growth Option;29.7872;23-Sep-2022")</f>
        <v>101703;INF277K01717;-;Tata Medium Term Fund -Regular Plan - Growth Option;29.7872;23-Sep-2022</v>
      </c>
      <c r="B2734" s="1"/>
    </row>
    <row r="2735">
      <c r="A2735" s="1" t="str">
        <f>IFERROR(__xludf.DUMMYFUNCTION("""COMPUTED_VALUE"""),"119126;INF277K01PG9;INF277K01PH7;Tata Medium Term Fund- Direct Plan - Payout of IDCW Option;15.2302;23-Sep-2022")</f>
        <v>119126;INF277K01PG9;INF277K01PH7;Tata Medium Term Fund- Direct Plan - Payout of IDCW Option;15.2302;23-Sep-2022</v>
      </c>
      <c r="B2735" s="1"/>
    </row>
    <row r="2736">
      <c r="A2736" s="1" t="str">
        <f>IFERROR(__xludf.DUMMYFUNCTION("""COMPUTED_VALUE"""),"119127;INF277K01PI5;-;Tata Medium Term Fund- Direct Plan- Growth Option;32.7645;23-Sep-2022")</f>
        <v>119127;INF277K01PI5;-;Tata Medium Term Fund- Direct Plan- Growth Option;32.7645;23-Sep-2022</v>
      </c>
      <c r="B2736" s="1"/>
    </row>
    <row r="2737">
      <c r="A2737" s="1" t="str">
        <f>IFERROR(__xludf.DUMMYFUNCTION("""COMPUTED_VALUE"""),"101605;INF277K01DW2;INF277K01709;Tata Medium Term Fund- Regular Plan - Payout of IDCW option;13.5481;23-Sep-2022")</f>
        <v>101605;INF277K01DW2;INF277K01709;Tata Medium Term Fund- Regular Plan - Payout of IDCW option;13.5481;23-Sep-2022</v>
      </c>
      <c r="B2737" s="1"/>
    </row>
    <row r="2738">
      <c r="A2738" s="1"/>
      <c r="B2738" s="1"/>
    </row>
    <row r="2739">
      <c r="A2739" s="1" t="str">
        <f>IFERROR(__xludf.DUMMYFUNCTION("""COMPUTED_VALUE"""),"Union Mutual Fund")</f>
        <v>Union Mutual Fund</v>
      </c>
      <c r="B2739" s="1"/>
    </row>
    <row r="2740">
      <c r="A2740" s="1"/>
      <c r="B2740" s="1"/>
    </row>
    <row r="2741">
      <c r="A2741" s="1" t="str">
        <f>IFERROR(__xludf.DUMMYFUNCTION("""COMPUTED_VALUE"""),"148479;INF582M01GQ6;-;Union Medium Duration Fund - Direct Plan -  Growth Option;11.3163;25-Aug-2023")</f>
        <v>148479;INF582M01GQ6;-;Union Medium Duration Fund - Direct Plan -  Growth Option;11.3163;25-Aug-2023</v>
      </c>
      <c r="B2741" s="1"/>
    </row>
    <row r="2742">
      <c r="A2742" s="1" t="str">
        <f>IFERROR(__xludf.DUMMYFUNCTION("""COMPUTED_VALUE"""),"148480;INF582M01GS2;INF582M01GR4;Union Medium Duration Fund - Direct Plan - IDCW Option;11.3163;25-Aug-2023")</f>
        <v>148480;INF582M01GS2;INF582M01GR4;Union Medium Duration Fund - Direct Plan - IDCW Option;11.3163;25-Aug-2023</v>
      </c>
      <c r="B2742" s="1"/>
    </row>
    <row r="2743">
      <c r="A2743" s="1" t="str">
        <f>IFERROR(__xludf.DUMMYFUNCTION("""COMPUTED_VALUE"""),"148477;INF582M01GU8;-;Union Medium Duration Fund - Regular Plan -  Growth Option;11.2071;25-Aug-2023")</f>
        <v>148477;INF582M01GU8;-;Union Medium Duration Fund - Regular Plan -  Growth Option;11.2071;25-Aug-2023</v>
      </c>
      <c r="B2743" s="1"/>
    </row>
    <row r="2744">
      <c r="A2744" s="1" t="str">
        <f>IFERROR(__xludf.DUMMYFUNCTION("""COMPUTED_VALUE"""),"148478;INF582M01GW4;INF582M01GV6;Union Medium Duration Fund - Regular Plan - IDCW Option;11.2071;25-Aug-2023")</f>
        <v>148478;INF582M01GW4;INF582M01GV6;Union Medium Duration Fund - Regular Plan - IDCW Option;11.2071;25-Aug-2023</v>
      </c>
      <c r="B2744" s="1"/>
    </row>
    <row r="2745">
      <c r="A2745" s="1"/>
      <c r="B2745" s="1"/>
    </row>
    <row r="2746">
      <c r="A2746" s="1" t="str">
        <f>IFERROR(__xludf.DUMMYFUNCTION("""COMPUTED_VALUE"""),"UTI Mutual Fund")</f>
        <v>UTI Mutual Fund</v>
      </c>
      <c r="B2746" s="1"/>
    </row>
    <row r="2747">
      <c r="A2747" s="1"/>
      <c r="B2747" s="1"/>
    </row>
    <row r="2748">
      <c r="A2748" s="1" t="str">
        <f>IFERROR(__xludf.DUMMYFUNCTION("""COMPUTED_VALUE"""),"134505;INF789FB1KL1;INF789FB1KM9;UTI Medium Term Fund - Direct Plan - Annual IDCW;12.9594;25-Aug-2023")</f>
        <v>134505;INF789FB1KL1;INF789FB1KM9;UTI Medium Term Fund - Direct Plan - Annual IDCW;12.9594;25-Aug-2023</v>
      </c>
      <c r="B2748" s="1"/>
    </row>
    <row r="2749">
      <c r="A2749" s="1" t="str">
        <f>IFERROR(__xludf.DUMMYFUNCTION("""COMPUTED_VALUE"""),"134506;INF789FB1KO5;INF789FB1KN7;UTI Medium Term Fund - Direct Plan - Flexi IDCW;13.1517;25-Aug-2023")</f>
        <v>134506;INF789FB1KO5;INF789FB1KN7;UTI Medium Term Fund - Direct Plan - Flexi IDCW;13.1517;25-Aug-2023</v>
      </c>
      <c r="B2749" s="1"/>
    </row>
    <row r="2750">
      <c r="A2750" s="1" t="str">
        <f>IFERROR(__xludf.DUMMYFUNCTION("""COMPUTED_VALUE"""),"134503;INF789FB1KE6;-;UTI Medium Term Fund - Direct Plan - Growth Option;16.9133;25-Aug-2023")</f>
        <v>134503;INF789FB1KE6;-;UTI Medium Term Fund - Direct Plan - Growth Option;16.9133;25-Aug-2023</v>
      </c>
      <c r="B2750" s="1"/>
    </row>
    <row r="2751">
      <c r="A2751" s="1" t="str">
        <f>IFERROR(__xludf.DUMMYFUNCTION("""COMPUTED_VALUE"""),"134504;INF789FB1KJ5;INF789FB1KK3;UTI Medium Term Fund - Direct Plan - Half-Yearly IDCW;12.6686;25-Aug-2023")</f>
        <v>134504;INF789FB1KJ5;INF789FB1KK3;UTI Medium Term Fund - Direct Plan - Half-Yearly IDCW;12.6686;25-Aug-2023</v>
      </c>
      <c r="B2751" s="1"/>
    </row>
    <row r="2752">
      <c r="A2752" s="1" t="str">
        <f>IFERROR(__xludf.DUMMYFUNCTION("""COMPUTED_VALUE"""),"134501;INF789FB1KF3;INF789FB1KG1;UTI Medium Term Fund - Direct Plan - Monthly IDCW;10.4626;25-Aug-2023")</f>
        <v>134501;INF789FB1KF3;INF789FB1KG1;UTI Medium Term Fund - Direct Plan - Monthly IDCW;10.4626;25-Aug-2023</v>
      </c>
      <c r="B2752" s="1"/>
    </row>
    <row r="2753">
      <c r="A2753" s="1" t="str">
        <f>IFERROR(__xludf.DUMMYFUNCTION("""COMPUTED_VALUE"""),"134502;INF789FB1KH9;INF789FB1KI7;UTI Medium Term Fund - Direct Plan - Quarterly IDCW;12.6559;25-Aug-2023")</f>
        <v>134502;INF789FB1KH9;INF789FB1KI7;UTI Medium Term Fund - Direct Plan - Quarterly IDCW;12.6559;25-Aug-2023</v>
      </c>
      <c r="B2753" s="1"/>
    </row>
    <row r="2754">
      <c r="A2754" s="1" t="str">
        <f>IFERROR(__xludf.DUMMYFUNCTION("""COMPUTED_VALUE"""),"134500;INF789FB1KA4;INF789FB1KB2;UTI Medium Term Fund - Regular Plan - Annual IDCW;12.1431;25-Aug-2023")</f>
        <v>134500;INF789FB1KA4;INF789FB1KB2;UTI Medium Term Fund - Regular Plan - Annual IDCW;12.1431;25-Aug-2023</v>
      </c>
      <c r="B2754" s="1"/>
    </row>
    <row r="2755">
      <c r="A2755" s="1" t="str">
        <f>IFERROR(__xludf.DUMMYFUNCTION("""COMPUTED_VALUE"""),"134498;INF789FB1KC0;INF789FB1KD8;UTI Medium Term Fund - Regular Plan - Flexi IDCW;11.7926;25-Aug-2023")</f>
        <v>134498;INF789FB1KC0;INF789FB1KD8;UTI Medium Term Fund - Regular Plan - Flexi IDCW;11.7926;25-Aug-2023</v>
      </c>
      <c r="B2755" s="1"/>
    </row>
    <row r="2756">
      <c r="A2756" s="1" t="str">
        <f>IFERROR(__xludf.DUMMYFUNCTION("""COMPUTED_VALUE"""),"134499;INF789FB1JU4;-;UTI Medium Term Fund - Regular Plan - Growth Option;15.9652;25-Aug-2023")</f>
        <v>134499;INF789FB1JU4;-;UTI Medium Term Fund - Regular Plan - Growth Option;15.9652;25-Aug-2023</v>
      </c>
      <c r="B2756" s="1"/>
    </row>
    <row r="2757">
      <c r="A2757" s="1" t="str">
        <f>IFERROR(__xludf.DUMMYFUNCTION("""COMPUTED_VALUE"""),"134497;INF789FB1JY6;INF789FB1JZ3;UTI Medium Term Fund - Regular Plan - Half-Yearly IDCW;11.8437;25-Aug-2023")</f>
        <v>134497;INF789FB1JY6;INF789FB1JZ3;UTI Medium Term Fund - Regular Plan - Half-Yearly IDCW;11.8437;25-Aug-2023</v>
      </c>
      <c r="B2757" s="1"/>
    </row>
    <row r="2758">
      <c r="A2758" s="1" t="str">
        <f>IFERROR(__xludf.DUMMYFUNCTION("""COMPUTED_VALUE"""),"134495;INF789FB1JV2;INF789FB1KP2;UTI Medium Term Fund - Regular Plan - Monthly IDCW;11.5137;25-Aug-2023")</f>
        <v>134495;INF789FB1JV2;INF789FB1KP2;UTI Medium Term Fund - Regular Plan - Monthly IDCW;11.5137;25-Aug-2023</v>
      </c>
      <c r="B2758" s="1"/>
    </row>
    <row r="2759">
      <c r="A2759" s="1" t="str">
        <f>IFERROR(__xludf.DUMMYFUNCTION("""COMPUTED_VALUE"""),"134496;INF789FB1JW0;INF789FB1JX8;UTI Medium Term Fund - Regular Plan - Quarterly IDCW;12.2903;25-Aug-2023")</f>
        <v>134496;INF789FB1JW0;INF789FB1JX8;UTI Medium Term Fund - Regular Plan - Quarterly IDCW;12.2903;25-Aug-2023</v>
      </c>
      <c r="B2759" s="1"/>
    </row>
    <row r="2760">
      <c r="A2760" s="1" t="str">
        <f>IFERROR(__xludf.DUMMYFUNCTION("""COMPUTED_VALUE"""),"148248;INF789F1ASC5;INF789F1ASD3;UTI - Medium Term Fund (Segregated - 06032020) - Direct Plan - Annual Dividend Option;0;25-Aug-2023")</f>
        <v>148248;INF789F1ASC5;INF789F1ASD3;UTI - Medium Term Fund (Segregated - 06032020) - Direct Plan - Annual Dividend Option;0;25-Aug-2023</v>
      </c>
      <c r="B2760" s="1"/>
    </row>
    <row r="2761">
      <c r="A2761" s="1" t="str">
        <f>IFERROR(__xludf.DUMMYFUNCTION("""COMPUTED_VALUE"""),"148249;INF789F1ASG6;INF789F1ASH4;UTI - Medium Term Fund (Segregated - 06032020) - Direct Plan - Flexi Dividend Option;0;25-Aug-2023")</f>
        <v>148249;INF789F1ASG6;INF789F1ASH4;UTI - Medium Term Fund (Segregated - 06032020) - Direct Plan - Flexi Dividend Option;0;25-Aug-2023</v>
      </c>
      <c r="B2761" s="1"/>
    </row>
    <row r="2762">
      <c r="A2762" s="1" t="str">
        <f>IFERROR(__xludf.DUMMYFUNCTION("""COMPUTED_VALUE"""),"148257;INF789F1ASB7;-;UTI - Medium Term Fund (Segregated - 06032020) - Direct Plan - Growth Option;0;25-Aug-2023")</f>
        <v>148257;INF789F1ASB7;-;UTI - Medium Term Fund (Segregated - 06032020) - Direct Plan - Growth Option;0;25-Aug-2023</v>
      </c>
      <c r="B2762" s="1"/>
    </row>
    <row r="2763">
      <c r="A2763" s="1" t="str">
        <f>IFERROR(__xludf.DUMMYFUNCTION("""COMPUTED_VALUE"""),"148256;INF789F1ASE1;INF789F1ASF8;UTI - Medium Term Fund (Segregated - 06032020) - Direct Plan - Half Yearly Dividend Option;0;25-Aug-2023")</f>
        <v>148256;INF789F1ASE1;INF789F1ASF8;UTI - Medium Term Fund (Segregated - 06032020) - Direct Plan - Half Yearly Dividend Option;0;25-Aug-2023</v>
      </c>
      <c r="B2763" s="1"/>
    </row>
    <row r="2764">
      <c r="A2764" s="1" t="str">
        <f>IFERROR(__xludf.DUMMYFUNCTION("""COMPUTED_VALUE"""),"148250;INF789F1ASI2;INF789F1ASJ0;UTI - Medium Term Fund (Segregated - 06032020) - Direct Plan - Monthly Dividend Option;0;25-Aug-2023")</f>
        <v>148250;INF789F1ASI2;INF789F1ASJ0;UTI - Medium Term Fund (Segregated - 06032020) - Direct Plan - Monthly Dividend Option;0;25-Aug-2023</v>
      </c>
      <c r="B2764" s="1"/>
    </row>
    <row r="2765">
      <c r="A2765" s="1" t="str">
        <f>IFERROR(__xludf.DUMMYFUNCTION("""COMPUTED_VALUE"""),"148255;INF789F1ARZ8;INF789F1ASA9;UTI - Medium Term Fund (Segregated - 06032020) - Direct Plan - Quarterly Dividend Option;0;25-Aug-2023")</f>
        <v>148255;INF789F1ARZ8;INF789F1ASA9;UTI - Medium Term Fund (Segregated - 06032020) - Direct Plan - Quarterly Dividend Option;0;25-Aug-2023</v>
      </c>
      <c r="B2765" s="1"/>
    </row>
    <row r="2766">
      <c r="A2766" s="1" t="str">
        <f>IFERROR(__xludf.DUMMYFUNCTION("""COMPUTED_VALUE"""),"148247;INF789F1ASN2;INF789F1ASO0;UTI - Medium Term Fund (Segregated - 06032020) - Regular Plan - Annual Dividend Option;0;25-Aug-2023")</f>
        <v>148247;INF789F1ASN2;INF789F1ASO0;UTI - Medium Term Fund (Segregated - 06032020) - Regular Plan - Annual Dividend Option;0;25-Aug-2023</v>
      </c>
      <c r="B2766" s="1"/>
    </row>
    <row r="2767">
      <c r="A2767" s="1" t="str">
        <f>IFERROR(__xludf.DUMMYFUNCTION("""COMPUTED_VALUE"""),"148254;INF789F1ASR3;INF789F1ASS1;UTI - Medium Term Fund (Segregated - 06032020) - Regular Plan - Flexi Dividend Option;0;25-Aug-2023")</f>
        <v>148254;INF789F1ASR3;INF789F1ASS1;UTI - Medium Term Fund (Segregated - 06032020) - Regular Plan - Flexi Dividend Option;0;25-Aug-2023</v>
      </c>
      <c r="B2767" s="1"/>
    </row>
    <row r="2768">
      <c r="A2768" s="1" t="str">
        <f>IFERROR(__xludf.DUMMYFUNCTION("""COMPUTED_VALUE"""),"148252;INF789F1ASM4;-;UTI - Medium Term Fund (Segregated - 06032020) - Regular Plan - Growth Option;0;25-Aug-2023")</f>
        <v>148252;INF789F1ASM4;-;UTI - Medium Term Fund (Segregated - 06032020) - Regular Plan - Growth Option;0;25-Aug-2023</v>
      </c>
      <c r="B2768" s="1"/>
    </row>
    <row r="2769">
      <c r="A2769" s="1" t="str">
        <f>IFERROR(__xludf.DUMMYFUNCTION("""COMPUTED_VALUE"""),"148251;INF789F1ASP7;INF789F1ASQ5;UTI - Medium Term Fund (Segregated - 06032020) - Regular Plan - Half Yearly Dividend Option;0;25-Aug-2023")</f>
        <v>148251;INF789F1ASP7;INF789F1ASQ5;UTI - Medium Term Fund (Segregated - 06032020) - Regular Plan - Half Yearly Dividend Option;0;25-Aug-2023</v>
      </c>
      <c r="B2769" s="1"/>
    </row>
    <row r="2770">
      <c r="A2770" s="1" t="str">
        <f>IFERROR(__xludf.DUMMYFUNCTION("""COMPUTED_VALUE"""),"148246;INF789F1AST9;INF789F1ASU7;UTI - Medium Term Fund (Segregated - 06032020) - Regular Plan - Monthly Dividend Option;0;25-Aug-2023")</f>
        <v>148246;INF789F1AST9;INF789F1ASU7;UTI - Medium Term Fund (Segregated - 06032020) - Regular Plan - Monthly Dividend Option;0;25-Aug-2023</v>
      </c>
      <c r="B2770" s="1"/>
    </row>
    <row r="2771">
      <c r="A2771" s="1" t="str">
        <f>IFERROR(__xludf.DUMMYFUNCTION("""COMPUTED_VALUE"""),"148253;INF789F1ASK8;INF789F1ASL6;UTI - Medium Term Fund (Segregated - 06032020) - Regular Plan - Quarterly Dividend Option;0;25-Aug-2023")</f>
        <v>148253;INF789F1ASK8;INF789F1ASL6;UTI - Medium Term Fund (Segregated - 06032020) - Regular Plan - Quarterly Dividend Option;0;25-Aug-2023</v>
      </c>
      <c r="B2771" s="1"/>
    </row>
    <row r="2772">
      <c r="A2772" s="1" t="str">
        <f>IFERROR(__xludf.DUMMYFUNCTION("""COMPUTED_VALUE"""),"148439;-;-;UTI - Medium Term Fund (Segregated - 07072020) - Direct  Plan - Monthly Dividend Option;0;14-Jul-2020")</f>
        <v>148439;-;-;UTI - Medium Term Fund (Segregated - 07072020) - Direct  Plan - Monthly Dividend Option;0;14-Jul-2020</v>
      </c>
      <c r="B2772" s="1"/>
    </row>
    <row r="2773">
      <c r="A2773" s="1" t="str">
        <f>IFERROR(__xludf.DUMMYFUNCTION("""COMPUTED_VALUE"""),"148442;-;-;UTI - Medium Term Fund (Segregated - 07072020) - Direct Plan - Annual Dividend Option;0;14-Jul-2020")</f>
        <v>148442;-;-;UTI - Medium Term Fund (Segregated - 07072020) - Direct Plan - Annual Dividend Option;0;14-Jul-2020</v>
      </c>
      <c r="B2773" s="1"/>
    </row>
    <row r="2774">
      <c r="A2774" s="1" t="str">
        <f>IFERROR(__xludf.DUMMYFUNCTION("""COMPUTED_VALUE"""),"148443;-;-;UTI - Medium Term Fund (Segregated - 07072020) - Direct Plan - Flexi Dividend Option;0;14-Jul-2020")</f>
        <v>148443;-;-;UTI - Medium Term Fund (Segregated - 07072020) - Direct Plan - Flexi Dividend Option;0;14-Jul-2020</v>
      </c>
      <c r="B2774" s="1"/>
    </row>
    <row r="2775">
      <c r="A2775" s="1" t="str">
        <f>IFERROR(__xludf.DUMMYFUNCTION("""COMPUTED_VALUE"""),"148441;-;-;UTI - Medium Term Fund (Segregated - 07072020) - Direct Plan - Growth Option;0;14-Jul-2020")</f>
        <v>148441;-;-;UTI - Medium Term Fund (Segregated - 07072020) - Direct Plan - Growth Option;0;14-Jul-2020</v>
      </c>
      <c r="B2775" s="1"/>
    </row>
    <row r="2776">
      <c r="A2776" s="1" t="str">
        <f>IFERROR(__xludf.DUMMYFUNCTION("""COMPUTED_VALUE"""),"148440;-;-;UTI - Medium Term Fund (Segregated - 07072020) - Direct Plan - Half Yearly Dividend Option;0;14-Jul-2020")</f>
        <v>148440;-;-;UTI - Medium Term Fund (Segregated - 07072020) - Direct Plan - Half Yearly Dividend Option;0;14-Jul-2020</v>
      </c>
      <c r="B2776" s="1"/>
    </row>
    <row r="2777">
      <c r="A2777" s="1" t="str">
        <f>IFERROR(__xludf.DUMMYFUNCTION("""COMPUTED_VALUE"""),"148438;-;-;UTI - Medium Term Fund (Segregated - 07072020) - Direct Plan - Quarterly Dividend Option;0;14-Jul-2020")</f>
        <v>148438;-;-;UTI - Medium Term Fund (Segregated - 07072020) - Direct Plan - Quarterly Dividend Option;0;14-Jul-2020</v>
      </c>
      <c r="B2777" s="1"/>
    </row>
    <row r="2778">
      <c r="A2778" s="1" t="str">
        <f>IFERROR(__xludf.DUMMYFUNCTION("""COMPUTED_VALUE"""),"148421;-;-;UTI - Medium Term Fund (Segregated - 07072020) - Regular Plan - Annual Dividend Option;0;14-Jul-2020")</f>
        <v>148421;-;-;UTI - Medium Term Fund (Segregated - 07072020) - Regular Plan - Annual Dividend Option;0;14-Jul-2020</v>
      </c>
      <c r="B2778" s="1"/>
    </row>
    <row r="2779">
      <c r="A2779" s="1" t="str">
        <f>IFERROR(__xludf.DUMMYFUNCTION("""COMPUTED_VALUE"""),"148434;-;-;UTI - Medium Term Fund (Segregated - 07072020) - Regular Plan - Flexi Dividend Option;0;14-Jul-2020")</f>
        <v>148434;-;-;UTI - Medium Term Fund (Segregated - 07072020) - Regular Plan - Flexi Dividend Option;0;14-Jul-2020</v>
      </c>
      <c r="B2779" s="1"/>
    </row>
    <row r="2780">
      <c r="A2780" s="1" t="str">
        <f>IFERROR(__xludf.DUMMYFUNCTION("""COMPUTED_VALUE"""),"148433;-;-;UTI - Medium Term Fund (Segregated - 07072020) - Regular Plan - Growth Option;0;14-Jul-2020")</f>
        <v>148433;-;-;UTI - Medium Term Fund (Segregated - 07072020) - Regular Plan - Growth Option;0;14-Jul-2020</v>
      </c>
      <c r="B2780" s="1"/>
    </row>
    <row r="2781">
      <c r="A2781" s="1" t="str">
        <f>IFERROR(__xludf.DUMMYFUNCTION("""COMPUTED_VALUE"""),"148437;-;-;UTI - Medium Term Fund (Segregated - 07072020) - Regular Plan - Half Yearly Dividend Option;0;14-Jul-2020")</f>
        <v>148437;-;-;UTI - Medium Term Fund (Segregated - 07072020) - Regular Plan - Half Yearly Dividend Option;0;14-Jul-2020</v>
      </c>
      <c r="B2781" s="1"/>
    </row>
    <row r="2782">
      <c r="A2782" s="1" t="str">
        <f>IFERROR(__xludf.DUMMYFUNCTION("""COMPUTED_VALUE"""),"148435;-;-;UTI - Medium Term Fund (Segregated - 07072020) - Regular Plan - Monthly Dividend Option;0;14-Jul-2020")</f>
        <v>148435;-;-;UTI - Medium Term Fund (Segregated - 07072020) - Regular Plan - Monthly Dividend Option;0;14-Jul-2020</v>
      </c>
      <c r="B2782" s="1"/>
    </row>
    <row r="2783">
      <c r="A2783" s="1" t="str">
        <f>IFERROR(__xludf.DUMMYFUNCTION("""COMPUTED_VALUE"""),"148436;-;-;UTI - Medium Term Fund (Segregated - 07072020) - Regular Plan - Quarterly Dividend Option;0;14-Jul-2020")</f>
        <v>148436;-;-;UTI - Medium Term Fund (Segregated - 07072020) - Regular Plan - Quarterly Dividend Option;0;14-Jul-2020</v>
      </c>
      <c r="B2783" s="1"/>
    </row>
    <row r="2784">
      <c r="A2784" s="1" t="str">
        <f>IFERROR(__xludf.DUMMYFUNCTION("""COMPUTED_VALUE"""),"148136;INF789F1AOC4;-;UTI - Medium Term Fund (Segregated - 17022020) - Direct Plan - Growth Option;0.3663;27-Jan-2022")</f>
        <v>148136;INF789F1AOC4;-;UTI - Medium Term Fund (Segregated - 17022020) - Direct Plan - Growth Option;0.3663;27-Jan-2022</v>
      </c>
      <c r="B2784" s="1"/>
    </row>
    <row r="2785">
      <c r="A2785" s="1" t="str">
        <f>IFERROR(__xludf.DUMMYFUNCTION("""COMPUTED_VALUE"""),"148138;INF789F1AON1;-;UTI - Medium Term Fund (Segregated - 17022020) - Regular Plan - Growth Option;0.3488;27-Jan-2022")</f>
        <v>148138;INF789F1AON1;-;UTI - Medium Term Fund (Segregated - 17022020) - Regular Plan - Growth Option;0.3488;27-Jan-2022</v>
      </c>
      <c r="B2785" s="1"/>
    </row>
    <row r="2786">
      <c r="A2786" s="1" t="str">
        <f>IFERROR(__xludf.DUMMYFUNCTION("""COMPUTED_VALUE"""),"148129;INF789F1AOD2;INF789F1AOE0;UTI Medium Term Fund ( Segregated - 17022020 ) - Direct Plan - Annual IDCW;0.2973;27-Jan-2022")</f>
        <v>148129;INF789F1AOD2;INF789F1AOE0;UTI Medium Term Fund ( Segregated - 17022020 ) - Direct Plan - Annual IDCW;0.2973;27-Jan-2022</v>
      </c>
      <c r="B2786" s="1"/>
    </row>
    <row r="2787">
      <c r="A2787" s="1" t="str">
        <f>IFERROR(__xludf.DUMMYFUNCTION("""COMPUTED_VALUE"""),"148135;INF789F1AOH3;INF789F1AOI1;UTI Medium Term Fund ( Segregated - 17022020 ) - Direct Plan - Flexi IDCW;0.2864;27-Jan-2022")</f>
        <v>148135;INF789F1AOH3;INF789F1AOI1;UTI Medium Term Fund ( Segregated - 17022020 ) - Direct Plan - Flexi IDCW;0.2864;27-Jan-2022</v>
      </c>
      <c r="B2787" s="1"/>
    </row>
    <row r="2788">
      <c r="A2788" s="1" t="str">
        <f>IFERROR(__xludf.DUMMYFUNCTION("""COMPUTED_VALUE"""),"148134;INF789F1AOF7;INF789F1AOG5;UTI Medium Term Fund ( Segregated - 17022020 ) - Direct Plan - Half-Yearly IDCW;0.2895;27-Jan-2022")</f>
        <v>148134;INF789F1AOF7;INF789F1AOG5;UTI Medium Term Fund ( Segregated - 17022020 ) - Direct Plan - Half-Yearly IDCW;0.2895;27-Jan-2022</v>
      </c>
      <c r="B2788" s="1"/>
    </row>
    <row r="2789">
      <c r="A2789" s="1" t="str">
        <f>IFERROR(__xludf.DUMMYFUNCTION("""COMPUTED_VALUE"""),"148137;INF789F1AOJ9;INF789F1AOK7;UTI Medium Term Fund ( Segregated - 17022020 ) - Direct Plan - Monthly IDCW;0.2595;27-Jan-2022")</f>
        <v>148137;INF789F1AOJ9;INF789F1AOK7;UTI Medium Term Fund ( Segregated - 17022020 ) - Direct Plan - Monthly IDCW;0.2595;27-Jan-2022</v>
      </c>
      <c r="B2789" s="1"/>
    </row>
    <row r="2790">
      <c r="A2790" s="1" t="str">
        <f>IFERROR(__xludf.DUMMYFUNCTION("""COMPUTED_VALUE"""),"148131;INF789F1AOA8;INF789F1AOB6;UTI Medium Term Fund ( Segregated - 17022020 ) - Direct Plan - Quarterly IDCW;0.2867;27-Jan-2022")</f>
        <v>148131;INF789F1AOA8;INF789F1AOB6;UTI Medium Term Fund ( Segregated - 17022020 ) - Direct Plan - Quarterly IDCW;0.2867;27-Jan-2022</v>
      </c>
      <c r="B2790" s="1"/>
    </row>
    <row r="2791">
      <c r="A2791" s="1" t="str">
        <f>IFERROR(__xludf.DUMMYFUNCTION("""COMPUTED_VALUE"""),"148128;INF789F1AOO9;INF789F1AOP6;UTI Medium Term Fund ( Segregated - 17022020 ) - Regular Plan - Annual IDCW;0.2818;27-Jan-2022")</f>
        <v>148128;INF789F1AOO9;INF789F1AOP6;UTI Medium Term Fund ( Segregated - 17022020 ) - Regular Plan - Annual IDCW;0.2818;27-Jan-2022</v>
      </c>
      <c r="B2791" s="1"/>
    </row>
    <row r="2792">
      <c r="A2792" s="1" t="str">
        <f>IFERROR(__xludf.DUMMYFUNCTION("""COMPUTED_VALUE"""),"148127;INF789F1AOS0;INF789F1AOT8;UTI Medium Term Fund ( Segregated - 17022020 ) - Regular Plan - Flexi IDCW;0.2488;27-Jan-2022")</f>
        <v>148127;INF789F1AOS0;INF789F1AOT8;UTI Medium Term Fund ( Segregated - 17022020 ) - Regular Plan - Flexi IDCW;0.2488;27-Jan-2022</v>
      </c>
      <c r="B2792" s="1"/>
    </row>
    <row r="2793">
      <c r="A2793" s="1" t="str">
        <f>IFERROR(__xludf.DUMMYFUNCTION("""COMPUTED_VALUE"""),"148133;INF789F1AOQ4;INF789F1AOR2;UTI Medium Term Fund ( Segregated - 17022020 ) - Regular Plan - Half-Yearly IDCW;0.2764;27-Jan-2022")</f>
        <v>148133;INF789F1AOQ4;INF789F1AOR2;UTI Medium Term Fund ( Segregated - 17022020 ) - Regular Plan - Half-Yearly IDCW;0.2764;27-Jan-2022</v>
      </c>
      <c r="B2793" s="1"/>
    </row>
    <row r="2794">
      <c r="A2794" s="1" t="str">
        <f>IFERROR(__xludf.DUMMYFUNCTION("""COMPUTED_VALUE"""),"148132;INF789F1AOU6;INF789F1AOV4;UTI Medium Term Fund ( Segregated - 17022020 ) - Regular Plan - Monthly IDCW;0.2515;27-Jan-2022")</f>
        <v>148132;INF789F1AOU6;INF789F1AOV4;UTI Medium Term Fund ( Segregated - 17022020 ) - Regular Plan - Monthly IDCW;0.2515;27-Jan-2022</v>
      </c>
      <c r="B2794" s="1"/>
    </row>
    <row r="2795">
      <c r="A2795" s="1" t="str">
        <f>IFERROR(__xludf.DUMMYFUNCTION("""COMPUTED_VALUE"""),"148130;INF789F1AOL5;INF789F1AOM3;UTI Medium Term Fund ( Segregated - 17022020 ) - Regular Plan - Quarterly IDCW;0.2721;27-Jan-2022")</f>
        <v>148130;INF789F1AOL5;INF789F1AOM3;UTI Medium Term Fund ( Segregated - 17022020 ) - Regular Plan - Quarterly IDCW;0.2721;27-Jan-2022</v>
      </c>
      <c r="B2795" s="1"/>
    </row>
    <row r="2796">
      <c r="A2796" s="1"/>
      <c r="B2796" s="1"/>
    </row>
    <row r="2797">
      <c r="A2797" s="1" t="str">
        <f>IFERROR(__xludf.DUMMYFUNCTION("""COMPUTED_VALUE"""),"Open Ended Schemes(Debt Scheme - Medium to Long Duration Fund)")</f>
        <v>Open Ended Schemes(Debt Scheme - Medium to Long Duration Fund)</v>
      </c>
      <c r="B2797" s="1"/>
    </row>
    <row r="2798">
      <c r="A2798" s="1"/>
      <c r="B2798" s="1"/>
    </row>
    <row r="2799">
      <c r="A2799" s="1" t="str">
        <f>IFERROR(__xludf.DUMMYFUNCTION("""COMPUTED_VALUE"""),"Aditya Birla Sun Life Mutual Fund")</f>
        <v>Aditya Birla Sun Life Mutual Fund</v>
      </c>
      <c r="B2799" s="1"/>
    </row>
    <row r="2800">
      <c r="A2800" s="1"/>
      <c r="B2800" s="1"/>
    </row>
    <row r="2801">
      <c r="A2801" s="1" t="str">
        <f>IFERROR(__xludf.DUMMYFUNCTION("""COMPUTED_VALUE"""),"111777;INF209K01LD8;-;Aditya Birla Sun Life Income Fund (Discipline Advantage Plan);27.5363;25-Aug-2023")</f>
        <v>111777;INF209K01LD8;-;Aditya Birla Sun Life Income Fund (Discipline Advantage Plan);27.5363;25-Aug-2023</v>
      </c>
      <c r="B2801" s="1"/>
    </row>
    <row r="2802">
      <c r="A2802" s="1" t="str">
        <f>IFERROR(__xludf.DUMMYFUNCTION("""COMPUTED_VALUE"""),"133446;INF209KA1WL2;INF209KA1WM0;Aditya Birla Sun Life Income Fund - Direct - IDCW;13.343;25-Aug-2023")</f>
        <v>133446;INF209KA1WL2;INF209KA1WM0;Aditya Birla Sun Life Income Fund - Direct - IDCW;13.343;25-Aug-2023</v>
      </c>
      <c r="B2802" s="1"/>
    </row>
    <row r="2803">
      <c r="A2803" s="1" t="str">
        <f>IFERROR(__xludf.DUMMYFUNCTION("""COMPUTED_VALUE"""),"119655;INF209K01WZ8;-;Aditya Birla Sun Life Income Fund - Direct - Quarterly IDCW;14.1077;25-Aug-2023")</f>
        <v>119655;INF209K01WZ8;-;Aditya Birla Sun Life Income Fund - Direct - Quarterly IDCW;14.1077;25-Aug-2023</v>
      </c>
      <c r="B2803" s="1"/>
    </row>
    <row r="2804">
      <c r="A2804" s="1" t="str">
        <f>IFERROR(__xludf.DUMMYFUNCTION("""COMPUTED_VALUE"""),"119657;INF209K01WY1;-;Aditya Birla Sun Life Income Fund - Growth - Direct Plan;116.7527;25-Aug-2023")</f>
        <v>119657;INF209K01WY1;-;Aditya Birla Sun Life Income Fund - Growth - Direct Plan;116.7527;25-Aug-2023</v>
      </c>
      <c r="B2804" s="1"/>
    </row>
    <row r="2805">
      <c r="A2805" s="1" t="str">
        <f>IFERROR(__xludf.DUMMYFUNCTION("""COMPUTED_VALUE"""),"100038;INF209K01579;-;Aditya Birla Sun Life Income Fund - Growth - Regular Plan;109.1487;25-Aug-2023")</f>
        <v>100038;INF209K01579;-;Aditya Birla Sun Life Income Fund - Growth - Regular Plan;109.1487;25-Aug-2023</v>
      </c>
      <c r="B2805" s="1"/>
    </row>
    <row r="2806">
      <c r="A2806" s="1" t="str">
        <f>IFERROR(__xludf.DUMMYFUNCTION("""COMPUTED_VALUE"""),"133445;INF209KA1WJ6;INF209KA1WK4;Aditya Birla Sun Life Income Fund - Regular - IDCW;12.622;25-Aug-2023")</f>
        <v>133445;INF209KA1WJ6;INF209KA1WK4;Aditya Birla Sun Life Income Fund - Regular - IDCW;12.622;25-Aug-2023</v>
      </c>
      <c r="B2806" s="1"/>
    </row>
    <row r="2807">
      <c r="A2807" s="1" t="str">
        <f>IFERROR(__xludf.DUMMYFUNCTION("""COMPUTED_VALUE"""),"100037;INF209K01587;INF209K01CY3;Aditya Birla Sun Life Income Fund - Regular - Quarterly IDCW;13.2485;25-Aug-2023")</f>
        <v>100037;INF209K01587;INF209K01CY3;Aditya Birla Sun Life Income Fund - Regular - Quarterly IDCW;13.2485;25-Aug-2023</v>
      </c>
      <c r="B2807" s="1"/>
    </row>
    <row r="2808">
      <c r="A2808" s="1"/>
      <c r="B2808" s="1"/>
    </row>
    <row r="2809">
      <c r="A2809" s="1" t="str">
        <f>IFERROR(__xludf.DUMMYFUNCTION("""COMPUTED_VALUE"""),"Bandhan Mutual Fund")</f>
        <v>Bandhan Mutual Fund</v>
      </c>
      <c r="B2809" s="1"/>
    </row>
    <row r="2810">
      <c r="A2810" s="1"/>
      <c r="B2810" s="1"/>
    </row>
    <row r="2811">
      <c r="A2811" s="1" t="str">
        <f>IFERROR(__xludf.DUMMYFUNCTION("""COMPUTED_VALUE"""),"108766;INF194K01IN7;INF194K01IM9;BANDHAN Bond Fund - Income Plan - Regular Plan - Annual IDCW;11.6946;25-Aug-2023")</f>
        <v>108766;INF194K01IN7;INF194K01IM9;BANDHAN Bond Fund - Income Plan - Regular Plan - Annual IDCW;11.6946;25-Aug-2023</v>
      </c>
      <c r="B2811" s="1"/>
    </row>
    <row r="2812">
      <c r="A2812" s="1" t="str">
        <f>IFERROR(__xludf.DUMMYFUNCTION("""COMPUTED_VALUE"""),"108765;INF194K01IL1;-;BANDHAN Bond Fund - Income Plan - Regular Plan - Growth;57.0919;25-Aug-2023")</f>
        <v>108765;INF194K01IL1;-;BANDHAN Bond Fund - Income Plan - Regular Plan - Growth;57.0919;25-Aug-2023</v>
      </c>
      <c r="B2812" s="1"/>
    </row>
    <row r="2813">
      <c r="A2813" s="1" t="str">
        <f>IFERROR(__xludf.DUMMYFUNCTION("""COMPUTED_VALUE"""),"108763;INF194K01IQ0;INF194K01IP2;BANDHAN Bond Fund - Income Plan - Regular Plan - Half-yearly IDCW;11.8923;25-Aug-2023")</f>
        <v>108763;INF194K01IQ0;INF194K01IP2;BANDHAN Bond Fund - Income Plan - Regular Plan - Half-yearly IDCW;11.8923;25-Aug-2023</v>
      </c>
      <c r="B2813" s="1"/>
    </row>
    <row r="2814">
      <c r="A2814" s="1" t="str">
        <f>IFERROR(__xludf.DUMMYFUNCTION("""COMPUTED_VALUE"""),"131387;INF194KA1SU8;INF194KA1SV6;BANDHAN Bond Fund - Income Plan - Regular Plan - Periodic IDCW;12.2533;25-Aug-2023")</f>
        <v>131387;INF194KA1SU8;INF194KA1SV6;BANDHAN Bond Fund - Income Plan - Regular Plan - Periodic IDCW;12.2533;25-Aug-2023</v>
      </c>
      <c r="B2814" s="1"/>
    </row>
    <row r="2815">
      <c r="A2815" s="1" t="str">
        <f>IFERROR(__xludf.DUMMYFUNCTION("""COMPUTED_VALUE"""),"108764;INF194K01IT4;INF194K01IS6;BANDHAN Bond Fund - Income Plan - Regular Plan - Quarterly IDCW;11.9099;25-Aug-2023")</f>
        <v>108764;INF194K01IT4;INF194K01IS6;BANDHAN Bond Fund - Income Plan - Regular Plan - Quarterly IDCW;11.9099;25-Aug-2023</v>
      </c>
      <c r="B2815" s="1"/>
    </row>
    <row r="2816">
      <c r="A2816" s="1" t="str">
        <f>IFERROR(__xludf.DUMMYFUNCTION("""COMPUTED_VALUE"""),"118393;INF194K01R77;INF194K01R69;BANDHAN Bond Fund - Income Plan-Direct Plan-Annual IDCW;16.0240;25-Aug-2023")</f>
        <v>118393;INF194K01R77;INF194K01R69;BANDHAN Bond Fund - Income Plan-Direct Plan-Annual IDCW;16.0240;25-Aug-2023</v>
      </c>
      <c r="B2816" s="1"/>
    </row>
    <row r="2817">
      <c r="A2817" s="1" t="str">
        <f>IFERROR(__xludf.DUMMYFUNCTION("""COMPUTED_VALUE"""),"118394;INF194K01R51;-;BANDHAN Bond Fund - Income Plan-Direct Plan-Growth;61.7018;25-Aug-2023")</f>
        <v>118394;INF194K01R51;-;BANDHAN Bond Fund - Income Plan-Direct Plan-Growth;61.7018;25-Aug-2023</v>
      </c>
      <c r="B2817" s="1"/>
    </row>
    <row r="2818">
      <c r="A2818" s="1" t="str">
        <f>IFERROR(__xludf.DUMMYFUNCTION("""COMPUTED_VALUE"""),"118395;INF194K01S01;INF194K01R93;BANDHAN Bond Fund - Income Plan-Direct Plan-Half Yearly IDCW;12.8015;25-Aug-2023")</f>
        <v>118395;INF194K01S01;INF194K01R93;BANDHAN Bond Fund - Income Plan-Direct Plan-Half Yearly IDCW;12.8015;25-Aug-2023</v>
      </c>
      <c r="B2818" s="1"/>
    </row>
    <row r="2819">
      <c r="A2819" s="1" t="str">
        <f>IFERROR(__xludf.DUMMYFUNCTION("""COMPUTED_VALUE"""),"131386;INF194KA1SX2;INF194KA1SY0;BANDHAN Bond Fund - Income Plan-Direct Plan-Periodic IDCW;15.0055;25-Aug-2023")</f>
        <v>131386;INF194KA1SX2;INF194KA1SY0;BANDHAN Bond Fund - Income Plan-Direct Plan-Periodic IDCW;15.0055;25-Aug-2023</v>
      </c>
      <c r="B2819" s="1"/>
    </row>
    <row r="2820">
      <c r="A2820" s="1" t="str">
        <f>IFERROR(__xludf.DUMMYFUNCTION("""COMPUTED_VALUE"""),"118396;INF194K01S35;INF194K01S27;BANDHAN Bond Fund - Income Plan-Direct Plan-Quarterly IDCW;12.4623;25-Aug-2023")</f>
        <v>118396;INF194K01S35;INF194K01S27;BANDHAN Bond Fund - Income Plan-Direct Plan-Quarterly IDCW;12.4623;25-Aug-2023</v>
      </c>
      <c r="B2820" s="1"/>
    </row>
    <row r="2821">
      <c r="A2821" s="1" t="str">
        <f>IFERROR(__xludf.DUMMYFUNCTION("""COMPUTED_VALUE"""),"108768;INF194K01HF5;-;BANDHAN Bond Fund - Short Term - Regular Plan - Growth;49.4148;25-Aug-2023")</f>
        <v>108768;INF194K01HF5;-;BANDHAN Bond Fund - Short Term - Regular Plan - Growth;49.4148;25-Aug-2023</v>
      </c>
      <c r="B2821" s="1"/>
    </row>
    <row r="2822">
      <c r="A2822" s="1" t="str">
        <f>IFERROR(__xludf.DUMMYFUNCTION("""COMPUTED_VALUE"""),"108767;INF194K01HH1;INF194K01HG3;BANDHAN Bond Fund - Short Term - Regular Plan - Monthly IDCW;10.3894;25-Aug-2023")</f>
        <v>108767;INF194K01HH1;INF194K01HG3;BANDHAN Bond Fund - Short Term - Regular Plan - Monthly IDCW;10.3894;25-Aug-2023</v>
      </c>
      <c r="B2822" s="1"/>
    </row>
    <row r="2823">
      <c r="A2823" s="1"/>
      <c r="B2823" s="1"/>
    </row>
    <row r="2824">
      <c r="A2824" s="1" t="str">
        <f>IFERROR(__xludf.DUMMYFUNCTION("""COMPUTED_VALUE"""),"Bank of India Mutual Fund")</f>
        <v>Bank of India Mutual Fund</v>
      </c>
      <c r="B2824" s="1"/>
    </row>
    <row r="2825">
      <c r="A2825" s="1"/>
      <c r="B2825" s="1"/>
    </row>
    <row r="2826">
      <c r="A2826" s="1" t="str">
        <f>IFERROR(__xludf.DUMMYFUNCTION("""COMPUTED_VALUE"""),"119395;INF761K01850;INF761K01843;BANK OF INDIA Conservative Hybrid  Fund-Direct Plan-Quarterly IDCW;15.1899;25-Aug-2023")</f>
        <v>119395;INF761K01850;INF761K01843;BANK OF INDIA Conservative Hybrid  Fund-Direct Plan-Quarterly IDCW;15.1899;25-Aug-2023</v>
      </c>
      <c r="B2826" s="1"/>
    </row>
    <row r="2827">
      <c r="A2827" s="1" t="str">
        <f>IFERROR(__xludf.DUMMYFUNCTION("""COMPUTED_VALUE"""),"111718;INF761K01439;INF761K01421;BANK OF INDIA Conservative Hybrid  Fund-ECO Plan-Quarterly IDCW;10.3674;01-Jan-2021")</f>
        <v>111718;INF761K01439;INF761K01421;BANK OF INDIA Conservative Hybrid  Fund-ECO Plan-Quarterly IDCW;10.3674;01-Jan-2021</v>
      </c>
      <c r="B2827" s="1"/>
    </row>
    <row r="2828">
      <c r="A2828" s="1" t="str">
        <f>IFERROR(__xludf.DUMMYFUNCTION("""COMPUTED_VALUE"""),"119393;INF761K01819;-;BANK OF INDIA Conservative Hybrid Fund Fund-Direct Plan-Growth;30.9006;25-Aug-2023")</f>
        <v>119393;INF761K01819;-;BANK OF INDIA Conservative Hybrid Fund Fund-Direct Plan-Growth;30.9006;25-Aug-2023</v>
      </c>
      <c r="B2828" s="1"/>
    </row>
    <row r="2829">
      <c r="A2829" s="1" t="str">
        <f>IFERROR(__xludf.DUMMYFUNCTION("""COMPUTED_VALUE"""),"119396;INF761K01793;INF761K01801;BANK OF INDIA Conservative Hybrid Fund-Direct Plan-Annual IDCW;14.0869;25-Aug-2023")</f>
        <v>119396;INF761K01793;INF761K01801;BANK OF INDIA Conservative Hybrid Fund-Direct Plan-Annual IDCW;14.0869;25-Aug-2023</v>
      </c>
      <c r="B2829" s="1"/>
    </row>
    <row r="2830">
      <c r="A2830" s="1" t="str">
        <f>IFERROR(__xludf.DUMMYFUNCTION("""COMPUTED_VALUE"""),"119394;INF761K01835;INF761K01827;BANK OF INDIA Conservative Hybrid Fund-Direct Plan-Monthly IDCW;13.7717;25-Aug-2023")</f>
        <v>119394;INF761K01835;INF761K01827;BANK OF INDIA Conservative Hybrid Fund-Direct Plan-Monthly IDCW;13.7717;25-Aug-2023</v>
      </c>
      <c r="B2830" s="1"/>
    </row>
    <row r="2831">
      <c r="A2831" s="1" t="str">
        <f>IFERROR(__xludf.DUMMYFUNCTION("""COMPUTED_VALUE"""),"111715;INF761K01397;-;BANK OF INDIA Conservative Hybrid Fund-ECO Plan-Growth;30.1387;25-Aug-2023")</f>
        <v>111715;INF761K01397;-;BANK OF INDIA Conservative Hybrid Fund-ECO Plan-Growth;30.1387;25-Aug-2023</v>
      </c>
      <c r="B2831" s="1"/>
    </row>
    <row r="2832">
      <c r="A2832" s="1" t="str">
        <f>IFERROR(__xludf.DUMMYFUNCTION("""COMPUTED_VALUE"""),"111717;INF761K01413;INF761K01405;BANK OF INDIA Conservative Hybrid Fund-ECO Plan-Monthly IDCW;22.8258;25-Aug-2023")</f>
        <v>111717;INF761K01413;INF761K01405;BANK OF INDIA Conservative Hybrid Fund-ECO Plan-Monthly IDCW;22.8258;25-Aug-2023</v>
      </c>
      <c r="B2832" s="1"/>
    </row>
    <row r="2833">
      <c r="A2833" s="1" t="str">
        <f>IFERROR(__xludf.DUMMYFUNCTION("""COMPUTED_VALUE"""),"111714;INF761K01454;INF761K01447;BANK OF INDIA Conservative Hybrid Fund-Regular Plan-Annual IDCW;14.2395;25-Aug-2023")</f>
        <v>111714;INF761K01454;INF761K01447;BANK OF INDIA Conservative Hybrid Fund-Regular Plan-Annual IDCW;14.2395;25-Aug-2023</v>
      </c>
      <c r="B2833" s="1"/>
    </row>
    <row r="2834">
      <c r="A2834" s="1" t="str">
        <f>IFERROR(__xludf.DUMMYFUNCTION("""COMPUTED_VALUE"""),"111712;INF761K01462;-;BANK OF INDIA Conservative Hybrid Fund-Regular Plan-Growth;29.3342;25-Aug-2023")</f>
        <v>111712;INF761K01462;-;BANK OF INDIA Conservative Hybrid Fund-Regular Plan-Growth;29.3342;25-Aug-2023</v>
      </c>
      <c r="B2834" s="1"/>
    </row>
    <row r="2835">
      <c r="A2835" s="1" t="str">
        <f>IFERROR(__xludf.DUMMYFUNCTION("""COMPUTED_VALUE"""),"111716;INF761K01488;INF761K01470;BANK OF INDIA Conservative Hybrid Fund-Regular Plan-Monthly IDCW;15.1024;25-Aug-2023")</f>
        <v>111716;INF761K01488;INF761K01470;BANK OF INDIA Conservative Hybrid Fund-Regular Plan-Monthly IDCW;15.1024;25-Aug-2023</v>
      </c>
      <c r="B2835" s="1"/>
    </row>
    <row r="2836">
      <c r="A2836" s="1" t="str">
        <f>IFERROR(__xludf.DUMMYFUNCTION("""COMPUTED_VALUE"""),"111713;INF761K01504;INF761K01496;BANK OF INDIA Conservative Hybrid Fund-Regular Plan-Quarterly IDCW;15.6530;25-Aug-2023")</f>
        <v>111713;INF761K01504;INF761K01496;BANK OF INDIA Conservative Hybrid Fund-Regular Plan-Quarterly IDCW;15.6530;25-Aug-2023</v>
      </c>
      <c r="B2836" s="1"/>
    </row>
    <row r="2837">
      <c r="A2837" s="1"/>
      <c r="B2837" s="1"/>
    </row>
    <row r="2838">
      <c r="A2838" s="1" t="str">
        <f>IFERROR(__xludf.DUMMYFUNCTION("""COMPUTED_VALUE"""),"Canara Robeco Mutual Fund")</f>
        <v>Canara Robeco Mutual Fund</v>
      </c>
      <c r="B2838" s="1"/>
    </row>
    <row r="2839">
      <c r="A2839" s="1"/>
      <c r="B2839" s="1"/>
    </row>
    <row r="2840">
      <c r="A2840" s="1" t="str">
        <f>IFERROR(__xludf.DUMMYFUNCTION("""COMPUTED_VALUE"""),"118282;INF760K01FI1;-;CANARA ROBECO INCOME FUND - DIRECT PLAN - GROWTH OPTION;53.6356;25-Aug-2023")</f>
        <v>118282;INF760K01FI1;-;CANARA ROBECO INCOME FUND - DIRECT PLAN - GROWTH OPTION;53.6356;25-Aug-2023</v>
      </c>
      <c r="B2840" s="1"/>
    </row>
    <row r="2841">
      <c r="A2841" s="1" t="str">
        <f>IFERROR(__xludf.DUMMYFUNCTION("""COMPUTED_VALUE"""),"118281;INF760K01FG5;INF760K01FH3;CANARA ROBECO INCOME FUND - DIRECT PLAN - QUARTERLY IDCW (Payout/Reinvestment);16.2999;25-Aug-2023")</f>
        <v>118281;INF760K01FG5;INF760K01FH3;CANARA ROBECO INCOME FUND - DIRECT PLAN - QUARTERLY IDCW (Payout/Reinvestment);16.2999;25-Aug-2023</v>
      </c>
      <c r="B2841" s="1"/>
    </row>
    <row r="2842">
      <c r="A2842" s="1" t="str">
        <f>IFERROR(__xludf.DUMMYFUNCTION("""COMPUTED_VALUE"""),"101588;INF760K01324;-;CANARA ROBECO INCOME FUND - REGULAR PLAN - GROWTH OPTION;48.8431;25-Aug-2023")</f>
        <v>101588;INF760K01324;-;CANARA ROBECO INCOME FUND - REGULAR PLAN - GROWTH OPTION;48.8431;25-Aug-2023</v>
      </c>
      <c r="B2842" s="1"/>
    </row>
    <row r="2843">
      <c r="A2843" s="1" t="str">
        <f>IFERROR(__xludf.DUMMYFUNCTION("""COMPUTED_VALUE"""),"101587;INF760K01340;INF760K01357;CANARA ROBECO INCOME FUND - REGULAR PLAN - QUARTERLY IDCW (Payout/Reinvestment);14.6234;25-Aug-2023")</f>
        <v>101587;INF760K01340;INF760K01357;CANARA ROBECO INCOME FUND - REGULAR PLAN - QUARTERLY IDCW (Payout/Reinvestment);14.6234;25-Aug-2023</v>
      </c>
      <c r="B2843" s="1"/>
    </row>
    <row r="2844">
      <c r="A2844" s="1"/>
      <c r="B2844" s="1"/>
    </row>
    <row r="2845">
      <c r="A2845" s="1" t="str">
        <f>IFERROR(__xludf.DUMMYFUNCTION("""COMPUTED_VALUE"""),"HDFC Mutual Fund")</f>
        <v>HDFC Mutual Fund</v>
      </c>
      <c r="B2845" s="1"/>
    </row>
    <row r="2846">
      <c r="A2846" s="1"/>
      <c r="B2846" s="1"/>
    </row>
    <row r="2847">
      <c r="A2847" s="1" t="str">
        <f>IFERROR(__xludf.DUMMYFUNCTION("""COMPUTED_VALUE"""),"100124;INF179K01962;-;HDFC Income Fund - Growth Option;50.2132;25-Aug-2023")</f>
        <v>100124;INF179K01962;-;HDFC Income Fund - Growth Option;50.2132;25-Aug-2023</v>
      </c>
      <c r="B2847" s="1"/>
    </row>
    <row r="2848">
      <c r="A2848" s="1" t="str">
        <f>IFERROR(__xludf.DUMMYFUNCTION("""COMPUTED_VALUE"""),"119069;INF179K01WL3;-;HDFC Income Fund - Growth Option - Direct Plan;55.0656;25-Aug-2023")</f>
        <v>119069;INF179K01WL3;-;HDFC Income Fund - Growth Option - Direct Plan;55.0656;25-Aug-2023</v>
      </c>
      <c r="B2848" s="1"/>
    </row>
    <row r="2849">
      <c r="A2849" s="1" t="str">
        <f>IFERROR(__xludf.DUMMYFUNCTION("""COMPUTED_VALUE"""),"133365;INF179KA1Q12;-;HDFC Income Fund - Normal IDCW - Direct Plan;17.414;25-Aug-2023")</f>
        <v>133365;INF179KA1Q12;-;HDFC Income Fund - Normal IDCW - Direct Plan;17.414;25-Aug-2023</v>
      </c>
      <c r="B2849" s="1"/>
    </row>
    <row r="2850">
      <c r="A2850" s="1" t="str">
        <f>IFERROR(__xludf.DUMMYFUNCTION("""COMPUTED_VALUE"""),"133366;INF179KA1Q38;-;HDFC Income Fund - Normal IDCW Option;15.8352;25-Aug-2023")</f>
        <v>133366;INF179KA1Q38;-;HDFC Income Fund - Normal IDCW Option;15.8352;25-Aug-2023</v>
      </c>
      <c r="B2850" s="1"/>
    </row>
    <row r="2851">
      <c r="A2851" s="1" t="str">
        <f>IFERROR(__xludf.DUMMYFUNCTION("""COMPUTED_VALUE"""),"100123;INF179K01947;INF179K01954;HDFC Income Fund - Quarterly IDCW Option;10.9296;25-Aug-2023")</f>
        <v>100123;INF179K01947;INF179K01954;HDFC Income Fund - Quarterly IDCW Option;10.9296;25-Aug-2023</v>
      </c>
      <c r="B2851" s="1"/>
    </row>
    <row r="2852">
      <c r="A2852" s="1" t="str">
        <f>IFERROR(__xludf.DUMMYFUNCTION("""COMPUTED_VALUE"""),"119068;INF179K01WJ7;INF179K01WK5;HDFC Income Fund - Quarterly IDCW- Direct Plan;12.2636;25-Aug-2023")</f>
        <v>119068;INF179K01WJ7;INF179K01WK5;HDFC Income Fund - Quarterly IDCW- Direct Plan;12.2636;25-Aug-2023</v>
      </c>
      <c r="B2852" s="1"/>
    </row>
    <row r="2853">
      <c r="A2853" s="1"/>
      <c r="B2853" s="1"/>
    </row>
    <row r="2854">
      <c r="A2854" s="1" t="str">
        <f>IFERROR(__xludf.DUMMYFUNCTION("""COMPUTED_VALUE"""),"HSBC Mutual Fund")</f>
        <v>HSBC Mutual Fund</v>
      </c>
      <c r="B2854" s="1"/>
    </row>
    <row r="2855">
      <c r="A2855" s="1"/>
      <c r="B2855" s="1"/>
    </row>
    <row r="2856">
      <c r="A2856" s="1" t="str">
        <f>IFERROR(__xludf.DUMMYFUNCTION("""COMPUTED_VALUE"""),"120059;INF336L01DE2;-;HSBC Medium to Long Duration Fund - Direct Growth;40.28;25-Aug-2023")</f>
        <v>120059;INF336L01DE2;-;HSBC Medium to Long Duration Fund - Direct Growth;40.28;25-Aug-2023</v>
      </c>
      <c r="B2856" s="1"/>
    </row>
    <row r="2857">
      <c r="A2857" s="1" t="str">
        <f>IFERROR(__xludf.DUMMYFUNCTION("""COMPUTED_VALUE"""),"120101;INF336L01EO9;INF336L01EP6;HSBC Medium to Long Duration Fund - Direct Quarterly IDCW;10.6362;25-Aug-2023")</f>
        <v>120101;INF336L01EO9;INF336L01EP6;HSBC Medium to Long Duration Fund - Direct Quarterly IDCW;10.6362;25-Aug-2023</v>
      </c>
      <c r="B2857" s="1"/>
    </row>
    <row r="2858">
      <c r="A2858" s="1" t="str">
        <f>IFERROR(__xludf.DUMMYFUNCTION("""COMPUTED_VALUE"""),"101685;INF336L01776;-;HSBC Medium to Long Duration Fund - Regular Growth;36.9023;25-Aug-2023")</f>
        <v>101685;INF336L01776;-;HSBC Medium to Long Duration Fund - Regular Growth;36.9023;25-Aug-2023</v>
      </c>
      <c r="B2858" s="1"/>
    </row>
    <row r="2859">
      <c r="A2859" s="1" t="str">
        <f>IFERROR(__xludf.DUMMYFUNCTION("""COMPUTED_VALUE"""),"101686;INF336L01784;INF336L01792;HSBC Medium to Long Duration Fund - Regular Quarterly IDCW;10.6494;25-Aug-2023")</f>
        <v>101686;INF336L01784;INF336L01792;HSBC Medium to Long Duration Fund - Regular Quarterly IDCW;10.6494;25-Aug-2023</v>
      </c>
      <c r="B2859" s="1"/>
    </row>
    <row r="2860">
      <c r="A2860" s="1"/>
      <c r="B2860" s="1"/>
    </row>
    <row r="2861">
      <c r="A2861" s="1" t="str">
        <f>IFERROR(__xludf.DUMMYFUNCTION("""COMPUTED_VALUE"""),"ICICI Prudential Mutual Fund")</f>
        <v>ICICI Prudential Mutual Fund</v>
      </c>
      <c r="B2861" s="1"/>
    </row>
    <row r="2862">
      <c r="A2862" s="1"/>
      <c r="B2862" s="1"/>
    </row>
    <row r="2863">
      <c r="A2863" s="1" t="str">
        <f>IFERROR(__xludf.DUMMYFUNCTION("""COMPUTED_VALUE"""),"130932;INF109KA1C72;-;ICICI Prudential Bond Fund - Bonus;12.4602;02-Jul-2018")</f>
        <v>130932;INF109KA1C72;-;ICICI Prudential Bond Fund - Bonus;12.4602;02-Jul-2018</v>
      </c>
      <c r="B2863" s="1"/>
    </row>
    <row r="2864">
      <c r="A2864" s="1" t="str">
        <f>IFERROR(__xludf.DUMMYFUNCTION("""COMPUTED_VALUE"""),"120619;INF109K01V83;-;ICICI Prudential Bond Fund - Direct Plan - Growth;36.2774;25-Aug-2023")</f>
        <v>120619;INF109K01V83;-;ICICI Prudential Bond Fund - Direct Plan - Growth;36.2774;25-Aug-2023</v>
      </c>
      <c r="B2864" s="1"/>
    </row>
    <row r="2865">
      <c r="A2865" s="1" t="str">
        <f>IFERROR(__xludf.DUMMYFUNCTION("""COMPUTED_VALUE"""),"131480;INF109KA1X77;INF109KA1X69;ICICI Prudential Bond Fund - Direct Plan - Half Yearly IDCW;10.6953;25-Aug-2023")</f>
        <v>131480;INF109KA1X77;INF109KA1X69;ICICI Prudential Bond Fund - Direct Plan - Half Yearly IDCW;10.6953;25-Aug-2023</v>
      </c>
      <c r="B2865" s="1"/>
    </row>
    <row r="2866">
      <c r="A2866" s="1" t="str">
        <f>IFERROR(__xludf.DUMMYFUNCTION("""COMPUTED_VALUE"""),"120617;INF109K01V59;INF109K01V67;ICICI Prudential Bond Fund - Direct Plan - IDCW Monthly;11.5579;25-Aug-2023")</f>
        <v>120617;INF109K01V59;INF109K01V67;ICICI Prudential Bond Fund - Direct Plan - IDCW Monthly;11.5579;25-Aug-2023</v>
      </c>
      <c r="B2866" s="1"/>
    </row>
    <row r="2867">
      <c r="A2867" s="1" t="str">
        <f>IFERROR(__xludf.DUMMYFUNCTION("""COMPUTED_VALUE"""),"120618;INF109K01V75;INF109K01V91;ICICI Prudential Bond Fund - Direct Plan - IDCW Quarterly;11.5861;25-Aug-2023")</f>
        <v>120618;INF109K01V75;INF109K01V91;ICICI Prudential Bond Fund - Direct Plan - IDCW Quarterly;11.5861;25-Aug-2023</v>
      </c>
      <c r="B2867" s="1"/>
    </row>
    <row r="2868">
      <c r="A2868" s="1" t="str">
        <f>IFERROR(__xludf.DUMMYFUNCTION("""COMPUTED_VALUE"""),"109740;INF109K01BO8;-;ICICI Prudential Bond Fund - Growth;34.5018;25-Aug-2023")</f>
        <v>109740;INF109K01BO8;-;ICICI Prudential Bond Fund - Growth;34.5018;25-Aug-2023</v>
      </c>
      <c r="B2868" s="1"/>
    </row>
    <row r="2869">
      <c r="A2869" s="1" t="str">
        <f>IFERROR(__xludf.DUMMYFUNCTION("""COMPUTED_VALUE"""),"131481;INF109KA1X51;INF109KA1X44;ICICI Prudential Bond Fund - Half Yearly IDCW;11.0168;25-Aug-2023")</f>
        <v>131481;INF109KA1X51;INF109KA1X44;ICICI Prudential Bond Fund - Half Yearly IDCW;11.0168;25-Aug-2023</v>
      </c>
      <c r="B2869" s="1"/>
    </row>
    <row r="2870">
      <c r="A2870" s="1" t="str">
        <f>IFERROR(__xludf.DUMMYFUNCTION("""COMPUTED_VALUE"""),"109741;INF109K01EU9;INF109K01BP5;ICICI Prudential Bond Fund - IDCW Monthly;11.3455;25-Aug-2023")</f>
        <v>109741;INF109K01EU9;INF109K01BP5;ICICI Prudential Bond Fund - IDCW Monthly;11.3455;25-Aug-2023</v>
      </c>
      <c r="B2870" s="1"/>
    </row>
    <row r="2871">
      <c r="A2871" s="1" t="str">
        <f>IFERROR(__xludf.DUMMYFUNCTION("""COMPUTED_VALUE"""),"109743;INF109K01EV7;INF109K01BS9;ICICI Prudential Bond Fund - IDCW Quarterly;11.2252;25-Aug-2023")</f>
        <v>109743;INF109K01EV7;INF109K01BS9;ICICI Prudential Bond Fund - IDCW Quarterly;11.2252;25-Aug-2023</v>
      </c>
      <c r="B2871" s="1"/>
    </row>
    <row r="2872">
      <c r="A2872" s="1" t="str">
        <f>IFERROR(__xludf.DUMMYFUNCTION("""COMPUTED_VALUE"""),"109742;INF109K01BQ3;-;ICICI Prudential Bond Fund- Institutional Growth;25.0654;24-Apr-2020")</f>
        <v>109742;INF109K01BQ3;-;ICICI Prudential Bond Fund- Institutional Growth;25.0654;24-Apr-2020</v>
      </c>
      <c r="B2872" s="1"/>
    </row>
    <row r="2873">
      <c r="A2873" s="1" t="str">
        <f>IFERROR(__xludf.DUMMYFUNCTION("""COMPUTED_VALUE"""),"109744;INF109K01ES3;INF109K01BR1;ICICI Prudential Bond Fund- Institutional Monthly Dividend;10.6444;24-Apr-2020")</f>
        <v>109744;INF109K01ES3;INF109K01BR1;ICICI Prudential Bond Fund- Institutional Monthly Dividend;10.6444;24-Apr-2020</v>
      </c>
      <c r="B2873" s="1"/>
    </row>
    <row r="2874">
      <c r="A2874" s="1" t="str">
        <f>IFERROR(__xludf.DUMMYFUNCTION("""COMPUTED_VALUE"""),"109745;INF109K01ET1;INF109K01BT7;ICICI Prudential Bond Fund- Institutional Quarterly Dividend;11.4294;24-Apr-2020")</f>
        <v>109745;INF109K01ET1;INF109K01BT7;ICICI Prudential Bond Fund- Institutional Quarterly Dividend;11.4294;24-Apr-2020</v>
      </c>
      <c r="B2874" s="1"/>
    </row>
    <row r="2875">
      <c r="A2875" s="1"/>
      <c r="B2875" s="1"/>
    </row>
    <row r="2876">
      <c r="A2876" s="1" t="str">
        <f>IFERROR(__xludf.DUMMYFUNCTION("""COMPUTED_VALUE"""),"JM Financial Mutual Fund")</f>
        <v>JM Financial Mutual Fund</v>
      </c>
      <c r="B2876" s="1"/>
    </row>
    <row r="2877">
      <c r="A2877" s="1"/>
      <c r="B2877" s="1"/>
    </row>
    <row r="2878">
      <c r="A2878" s="1" t="str">
        <f>IFERROR(__xludf.DUMMYFUNCTION("""COMPUTED_VALUE"""),"120428;INF192K01CX3;-;JM Medium to Long Duration Fund (Direct) - Bonus Option - Principal Units;25.4421;25-Aug-2023")</f>
        <v>120428;INF192K01CX3;-;JM Medium to Long Duration Fund (Direct) - Bonus Option - Principal Units;25.4421;25-Aug-2023</v>
      </c>
      <c r="B2878" s="1"/>
    </row>
    <row r="2879">
      <c r="A2879" s="1" t="str">
        <f>IFERROR(__xludf.DUMMYFUNCTION("""COMPUTED_VALUE"""),"120430;INF192K01CW5;-;JM Medium to Long Duration Fund (Direct) - Growth Option;59.2587;25-Aug-2023")</f>
        <v>120430;INF192K01CW5;-;JM Medium to Long Duration Fund (Direct) - Growth Option;59.2587;25-Aug-2023</v>
      </c>
      <c r="B2879" s="1"/>
    </row>
    <row r="2880">
      <c r="A2880" s="1" t="str">
        <f>IFERROR(__xludf.DUMMYFUNCTION("""COMPUTED_VALUE"""),"120431;INF192K01CU9;INF192K01CV7;JM Medium to Long Duration Fund (Direct) - Quarterly IDCW;20.9394;25-Aug-2023")</f>
        <v>120431;INF192K01CU9;INF192K01CV7;JM Medium to Long Duration Fund (Direct) - Quarterly IDCW;20.9394;25-Aug-2023</v>
      </c>
      <c r="B2880" s="1"/>
    </row>
    <row r="2881">
      <c r="A2881" s="1" t="str">
        <f>IFERROR(__xludf.DUMMYFUNCTION("""COMPUTED_VALUE"""),"100223;INF192K01AB3;-;JM Medium to Long Duration Fund (Regular) - Growth Option;53.6828;25-Aug-2023")</f>
        <v>100223;INF192K01AB3;-;JM Medium to Long Duration Fund (Regular) - Growth Option;53.6828;25-Aug-2023</v>
      </c>
      <c r="B2881" s="1"/>
    </row>
    <row r="2882">
      <c r="A2882" s="1" t="str">
        <f>IFERROR(__xludf.DUMMYFUNCTION("""COMPUTED_VALUE"""),"100222;INF192K01999;INF192K01AA5;JM Medium to Long Duration Fund (Regular) - Quarterly IDCW;18.2524;25-Aug-2023")</f>
        <v>100222;INF192K01999;INF192K01AA5;JM Medium to Long Duration Fund (Regular) - Quarterly IDCW;18.2524;25-Aug-2023</v>
      </c>
      <c r="B2882" s="1"/>
    </row>
    <row r="2883">
      <c r="A2883" s="1" t="str">
        <f>IFERROR(__xludf.DUMMYFUNCTION("""COMPUTED_VALUE"""),"101181;INF192K01AC1;-;JM Medium to Long Duration Fund (Regular) - Bonus Option- Principal Units;21.9631;25-Aug-2023")</f>
        <v>101181;INF192K01AC1;-;JM Medium to Long Duration Fund (Regular) - Bonus Option- Principal Units;21.9631;25-Aug-2023</v>
      </c>
      <c r="B2883" s="1"/>
    </row>
    <row r="2884">
      <c r="A2884" s="1"/>
      <c r="B2884" s="1"/>
    </row>
    <row r="2885">
      <c r="A2885" s="1" t="str">
        <f>IFERROR(__xludf.DUMMYFUNCTION("""COMPUTED_VALUE"""),"Kotak Mahindra Mutual Fund")</f>
        <v>Kotak Mahindra Mutual Fund</v>
      </c>
      <c r="B2885" s="1"/>
    </row>
    <row r="2886">
      <c r="A2886" s="1"/>
      <c r="B2886" s="1"/>
    </row>
    <row r="2887">
      <c r="A2887" s="1" t="str">
        <f>IFERROR(__xludf.DUMMYFUNCTION("""COMPUTED_VALUE"""),"119734;INF174K01JD8;-;Kotak Bond Fund - Direct Plan - Standard IDCW option;24.4424;25-Aug-2023")</f>
        <v>119734;INF174K01JD8;-;Kotak Bond Fund - Direct Plan - Standard IDCW option;24.4424;25-Aug-2023</v>
      </c>
      <c r="B2887" s="1"/>
    </row>
    <row r="2888">
      <c r="A2888" s="1" t="str">
        <f>IFERROR(__xludf.DUMMYFUNCTION("""COMPUTED_VALUE"""),"119735;INF174K01JC0;-;Kotak Bond Fund - Growth - Direct;73.4375;25-Aug-2023")</f>
        <v>119735;INF174K01JC0;-;Kotak Bond Fund - Growth - Direct;73.4375;25-Aug-2023</v>
      </c>
      <c r="B2888" s="1"/>
    </row>
    <row r="2889">
      <c r="A2889" s="1" t="str">
        <f>IFERROR(__xludf.DUMMYFUNCTION("""COMPUTED_VALUE"""),"100300;INF174K01EQ1;INF174K01EP3;Kotak Bond Fund - Regular Plan - Standard IDCW Option;40.8262;25-Aug-2023")</f>
        <v>100300;INF174K01EQ1;INF174K01EP3;Kotak Bond Fund - Regular Plan - Standard IDCW Option;40.8262;25-Aug-2023</v>
      </c>
      <c r="B2889" s="1"/>
    </row>
    <row r="2890">
      <c r="A2890" s="1" t="str">
        <f>IFERROR(__xludf.DUMMYFUNCTION("""COMPUTED_VALUE"""),"100299;INF174K01EM0;-;Kotak Bond Fund - Regular Plan Growth;66.637;25-Aug-2023")</f>
        <v>100299;INF174K01EM0;-;Kotak Bond Fund - Regular Plan Growth;66.637;25-Aug-2023</v>
      </c>
      <c r="B2890" s="1"/>
    </row>
    <row r="2891">
      <c r="A2891" s="1" t="str">
        <f>IFERROR(__xludf.DUMMYFUNCTION("""COMPUTED_VALUE"""),"100291;INF174K01EK4;INF174K01EL2;Kotak Bond-Deposit-Dividend;13.6554;21-Oct-2016")</f>
        <v>100291;INF174K01EK4;INF174K01EL2;Kotak Bond-Deposit-Dividend;13.6554;21-Oct-2016</v>
      </c>
      <c r="B2891" s="1"/>
    </row>
    <row r="2892">
      <c r="A2892" s="1" t="str">
        <f>IFERROR(__xludf.DUMMYFUNCTION("""COMPUTED_VALUE"""),"100292;INF174K01EJ6;-;Kotak Bond-Deposit-Growth;42.9354;21-Oct-2016")</f>
        <v>100292;INF174K01EJ6;-;Kotak Bond-Deposit-Growth;42.9354;21-Oct-2016</v>
      </c>
      <c r="B2892" s="1"/>
    </row>
    <row r="2893">
      <c r="A2893" s="1"/>
      <c r="B2893" s="1"/>
    </row>
    <row r="2894">
      <c r="A2894" s="1" t="str">
        <f>IFERROR(__xludf.DUMMYFUNCTION("""COMPUTED_VALUE"""),"LIC Mutual Fund")</f>
        <v>LIC Mutual Fund</v>
      </c>
      <c r="B2894" s="1"/>
    </row>
    <row r="2895">
      <c r="A2895" s="1"/>
      <c r="B2895" s="1"/>
    </row>
    <row r="2896">
      <c r="A2896" s="1" t="str">
        <f>IFERROR(__xludf.DUMMYFUNCTION("""COMPUTED_VALUE"""),"151990;INF397L01GD9;-;LIC MF Medium to Long Duration Bond Fund-Direct Plan-Annual IDCW;15.98;25-Aug-2023")</f>
        <v>151990;INF397L01GD9;-;LIC MF Medium to Long Duration Bond Fund-Direct Plan-Annual IDCW;15.98;25-Aug-2023</v>
      </c>
      <c r="B2896" s="1"/>
    </row>
    <row r="2897">
      <c r="A2897" s="1" t="str">
        <f>IFERROR(__xludf.DUMMYFUNCTION("""COMPUTED_VALUE"""),"120279;INF767K01EW0;-;LIC MF Medium to Long Duration Bond Fund-Direct Plan-Growth;66.1386;25-Aug-2023")</f>
        <v>120279;INF767K01EW0;-;LIC MF Medium to Long Duration Bond Fund-Direct Plan-Growth;66.1386;25-Aug-2023</v>
      </c>
      <c r="B2897" s="1"/>
    </row>
    <row r="2898">
      <c r="A2898" s="1" t="str">
        <f>IFERROR(__xludf.DUMMYFUNCTION("""COMPUTED_VALUE"""),"120278;INF767K01EV2;INF767K01EX8;LIC MF Medium to Long Duration Bond Fund-Direct Plan-IDCW;15.98;25-Aug-2023")</f>
        <v>120278;INF767K01EV2;INF767K01EX8;LIC MF Medium to Long Duration Bond Fund-Direct Plan-IDCW;15.98;25-Aug-2023</v>
      </c>
      <c r="B2898" s="1"/>
    </row>
    <row r="2899">
      <c r="A2899" s="1" t="str">
        <f>IFERROR(__xludf.DUMMYFUNCTION("""COMPUTED_VALUE"""),"151988;INF397L01GA5;-;LIC MF Medium to Long Duration Bond Fund-Direct Plan-Quarterly Dividend;15.98;25-Aug-2023")</f>
        <v>151988;INF397L01GA5;-;LIC MF Medium to Long Duration Bond Fund-Direct Plan-Quarterly Dividend;15.98;25-Aug-2023</v>
      </c>
      <c r="B2899" s="1"/>
    </row>
    <row r="2900">
      <c r="A2900" s="1" t="str">
        <f>IFERROR(__xludf.DUMMYFUNCTION("""COMPUTED_VALUE"""),"151989;INF397L01FX9;-;LIC MF Medium to Long Duration Bond Fund-Regular Plan-Annual IDCW;13.7067;25-Aug-2023")</f>
        <v>151989;INF397L01FX9;-;LIC MF Medium to Long Duration Bond Fund-Regular Plan-Annual IDCW;13.7067;25-Aug-2023</v>
      </c>
      <c r="B2900" s="1"/>
    </row>
    <row r="2901">
      <c r="A2901" s="1" t="str">
        <f>IFERROR(__xludf.DUMMYFUNCTION("""COMPUTED_VALUE"""),"100315;INF767K01923;-;LIC MF Medium to Long Duration Bond Fund-Regular Plan-Growth;62.5318;25-Aug-2023")</f>
        <v>100315;INF767K01923;-;LIC MF Medium to Long Duration Bond Fund-Regular Plan-Growth;62.5318;25-Aug-2023</v>
      </c>
      <c r="B2901" s="1"/>
    </row>
    <row r="2902">
      <c r="A2902" s="1" t="str">
        <f>IFERROR(__xludf.DUMMYFUNCTION("""COMPUTED_VALUE"""),"100314;INF767K01907;INF767K01915;LIC MF Medium to Long Duration Bond Fund-Regular Plan-IDCW;13.7067;25-Aug-2023")</f>
        <v>100314;INF767K01907;INF767K01915;LIC MF Medium to Long Duration Bond Fund-Regular Plan-IDCW;13.7067;25-Aug-2023</v>
      </c>
      <c r="B2902" s="1"/>
    </row>
    <row r="2903">
      <c r="A2903" s="1" t="str">
        <f>IFERROR(__xludf.DUMMYFUNCTION("""COMPUTED_VALUE"""),"151986;INF397L01FU5;-;LIC MF Medium to Long Duration Bond Fund-Regular Plan-Quarterly Dividend;13.7066;25-Aug-2023")</f>
        <v>151986;INF397L01FU5;-;LIC MF Medium to Long Duration Bond Fund-Regular Plan-Quarterly Dividend;13.7066;25-Aug-2023</v>
      </c>
      <c r="B2903" s="1"/>
    </row>
    <row r="2904">
      <c r="A2904" s="1"/>
      <c r="B2904" s="1"/>
    </row>
    <row r="2905">
      <c r="A2905" s="1" t="str">
        <f>IFERROR(__xludf.DUMMYFUNCTION("""COMPUTED_VALUE"""),"Nippon India Mutual Fund")</f>
        <v>Nippon India Mutual Fund</v>
      </c>
      <c r="B2905" s="1"/>
    </row>
    <row r="2906">
      <c r="A2906" s="1"/>
      <c r="B2906" s="1"/>
    </row>
    <row r="2907">
      <c r="A2907" s="1" t="str">
        <f>IFERROR(__xludf.DUMMYFUNCTION("""COMPUTED_VALUE"""),"100386;INF204K01CT4;INF204K01CU2;NIPPON INDIA INCOME FUND - ANNUAL IDCW Option;13.1673;25-Aug-2023")</f>
        <v>100386;INF204K01CT4;INF204K01CU2;NIPPON INDIA INCOME FUND - ANNUAL IDCW Option;13.1673;25-Aug-2023</v>
      </c>
      <c r="B2907" s="1"/>
    </row>
    <row r="2908">
      <c r="A2908" s="1" t="str">
        <f>IFERROR(__xludf.DUMMYFUNCTION("""COMPUTED_VALUE"""),"118680;INF204K01YT8;INF204K01YU6;NIPPON INDIA INCOME FUND - Direct Plan - ANNUAL IDCW Option;14.4733;25-Aug-2023")</f>
        <v>118680;INF204K01YT8;INF204K01YU6;NIPPON INDIA INCOME FUND - Direct Plan - ANNUAL IDCW Option;14.4733;25-Aug-2023</v>
      </c>
      <c r="B2908" s="1"/>
    </row>
    <row r="2909">
      <c r="A2909" s="1" t="str">
        <f>IFERROR(__xludf.DUMMYFUNCTION("""COMPUTED_VALUE"""),"118681;INF204K01YR2;INF204K01YS0;NIPPON INDIA INCOME FUND - Direct Plan - HALF YEARLY IDCW Option;13.6843;25-Aug-2023")</f>
        <v>118681;INF204K01YR2;INF204K01YS0;NIPPON INDIA INCOME FUND - Direct Plan - HALF YEARLY IDCW Option;13.6843;25-Aug-2023</v>
      </c>
      <c r="B2909" s="1"/>
    </row>
    <row r="2910">
      <c r="A2910" s="1" t="str">
        <f>IFERROR(__xludf.DUMMYFUNCTION("""COMPUTED_VALUE"""),"118683;INF204K01YN1;-;NIPPON INDIA INCOME FUND - Direct Plan - MONTHLY IDCW Option;11.3505;25-Aug-2023")</f>
        <v>118683;INF204K01YN1;-;NIPPON INDIA INCOME FUND - Direct Plan - MONTHLY IDCW Option;11.3505;25-Aug-2023</v>
      </c>
      <c r="B2910" s="1"/>
    </row>
    <row r="2911">
      <c r="A2911" s="1" t="str">
        <f>IFERROR(__xludf.DUMMYFUNCTION("""COMPUTED_VALUE"""),"118684;INF204K01YP6;INF204K01YQ4;NIPPON INDIA INCOME FUND - Direct Plan - QUARTERLY IDCW Option;13.5825;25-Aug-2023")</f>
        <v>118684;INF204K01YP6;INF204K01YQ4;NIPPON INDIA INCOME FUND - Direct Plan - QUARTERLY IDCW Option;13.5825;25-Aug-2023</v>
      </c>
      <c r="B2911" s="1"/>
    </row>
    <row r="2912">
      <c r="A2912" s="1" t="str">
        <f>IFERROR(__xludf.DUMMYFUNCTION("""COMPUTED_VALUE"""),"118687;INF204K01XS2;-;Nippon India Income Fund - Direct Plan Growth Plan - Growth Option;85.9267;25-Aug-2023")</f>
        <v>118687;INF204K01XS2;-;Nippon India Income Fund - Direct Plan Growth Plan - Growth Option;85.9267;25-Aug-2023</v>
      </c>
      <c r="B2912" s="1"/>
    </row>
    <row r="2913">
      <c r="A2913" s="1" t="str">
        <f>IFERROR(__xludf.DUMMYFUNCTION("""COMPUTED_VALUE"""),"118679;INF204K01F38;-;Nippon India Income Fund - Direct Plan Growth Plan-Bonus Option;24.5543;25-Aug-2023")</f>
        <v>118679;INF204K01F38;-;Nippon India Income Fund - Direct Plan Growth Plan-Bonus Option;24.5543;25-Aug-2023</v>
      </c>
      <c r="B2913" s="1"/>
    </row>
    <row r="2914">
      <c r="A2914" s="1" t="str">
        <f>IFERROR(__xludf.DUMMYFUNCTION("""COMPUTED_VALUE"""),"100388;INF204K01CM9;-;Nippon India Income Fund - Growth Plan Bonus Option;22.4427;25-Aug-2023")</f>
        <v>100388;INF204K01CM9;-;Nippon India Income Fund - Growth Plan Bonus Option;22.4427;25-Aug-2023</v>
      </c>
      <c r="B2914" s="1"/>
    </row>
    <row r="2915">
      <c r="A2915" s="1" t="str">
        <f>IFERROR(__xludf.DUMMYFUNCTION("""COMPUTED_VALUE"""),"100387;INF204K01CL1;-;Nippon India Income Fund - Growth Plan Growth Option;78.0636;25-Aug-2023")</f>
        <v>100387;INF204K01CL1;-;Nippon India Income Fund - Growth Plan Growth Option;78.0636;25-Aug-2023</v>
      </c>
      <c r="B2915" s="1"/>
    </row>
    <row r="2916">
      <c r="A2916" s="1" t="str">
        <f>IFERROR(__xludf.DUMMYFUNCTION("""COMPUTED_VALUE"""),"100385;INF204K01CR8;INF204K01CS6;NIPPON INDIA INCOME FUND - HALF YEARLY IDCW Option;12.6957;25-Aug-2023")</f>
        <v>100385;INF204K01CR8;INF204K01CS6;NIPPON INDIA INCOME FUND - HALF YEARLY IDCW Option;12.6957;25-Aug-2023</v>
      </c>
      <c r="B2916" s="1"/>
    </row>
    <row r="2917">
      <c r="A2917" s="1" t="str">
        <f>IFERROR(__xludf.DUMMYFUNCTION("""COMPUTED_VALUE"""),"100383;INF204K01CN7;INF204K01CO5;NIPPON INDIA INCOME FUND - MONTHLY IDCW Option;10.6963;25-Aug-2023")</f>
        <v>100383;INF204K01CN7;INF204K01CO5;NIPPON INDIA INCOME FUND - MONTHLY IDCW Option;10.6963;25-Aug-2023</v>
      </c>
      <c r="B2917" s="1"/>
    </row>
    <row r="2918">
      <c r="A2918" s="1" t="str">
        <f>IFERROR(__xludf.DUMMYFUNCTION("""COMPUTED_VALUE"""),"100384;INF204K01CP2;INF204K01CQ0;NIPPON INDIA INCOME FUND - QUARTERLY IDCW Option;12.8930;25-Aug-2023")</f>
        <v>100384;INF204K01CP2;INF204K01CQ0;NIPPON INDIA INCOME FUND - QUARTERLY IDCW Option;12.8930;25-Aug-2023</v>
      </c>
      <c r="B2918" s="1"/>
    </row>
    <row r="2919">
      <c r="A2919" s="1"/>
      <c r="B2919" s="1"/>
    </row>
    <row r="2920">
      <c r="A2920" s="1" t="str">
        <f>IFERROR(__xludf.DUMMYFUNCTION("""COMPUTED_VALUE"""),"SBI Mutual Fund")</f>
        <v>SBI Mutual Fund</v>
      </c>
      <c r="B2920" s="1"/>
    </row>
    <row r="2921">
      <c r="A2921" s="1"/>
      <c r="B2921" s="1"/>
    </row>
    <row r="2922">
      <c r="A2922" s="1" t="str">
        <f>IFERROR(__xludf.DUMMYFUNCTION("""COMPUTED_VALUE"""),"119713;INF200K01SP6;INF200K01SQ4;SBI Magnum Income Fund - Direct Plan - Half Yearly - Income Distribution cum Capital Withdrawal Option (IDCW);18.5598;25-Aug-2023")</f>
        <v>119713;INF200K01SP6;INF200K01SQ4;SBI Magnum Income Fund - Direct Plan - Half Yearly - Income Distribution cum Capital Withdrawal Option (IDCW);18.5598;25-Aug-2023</v>
      </c>
      <c r="B2922" s="1"/>
    </row>
    <row r="2923">
      <c r="A2923" s="1" t="str">
        <f>IFERROR(__xludf.DUMMYFUNCTION("""COMPUTED_VALUE"""),"121940;INF200K01YS8;INF200K01YT6;SBI Magnum Income Fund - Direct Plan - Quarterly Income Distribution cum Capital Withdrawal Option (IDCW);19.0007;25-Aug-2023")</f>
        <v>121940;INF200K01YS8;INF200K01YT6;SBI Magnum Income Fund - Direct Plan - Quarterly Income Distribution cum Capital Withdrawal Option (IDCW);19.0007;25-Aug-2023</v>
      </c>
      <c r="B2923" s="1"/>
    </row>
    <row r="2924">
      <c r="A2924" s="1" t="str">
        <f>IFERROR(__xludf.DUMMYFUNCTION("""COMPUTED_VALUE"""),"100638;INF200K01610;INF200K01628;SBI Magnum Income Fund - Regular Plan - Half Yearly - Income Distribution cum Capital Withdrawal Option (IDCW);16.0583;25-Aug-2023")</f>
        <v>100638;INF200K01610;INF200K01628;SBI Magnum Income Fund - Regular Plan - Half Yearly - Income Distribution cum Capital Withdrawal Option (IDCW);16.0583;25-Aug-2023</v>
      </c>
      <c r="B2924" s="1"/>
    </row>
    <row r="2925">
      <c r="A2925" s="1" t="str">
        <f>IFERROR(__xludf.DUMMYFUNCTION("""COMPUTED_VALUE"""),"121944;INF200K01YQ2;INF200K01YR0;SBI Magnum Income Fund - Regular Plan - Quarterly Income Distribution cum Capital Withdrawal Option (IDCW);17.2904;25-Aug-2023")</f>
        <v>121944;INF200K01YQ2;INF200K01YR0;SBI Magnum Income Fund - Regular Plan - Quarterly Income Distribution cum Capital Withdrawal Option (IDCW);17.2904;25-Aug-2023</v>
      </c>
      <c r="B2925" s="1"/>
    </row>
    <row r="2926">
      <c r="A2926" s="1" t="str">
        <f>IFERROR(__xludf.DUMMYFUNCTION("""COMPUTED_VALUE"""),"119712;INF200K01SO9;-;SBI Magnum Income Fund-DIRECT PLAN - Bonus;39.6979;25-Aug-2023")</f>
        <v>119712;INF200K01SO9;-;SBI Magnum Income Fund-DIRECT PLAN - Bonus;39.6979;25-Aug-2023</v>
      </c>
      <c r="B2926" s="1"/>
    </row>
    <row r="2927">
      <c r="A2927" s="1" t="str">
        <f>IFERROR(__xludf.DUMMYFUNCTION("""COMPUTED_VALUE"""),"119714;INF200K01SR2;-;SBI Magnum Income Fund-DIRECT PLAN -Growth;65.4147;25-Aug-2023")</f>
        <v>119714;INF200K01SR2;-;SBI Magnum Income Fund-DIRECT PLAN -Growth;65.4147;25-Aug-2023</v>
      </c>
      <c r="B2927" s="1"/>
    </row>
    <row r="2928">
      <c r="A2928" s="1" t="str">
        <f>IFERROR(__xludf.DUMMYFUNCTION("""COMPUTED_VALUE"""),"100640;INF200K01602;-;SBI Magnum Income Fund-REGULAR PLAN-Bonus;37.2008;25-Aug-2023")</f>
        <v>100640;INF200K01602;-;SBI Magnum Income Fund-REGULAR PLAN-Bonus;37.2008;25-Aug-2023</v>
      </c>
      <c r="B2928" s="1"/>
    </row>
    <row r="2929">
      <c r="A2929" s="1" t="str">
        <f>IFERROR(__xludf.DUMMYFUNCTION("""COMPUTED_VALUE"""),"100639;INF200K01594;-;SBI Magnum Income Fund-REGULAR PLAN-Growth;61.3966;25-Aug-2023")</f>
        <v>100639;INF200K01594;-;SBI Magnum Income Fund-REGULAR PLAN-Growth;61.3966;25-Aug-2023</v>
      </c>
      <c r="B2929" s="1"/>
    </row>
    <row r="2930">
      <c r="A2930" s="1"/>
      <c r="B2930" s="1"/>
    </row>
    <row r="2931">
      <c r="A2931" s="1" t="str">
        <f>IFERROR(__xludf.DUMMYFUNCTION("""COMPUTED_VALUE"""),"Tata Mutual Fund")</f>
        <v>Tata Mutual Fund</v>
      </c>
      <c r="B2931" s="1"/>
    </row>
    <row r="2932">
      <c r="A2932" s="1"/>
      <c r="B2932" s="1"/>
    </row>
    <row r="2933">
      <c r="A2933" s="1" t="str">
        <f>IFERROR(__xludf.DUMMYFUNCTION("""COMPUTED_VALUE"""),"119876;INF277K01OY5;-;Tata Income Fund - Direct Plan - Growth Option;72.1992;23-Sep-2022")</f>
        <v>119876;INF277K01OY5;-;Tata Income Fund - Direct Plan - Growth Option;72.1992;23-Sep-2022</v>
      </c>
      <c r="B2933" s="1"/>
    </row>
    <row r="2934">
      <c r="A2934" s="1" t="str">
        <f>IFERROR(__xludf.DUMMYFUNCTION("""COMPUTED_VALUE"""),"100418;INF277K01659;-;Tata Income Fund -Regular Plan - Growth Option;66.6140;23-Sep-2022")</f>
        <v>100418;INF277K01659;-;Tata Income Fund -Regular Plan - Growth Option;66.6140;23-Sep-2022</v>
      </c>
      <c r="B2934" s="1"/>
    </row>
    <row r="2935">
      <c r="A2935" s="1" t="str">
        <f>IFERROR(__xludf.DUMMYFUNCTION("""COMPUTED_VALUE"""),"119875;INF277K01PC8;INF277K01PD6;TATA Income Fund Direct Plan - Periodic Payout of Income Distribution cum capital withdrawal option ;41.0962;23-Sep-2022")</f>
        <v>119875;INF277K01PC8;INF277K01PD6;TATA Income Fund Direct Plan - Periodic Payout of Income Distribution cum capital withdrawal option ;41.0962;23-Sep-2022</v>
      </c>
      <c r="B2935" s="1"/>
    </row>
    <row r="2936">
      <c r="A2936" s="1" t="str">
        <f>IFERROR(__xludf.DUMMYFUNCTION("""COMPUTED_VALUE"""),"101186;INF277K01DT8;INF277K01667;Tata Income Fund- Regular Plan - Periodic Payout of IDCW Option;38.6487;23-Sep-2022")</f>
        <v>101186;INF277K01DT8;INF277K01667;Tata Income Fund- Regular Plan - Periodic Payout of IDCW Option;38.6487;23-Sep-2022</v>
      </c>
      <c r="B2936" s="1"/>
    </row>
    <row r="2937">
      <c r="A2937" s="1" t="str">
        <f>IFERROR(__xludf.DUMMYFUNCTION("""COMPUTED_VALUE"""),"119877;INF277K01PA2;INF277K01PB0;TATA Income Fund-Direct Plan - Half Yearly Payout of IDCW Option;16.8454;23-Sep-2022")</f>
        <v>119877;INF277K01PA2;INF277K01PB0;TATA Income Fund-Direct Plan - Half Yearly Payout of IDCW Option;16.8454;23-Sep-2022</v>
      </c>
      <c r="B2937" s="1"/>
    </row>
    <row r="2938">
      <c r="A2938" s="1" t="str">
        <f>IFERROR(__xludf.DUMMYFUNCTION("""COMPUTED_VALUE"""),"100417;INF277K01DU6;INF277K01675;Tata Income Fund-Regular Plan - Half Yearly Payout of IDCW Option;15.3414;23-Sep-2022")</f>
        <v>100417;INF277K01DU6;INF277K01675;Tata Income Fund-Regular Plan - Half Yearly Payout of IDCW Option;15.3414;23-Sep-2022</v>
      </c>
      <c r="B2938" s="1"/>
    </row>
    <row r="2939">
      <c r="A2939" s="1"/>
      <c r="B2939" s="1"/>
    </row>
    <row r="2940">
      <c r="A2940" s="1" t="str">
        <f>IFERROR(__xludf.DUMMYFUNCTION("""COMPUTED_VALUE"""),"UTI Mutual Fund")</f>
        <v>UTI Mutual Fund</v>
      </c>
      <c r="B2940" s="1"/>
    </row>
    <row r="2941">
      <c r="A2941" s="1"/>
      <c r="B2941" s="1"/>
    </row>
    <row r="2942">
      <c r="A2942" s="1" t="str">
        <f>IFERROR(__xludf.DUMMYFUNCTION("""COMPUTED_VALUE"""),"139339;INF789FA1T80;-;UTI Bond Fund - Direct Plan - Annual IDCW;12.2145;25-Aug-2023")</f>
        <v>139339;INF789FA1T80;-;UTI Bond Fund - Direct Plan - Annual IDCW;12.2145;25-Aug-2023</v>
      </c>
      <c r="B2942" s="1"/>
    </row>
    <row r="2943">
      <c r="A2943" s="1" t="str">
        <f>IFERROR(__xludf.DUMMYFUNCTION("""COMPUTED_VALUE"""),"133280;INF789FA1U04;INF789FA1U12;UTI Bond Fund - Direct Plan - Flexi IDCW;13.4274;25-Aug-2023")</f>
        <v>133280;INF789FA1U04;INF789FA1U12;UTI Bond Fund - Direct Plan - Flexi IDCW;13.4274;25-Aug-2023</v>
      </c>
      <c r="B2943" s="1"/>
    </row>
    <row r="2944">
      <c r="A2944" s="1" t="str">
        <f>IFERROR(__xludf.DUMMYFUNCTION("""COMPUTED_VALUE"""),"134998;INF789FA1T64;INF789FA1T72;UTI Bond Fund - Direct Plan - Half-Yearly IDCW;12.9227;25-Aug-2023")</f>
        <v>134998;INF789FA1T64;INF789FA1T72;UTI Bond Fund - Direct Plan - Half-Yearly IDCW;12.9227;25-Aug-2023</v>
      </c>
      <c r="B2944" s="1"/>
    </row>
    <row r="2945">
      <c r="A2945" s="1" t="str">
        <f>IFERROR(__xludf.DUMMYFUNCTION("""COMPUTED_VALUE"""),"120690;INF789F01SO1;INF789F01SP8;UTI Bond Fund - Direct Plan - Quarterly IDCW;21.7805;25-Aug-2023")</f>
        <v>120690;INF789F01SO1;INF789F01SP8;UTI Bond Fund - Direct Plan - Quarterly IDCW;21.7805;25-Aug-2023</v>
      </c>
      <c r="B2945" s="1"/>
    </row>
    <row r="2946">
      <c r="A2946" s="1" t="str">
        <f>IFERROR(__xludf.DUMMYFUNCTION("""COMPUTED_VALUE"""),"133869;INF789FA1T23;INF789FA1T31;UTI Bond Fund - Regular Plan - Annual IDCW;12.1466;25-Aug-2023")</f>
        <v>133869;INF789FA1T23;INF789FA1T31;UTI Bond Fund - Regular Plan - Annual IDCW;12.1466;25-Aug-2023</v>
      </c>
      <c r="B2946" s="1"/>
    </row>
    <row r="2947">
      <c r="A2947" s="1" t="str">
        <f>IFERROR(__xludf.DUMMYFUNCTION("""COMPUTED_VALUE"""),"133872;INF789FA1T49;INF789FA1T56;UTI Bond Fund - Regular Plan - Flexi IDCW;12.408;25-Aug-2023")</f>
        <v>133872;INF789FA1T49;INF789FA1T56;UTI Bond Fund - Regular Plan - Flexi IDCW;12.408;25-Aug-2023</v>
      </c>
      <c r="B2947" s="1"/>
    </row>
    <row r="2948">
      <c r="A2948" s="1" t="str">
        <f>IFERROR(__xludf.DUMMYFUNCTION("""COMPUTED_VALUE"""),"135581;INF789FA1T07;INF789FA1T15;UTI Bond Fund - Regular Plan - Half-Yearly IDCW;12.6072;25-Aug-2023")</f>
        <v>135581;INF789FA1T07;INF789FA1T15;UTI Bond Fund - Regular Plan - Half-Yearly IDCW;12.6072;25-Aug-2023</v>
      </c>
      <c r="B2948" s="1"/>
    </row>
    <row r="2949">
      <c r="A2949" s="1" t="str">
        <f>IFERROR(__xludf.DUMMYFUNCTION("""COMPUTED_VALUE"""),"100742;INF789F01380;INF789F01398;UTI Bond Fund - Regular Plan - Quarterly IDCW;16.3894;25-Aug-2023")</f>
        <v>100742;INF789F01380;INF789F01398;UTI Bond Fund - Regular Plan - Quarterly IDCW;16.3894;25-Aug-2023</v>
      </c>
      <c r="B2949" s="1"/>
    </row>
    <row r="2950">
      <c r="A2950" s="1" t="str">
        <f>IFERROR(__xludf.DUMMYFUNCTION("""COMPUTED_VALUE"""),"100741;INF789F01406;-;UTI Bond Fund- Regular Plan - Growth;63.8128;25-Aug-2023")</f>
        <v>100741;INF789F01406;-;UTI Bond Fund- Regular Plan - Growth;63.8128;25-Aug-2023</v>
      </c>
      <c r="B2950" s="1"/>
    </row>
    <row r="2951">
      <c r="A2951" s="1" t="str">
        <f>IFERROR(__xludf.DUMMYFUNCTION("""COMPUTED_VALUE"""),"120689;INF789F01SQ6;-;UTI Bond Fund-Growth - Direct;69.0165;25-Aug-2023")</f>
        <v>120689;INF789F01SQ6;-;UTI Bond Fund-Growth - Direct;69.0165;25-Aug-2023</v>
      </c>
      <c r="B2951" s="1"/>
    </row>
    <row r="2952">
      <c r="A2952" s="1"/>
      <c r="B2952" s="1"/>
    </row>
    <row r="2953">
      <c r="A2953" s="1" t="str">
        <f>IFERROR(__xludf.DUMMYFUNCTION("""COMPUTED_VALUE"""),"Open Ended Schemes(Debt Scheme - Money Market Fund)")</f>
        <v>Open Ended Schemes(Debt Scheme - Money Market Fund)</v>
      </c>
      <c r="B2953" s="1"/>
    </row>
    <row r="2954">
      <c r="A2954" s="1"/>
      <c r="B2954" s="1"/>
    </row>
    <row r="2955">
      <c r="A2955" s="1" t="str">
        <f>IFERROR(__xludf.DUMMYFUNCTION("""COMPUTED_VALUE"""),"Aditya Birla Sun Life Mutual Fund")</f>
        <v>Aditya Birla Sun Life Mutual Fund</v>
      </c>
      <c r="B2955" s="1"/>
    </row>
    <row r="2956">
      <c r="A2956" s="1"/>
      <c r="B2956" s="1"/>
    </row>
    <row r="2957">
      <c r="A2957" s="1" t="str">
        <f>IFERROR(__xludf.DUMMYFUNCTION("""COMPUTED_VALUE"""),"101973;-;INF209K01SZ6;Aditya Birla Sun Life Money Manager Fund - Daily IDCW;100.02;25-Aug-2023")</f>
        <v>101973;-;INF209K01SZ6;Aditya Birla Sun Life Money Manager Fund - Daily IDCW;100.02;25-Aug-2023</v>
      </c>
      <c r="B2957" s="1"/>
    </row>
    <row r="2958">
      <c r="A2958" s="1" t="str">
        <f>IFERROR(__xludf.DUMMYFUNCTION("""COMPUTED_VALUE"""),"119513;-;INF209K01UT5;Aditya Birla Sun Life Money Manager Fund - Direct - daily IDCW;100.02;25-Aug-2023")</f>
        <v>119513;-;INF209K01UT5;Aditya Birla Sun Life Money Manager Fund - Direct - daily IDCW;100.02;25-Aug-2023</v>
      </c>
      <c r="B2958" s="1"/>
    </row>
    <row r="2959">
      <c r="A2959" s="1" t="str">
        <f>IFERROR(__xludf.DUMMYFUNCTION("""COMPUTED_VALUE"""),"119512;INF209K01UV1;INF209KA1LM3;Aditya Birla Sun Life Money Manager Fund - Direct - weekly IDCW;100.2214;25-Aug-2023")</f>
        <v>119512;INF209K01UV1;INF209KA1LM3;Aditya Birla Sun Life Money Manager Fund - Direct - weekly IDCW;100.2214;25-Aug-2023</v>
      </c>
      <c r="B2959" s="1"/>
    </row>
    <row r="2960">
      <c r="A2960" s="1" t="str">
        <f>IFERROR(__xludf.DUMMYFUNCTION("""COMPUTED_VALUE"""),"101976;INF209K01RV7;-;Aditya Birla Sun Life Money Manager Fund - Growth;322.3764;25-Aug-2023")</f>
        <v>101976;INF209K01RV7;-;Aditya Birla Sun Life Money Manager Fund - Growth;322.3764;25-Aug-2023</v>
      </c>
      <c r="B2960" s="1"/>
    </row>
    <row r="2961">
      <c r="A2961" s="1" t="str">
        <f>IFERROR(__xludf.DUMMYFUNCTION("""COMPUTED_VALUE"""),"119511;INF209K01UU3;-;Aditya Birla Sun Life Money Manager Fund - Growth - Direct Plan;325.7937;25-Aug-2023")</f>
        <v>119511;INF209K01UU3;-;Aditya Birla Sun Life Money Manager Fund - Growth - Direct Plan;325.7937;25-Aug-2023</v>
      </c>
      <c r="B2961" s="1"/>
    </row>
    <row r="2962">
      <c r="A2962" s="1" t="str">
        <f>IFERROR(__xludf.DUMMYFUNCTION("""COMPUTED_VALUE"""),"101972;-;INF209K01JZ5;Aditya Birla Sun Life Money Manager Fund - Retail - Daily IDCW;100.0159;25-Aug-2023")</f>
        <v>101972;-;INF209K01JZ5;Aditya Birla Sun Life Money Manager Fund - Retail - Daily IDCW;100.0159;25-Aug-2023</v>
      </c>
      <c r="B2962" s="1"/>
    </row>
    <row r="2963">
      <c r="A2963" s="1" t="str">
        <f>IFERROR(__xludf.DUMMYFUNCTION("""COMPUTED_VALUE"""),"101970;-;INF209K01JY8;Aditya Birla Sun Life Money Manager Fund - RETAIL - WEEKLY IDCW;103.8947;25-Aug-2023")</f>
        <v>101970;-;INF209K01JY8;Aditya Birla Sun Life Money Manager Fund - RETAIL - WEEKLY IDCW;103.8947;25-Aug-2023</v>
      </c>
      <c r="B2963" s="1"/>
    </row>
    <row r="2964">
      <c r="A2964" s="1" t="str">
        <f>IFERROR(__xludf.DUMMYFUNCTION("""COMPUTED_VALUE"""),"101971;INF209K01MJ3;-;Aditya Birla Sun Life Money Manager Fund - Retail Growth;397.3346;25-Aug-2023")</f>
        <v>101971;INF209K01MJ3;-;Aditya Birla Sun Life Money Manager Fund - Retail Growth;397.3346;25-Aug-2023</v>
      </c>
      <c r="B2964" s="1"/>
    </row>
    <row r="2965">
      <c r="A2965" s="1" t="str">
        <f>IFERROR(__xludf.DUMMYFUNCTION("""COMPUTED_VALUE"""),"101974;-;INF209K01SY9;Aditya Birla Sun Life Money Manager Fund - WEEKLY IDCW;100.2191;25-Aug-2023")</f>
        <v>101974;-;INF209K01SY9;Aditya Birla Sun Life Money Manager Fund - WEEKLY IDCW;100.2191;25-Aug-2023</v>
      </c>
      <c r="B2965" s="1"/>
    </row>
    <row r="2966">
      <c r="A2966" s="1"/>
      <c r="B2966" s="1"/>
    </row>
    <row r="2967">
      <c r="A2967" s="1" t="str">
        <f>IFERROR(__xludf.DUMMYFUNCTION("""COMPUTED_VALUE"""),"Axis Mutual Fund")</f>
        <v>Axis Mutual Fund</v>
      </c>
      <c r="B2967" s="1"/>
    </row>
    <row r="2968">
      <c r="A2968" s="1"/>
      <c r="B2968" s="1"/>
    </row>
    <row r="2969">
      <c r="A2969" s="1" t="str">
        <f>IFERROR(__xludf.DUMMYFUNCTION("""COMPUTED_VALUE"""),"147576;INF846K01Q96;INF846K01Q88;Axis Money Market Fund - Direct Plan - Annual IDCW;1169.7451;25-Aug-2023")</f>
        <v>147576;INF846K01Q96;INF846K01Q88;Axis Money Market Fund - Direct Plan - Annual IDCW;1169.7451;25-Aug-2023</v>
      </c>
      <c r="B2969" s="1"/>
    </row>
    <row r="2970">
      <c r="A2970" s="1" t="str">
        <f>IFERROR(__xludf.DUMMYFUNCTION("""COMPUTED_VALUE"""),"147571;-;INF846K01Q70;Axis Money Market Fund - Direct Plan - Daily IDCW;1005.6131;25-Aug-2023")</f>
        <v>147571;-;INF846K01Q70;Axis Money Market Fund - Direct Plan - Daily IDCW;1005.6131;25-Aug-2023</v>
      </c>
      <c r="B2970" s="1"/>
    </row>
    <row r="2971">
      <c r="A2971" s="1" t="str">
        <f>IFERROR(__xludf.DUMMYFUNCTION("""COMPUTED_VALUE"""),"147567;INF846K01Q62;-;Axis Money Market Fund - Direct Plan - Growth Option;1254.7165;25-Aug-2023")</f>
        <v>147567;INF846K01Q62;-;Axis Money Market Fund - Direct Plan - Growth Option;1254.7165;25-Aug-2023</v>
      </c>
      <c r="B2971" s="1"/>
    </row>
    <row r="2972">
      <c r="A2972" s="1" t="str">
        <f>IFERROR(__xludf.DUMMYFUNCTION("""COMPUTED_VALUE"""),"147572;INF846K01R12;INF846K01R04;Axis Money Market Fund - Direct Plan - Monthly IDCW;1007.4551;25-Aug-2023")</f>
        <v>147572;INF846K01R12;INF846K01R04;Axis Money Market Fund - Direct Plan - Monthly IDCW;1007.4551;25-Aug-2023</v>
      </c>
      <c r="B2972" s="1"/>
    </row>
    <row r="2973">
      <c r="A2973" s="1" t="str">
        <f>IFERROR(__xludf.DUMMYFUNCTION("""COMPUTED_VALUE"""),"147573;INF846K01R38;INF846K01R20;Axis Money Market Fund - Direct Plan - Quarterly IDCW;1080.2327;25-Aug-2023")</f>
        <v>147573;INF846K01R38;INF846K01R20;Axis Money Market Fund - Direct Plan - Quarterly IDCW;1080.2327;25-Aug-2023</v>
      </c>
      <c r="B2973" s="1"/>
    </row>
    <row r="2974">
      <c r="A2974" s="1" t="str">
        <f>IFERROR(__xludf.DUMMYFUNCTION("""COMPUTED_VALUE"""),"147575;INF846K01R79;INF846K01R61;Axis Money Market Fund - Regular Plan - Annual IDCW;1162.1814;25-Aug-2023")</f>
        <v>147575;INF846K01R79;INF846K01R61;Axis Money Market Fund - Regular Plan - Annual IDCW;1162.1814;25-Aug-2023</v>
      </c>
      <c r="B2974" s="1"/>
    </row>
    <row r="2975">
      <c r="A2975" s="1" t="str">
        <f>IFERROR(__xludf.DUMMYFUNCTION("""COMPUTED_VALUE"""),"147577;-;INF846K01R53;Axis Money Market Fund - Regular Plan - Daily IDCW;1005.6127;25-Aug-2023")</f>
        <v>147577;-;INF846K01R53;Axis Money Market Fund - Regular Plan - Daily IDCW;1005.6127;25-Aug-2023</v>
      </c>
      <c r="B2975" s="1"/>
    </row>
    <row r="2976">
      <c r="A2976" s="1" t="str">
        <f>IFERROR(__xludf.DUMMYFUNCTION("""COMPUTED_VALUE"""),"147568;INF846K01R46;-;Axis Money Market Fund - Regular Plan - Growth Option;1246.9587;25-Aug-2023")</f>
        <v>147568;INF846K01R46;-;Axis Money Market Fund - Regular Plan - Growth Option;1246.9587;25-Aug-2023</v>
      </c>
      <c r="B2976" s="1"/>
    </row>
    <row r="2977">
      <c r="A2977" s="1" t="str">
        <f>IFERROR(__xludf.DUMMYFUNCTION("""COMPUTED_VALUE"""),"147578;INF846K01R95;INF846K01R87;Axis Money Market Fund - Regular Plan - Monthly IDCW;1005.5636;25-Aug-2023")</f>
        <v>147578;INF846K01R95;INF846K01R87;Axis Money Market Fund - Regular Plan - Monthly IDCW;1005.5636;25-Aug-2023</v>
      </c>
      <c r="B2977" s="1"/>
    </row>
    <row r="2978">
      <c r="A2978" s="1" t="str">
        <f>IFERROR(__xludf.DUMMYFUNCTION("""COMPUTED_VALUE"""),"147574;INF846K01S11;INF846K01S03;Axis Money Market Fund - Regular Plan - Quarterly IDCW;1072.4952;25-Aug-2023")</f>
        <v>147574;INF846K01S11;INF846K01S03;Axis Money Market Fund - Regular Plan - Quarterly IDCW;1072.4952;25-Aug-2023</v>
      </c>
      <c r="B2978" s="1"/>
    </row>
    <row r="2979">
      <c r="A2979" s="1"/>
      <c r="B2979" s="1"/>
    </row>
    <row r="2980">
      <c r="A2980" s="1" t="str">
        <f>IFERROR(__xludf.DUMMYFUNCTION("""COMPUTED_VALUE"""),"Bajaj Finserv Mutual Fund")</f>
        <v>Bajaj Finserv Mutual Fund</v>
      </c>
      <c r="B2980" s="1"/>
    </row>
    <row r="2981">
      <c r="A2981" s="1"/>
      <c r="B2981" s="1"/>
    </row>
    <row r="2982">
      <c r="A2982" s="1" t="str">
        <f>IFERROR(__xludf.DUMMYFUNCTION("""COMPUTED_VALUE"""),"151889;INF0QA701334;-;Bajaj Finserv Money Market Fund-Direct Plan-Growth;1009.5153;25-Aug-2023")</f>
        <v>151889;INF0QA701334;-;Bajaj Finserv Money Market Fund-Direct Plan-Growth;1009.5153;25-Aug-2023</v>
      </c>
      <c r="B2982" s="1"/>
    </row>
    <row r="2983">
      <c r="A2983" s="1" t="str">
        <f>IFERROR(__xludf.DUMMYFUNCTION("""COMPUTED_VALUE"""),"151890;INF0QA701391;INF0QA701375;Bajaj Finserv Money Market Fund-Direct Plan-IDCW;1009.5153;25-Aug-2023")</f>
        <v>151890;INF0QA701391;INF0QA701375;Bajaj Finserv Money Market Fund-Direct Plan-IDCW;1009.5153;25-Aug-2023</v>
      </c>
      <c r="B2983" s="1"/>
    </row>
    <row r="2984">
      <c r="A2984" s="1" t="str">
        <f>IFERROR(__xludf.DUMMYFUNCTION("""COMPUTED_VALUE"""),"151894;INF0QA701433;INF0QA701425;Bajaj Finserv Money Market Fund-Direct Plan-Monthly-IDCW;1009.5153;25-Aug-2023")</f>
        <v>151894;INF0QA701433;INF0QA701425;Bajaj Finserv Money Market Fund-Direct Plan-Monthly-IDCW;1009.5153;25-Aug-2023</v>
      </c>
      <c r="B2984" s="1"/>
    </row>
    <row r="2985">
      <c r="A2985" s="1" t="str">
        <f>IFERROR(__xludf.DUMMYFUNCTION("""COMPUTED_VALUE"""),"151893;INF0QA701441;-;Bajaj Finserv Money Market Fund-Regular Plan-Growth;1009.0161;25-Aug-2023")</f>
        <v>151893;INF0QA701441;-;Bajaj Finserv Money Market Fund-Regular Plan-Growth;1009.0161;25-Aug-2023</v>
      </c>
      <c r="B2985" s="1"/>
    </row>
    <row r="2986">
      <c r="A2986" s="1" t="str">
        <f>IFERROR(__xludf.DUMMYFUNCTION("""COMPUTED_VALUE"""),"151891;INF0QA701466;INF0QA701458;Bajaj Finserv Money Market Fund-Regular Plan-IDCW;1009.0161;25-Aug-2023")</f>
        <v>151891;INF0QA701466;INF0QA701458;Bajaj Finserv Money Market Fund-Regular Plan-IDCW;1009.0161;25-Aug-2023</v>
      </c>
      <c r="B2986" s="1"/>
    </row>
    <row r="2987">
      <c r="A2987" s="1" t="str">
        <f>IFERROR(__xludf.DUMMYFUNCTION("""COMPUTED_VALUE"""),"151892;INF0QA701482;INF0QA701474;Bajaj Finserv Money Market Fund-Regular Plan-Monthly-IDCW;1009.0161;25-Aug-2023")</f>
        <v>151892;INF0QA701482;INF0QA701474;Bajaj Finserv Money Market Fund-Regular Plan-Monthly-IDCW;1009.0161;25-Aug-2023</v>
      </c>
      <c r="B2987" s="1"/>
    </row>
    <row r="2988">
      <c r="A2988" s="1"/>
      <c r="B2988" s="1"/>
    </row>
    <row r="2989">
      <c r="A2989" s="1" t="str">
        <f>IFERROR(__xludf.DUMMYFUNCTION("""COMPUTED_VALUE"""),"Bandhan Mutual Fund")</f>
        <v>Bandhan Mutual Fund</v>
      </c>
      <c r="B2989" s="1"/>
    </row>
    <row r="2990">
      <c r="A2990" s="1"/>
      <c r="B2990" s="1"/>
    </row>
    <row r="2991">
      <c r="A2991" s="1" t="str">
        <f>IFERROR(__xludf.DUMMYFUNCTION("""COMPUTED_VALUE"""),"108757;INF194K01LO9;INF194K01LN1;BANDHAN Money Manager Fund - Regular Plan - Monthly IDCW;10.2948;25-Aug-2023")</f>
        <v>108757;INF194K01LO9;INF194K01LN1;BANDHAN Money Manager Fund - Regular Plan - Monthly IDCW;10.2948;25-Aug-2023</v>
      </c>
      <c r="B2991" s="1"/>
    </row>
    <row r="2992">
      <c r="A2992" s="1" t="str">
        <f>IFERROR(__xludf.DUMMYFUNCTION("""COMPUTED_VALUE"""),"108756;INF194K01LJ9;-;BANDHAN Money Manager Fund - Regular Plan - Growth;35.4089;25-Aug-2023")</f>
        <v>108756;INF194K01LJ9;-;BANDHAN Money Manager Fund - Regular Plan - Growth;35.4089;25-Aug-2023</v>
      </c>
      <c r="B2992" s="1"/>
    </row>
    <row r="2993">
      <c r="A2993" s="1" t="str">
        <f>IFERROR(__xludf.DUMMYFUNCTION("""COMPUTED_VALUE"""),"108650;INF194K01LL5;INF194K01LK7;BANDHAN Money Manager Fund - Regular Plan - Daily IDCW;10.0994;25-Aug-2023")</f>
        <v>108650;INF194K01LL5;INF194K01LK7;BANDHAN Money Manager Fund - Regular Plan - Daily IDCW;10.0994;25-Aug-2023</v>
      </c>
      <c r="B2993" s="1"/>
    </row>
    <row r="2994">
      <c r="A2994" s="1" t="str">
        <f>IFERROR(__xludf.DUMMYFUNCTION("""COMPUTED_VALUE"""),"131389;INF194KA1TG5;INF194KA1TH3;BANDHAN Money Manager Fund - Regular Plan - Periodic IDCW;11.6123;25-Aug-2023")</f>
        <v>131389;INF194KA1TG5;INF194KA1TH3;BANDHAN Money Manager Fund - Regular Plan - Periodic IDCW;11.6123;25-Aug-2023</v>
      </c>
      <c r="B2994" s="1"/>
    </row>
    <row r="2995">
      <c r="A2995" s="1" t="str">
        <f>IFERROR(__xludf.DUMMYFUNCTION("""COMPUTED_VALUE"""),"108701;INF194K01LR2;INF194K01LQ4;BANDHAN Money Manager Fund - Regular Plan - Weekly IDCW;10.1331;25-Aug-2023")</f>
        <v>108701;INF194K01LR2;INF194K01LQ4;BANDHAN Money Manager Fund - Regular Plan - Weekly IDCW;10.1331;25-Aug-2023</v>
      </c>
      <c r="B2995" s="1"/>
    </row>
    <row r="2996">
      <c r="A2996" s="1" t="str">
        <f>IFERROR(__xludf.DUMMYFUNCTION("""COMPUTED_VALUE"""),"118383;-;INF194K01M98;BANDHAN Money Manager Fund -Direct Plan-Daily IDCW;10.0994;25-Aug-2023")</f>
        <v>118383;-;INF194K01M98;BANDHAN Money Manager Fund -Direct Plan-Daily IDCW;10.0994;25-Aug-2023</v>
      </c>
      <c r="B2996" s="1"/>
    </row>
    <row r="2997">
      <c r="A2997" s="1" t="str">
        <f>IFERROR(__xludf.DUMMYFUNCTION("""COMPUTED_VALUE"""),"118384;INF194K01M80;-;BANDHAN Money Manager Fund -Direct Plan-Growth;37.9712;25-Aug-2023")</f>
        <v>118384;INF194K01M80;-;BANDHAN Money Manager Fund -Direct Plan-Growth;37.9712;25-Aug-2023</v>
      </c>
      <c r="B2997" s="1"/>
    </row>
    <row r="2998">
      <c r="A2998" s="1" t="str">
        <f>IFERROR(__xludf.DUMMYFUNCTION("""COMPUTED_VALUE"""),"118385;INF194K01N22;INF194K01N14;BANDHAN Money Manager Fund -Direct Plan-Monthly IDCW;10.2359;25-Aug-2023")</f>
        <v>118385;INF194K01N22;INF194K01N14;BANDHAN Money Manager Fund -Direct Plan-Monthly IDCW;10.2359;25-Aug-2023</v>
      </c>
      <c r="B2998" s="1"/>
    </row>
    <row r="2999">
      <c r="A2999" s="1" t="str">
        <f>IFERROR(__xludf.DUMMYFUNCTION("""COMPUTED_VALUE"""),"131388;INF194KA1TJ9;INF194KA1TK7;BANDHAN Money Manager Fund -Direct Plan-Periodic IDCW;13.9118;25-Aug-2023")</f>
        <v>131388;INF194KA1TJ9;INF194KA1TK7;BANDHAN Money Manager Fund -Direct Plan-Periodic IDCW;13.9118;25-Aug-2023</v>
      </c>
      <c r="B2999" s="1"/>
    </row>
    <row r="3000">
      <c r="A3000" s="1" t="str">
        <f>IFERROR(__xludf.DUMMYFUNCTION("""COMPUTED_VALUE"""),"118386;-;INF194K01N48;BANDHAN Money Manager Fund -Direct Plan-Weekly IDCW;10.1118;25-Aug-2023")</f>
        <v>118386;-;INF194K01N48;BANDHAN Money Manager Fund -Direct Plan-Weekly IDCW;10.1118;25-Aug-2023</v>
      </c>
      <c r="B3000" s="1"/>
    </row>
    <row r="3001">
      <c r="A3001" s="1"/>
      <c r="B3001" s="1"/>
    </row>
    <row r="3002">
      <c r="A3002" s="1" t="str">
        <f>IFERROR(__xludf.DUMMYFUNCTION("""COMPUTED_VALUE"""),"Baroda BNP Paribas Mutual Fund")</f>
        <v>Baroda BNP Paribas Mutual Fund</v>
      </c>
      <c r="B3002" s="1"/>
    </row>
    <row r="3003">
      <c r="A3003" s="1"/>
      <c r="B3003" s="1"/>
    </row>
    <row r="3004">
      <c r="A3004" s="1" t="str">
        <f>IFERROR(__xludf.DUMMYFUNCTION("""COMPUTED_VALUE"""),"147373;INF955L01IG3;-;Baroda BNP Paribas Money Market Fund - Direct Plan - Monthly IDCW;1000.0000;25-Aug-2023")</f>
        <v>147373;INF955L01IG3;-;Baroda BNP Paribas Money Market Fund - Direct Plan - Monthly IDCW;1000.0000;25-Aug-2023</v>
      </c>
      <c r="B3004" s="1"/>
    </row>
    <row r="3005">
      <c r="A3005" s="1" t="str">
        <f>IFERROR(__xludf.DUMMYFUNCTION("""COMPUTED_VALUE"""),"147378;-;INF955L01IE8;Baroda BNP Paribas Money Market Fund - Direct Plan-Daily IDCW;1000.0000;25-Aug-2023")</f>
        <v>147378;-;INF955L01IE8;Baroda BNP Paribas Money Market Fund - Direct Plan-Daily IDCW;1000.0000;25-Aug-2023</v>
      </c>
      <c r="B3005" s="1"/>
    </row>
    <row r="3006">
      <c r="A3006" s="1" t="str">
        <f>IFERROR(__xludf.DUMMYFUNCTION("""COMPUTED_VALUE"""),"147376;INF955L01IB4;-;Baroda BNP Paribas Money Market Fund - Regular Plan - Monthly IDCW;1015.1808;25-Aug-2023")</f>
        <v>147376;INF955L01IB4;-;Baroda BNP Paribas Money Market Fund - Regular Plan - Monthly IDCW;1015.1808;25-Aug-2023</v>
      </c>
      <c r="B3006" s="1"/>
    </row>
    <row r="3007">
      <c r="A3007" s="1" t="str">
        <f>IFERROR(__xludf.DUMMYFUNCTION("""COMPUTED_VALUE"""),"147379;-;INF955L01IF5;Baroda BNP Paribas Money Market Fund -Direct Plan - Weekly IDCW;1000.5827;25-Aug-2023")</f>
        <v>147379;-;INF955L01IF5;Baroda BNP Paribas Money Market Fund -Direct Plan - Weekly IDCW;1000.5827;25-Aug-2023</v>
      </c>
      <c r="B3007" s="1"/>
    </row>
    <row r="3008">
      <c r="A3008" s="1" t="str">
        <f>IFERROR(__xludf.DUMMYFUNCTION("""COMPUTED_VALUE"""),"147377;INF955L01ID0;-;Baroda BNP Paribas Money Market Fund- Direct Plan - Growth;1221.4092;25-Aug-2023")</f>
        <v>147377;INF955L01ID0;-;Baroda BNP Paribas Money Market Fund- Direct Plan - Growth;1221.4092;25-Aug-2023</v>
      </c>
      <c r="B3008" s="1"/>
    </row>
    <row r="3009">
      <c r="A3009" s="1" t="str">
        <f>IFERROR(__xludf.DUMMYFUNCTION("""COMPUTED_VALUE"""),"147382;INF955L01HY8;-;Baroda BNP Paribas Money Market Fund-Regular Plan - Growth;1208.1965;25-Aug-2023")</f>
        <v>147382;INF955L01HY8;-;Baroda BNP Paribas Money Market Fund-Regular Plan - Growth;1208.1965;25-Aug-2023</v>
      </c>
      <c r="B3009" s="1"/>
    </row>
    <row r="3010">
      <c r="A3010" s="1" t="str">
        <f>IFERROR(__xludf.DUMMYFUNCTION("""COMPUTED_VALUE"""),"147380;-;INF955L01HZ5;Baroda BNP Paribas Money Market Fund-Regular Plan- Daily IDCW;1005.9754;25-Aug-2023")</f>
        <v>147380;-;INF955L01HZ5;Baroda BNP Paribas Money Market Fund-Regular Plan- Daily IDCW;1005.9754;25-Aug-2023</v>
      </c>
      <c r="B3010" s="1"/>
    </row>
    <row r="3011">
      <c r="A3011" s="1" t="str">
        <f>IFERROR(__xludf.DUMMYFUNCTION("""COMPUTED_VALUE"""),"147381;-;INF955L01IA6;Baroda BNP Paribas Money Market Fund-Regular Plan-Weekly IDCW;1000.7088;25-Aug-2023")</f>
        <v>147381;-;INF955L01IA6;Baroda BNP Paribas Money Market Fund-Regular Plan-Weekly IDCW;1000.7088;25-Aug-2023</v>
      </c>
      <c r="B3011" s="1"/>
    </row>
    <row r="3012">
      <c r="A3012" s="1"/>
      <c r="B3012" s="1"/>
    </row>
    <row r="3013">
      <c r="A3013" s="1" t="str">
        <f>IFERROR(__xludf.DUMMYFUNCTION("""COMPUTED_VALUE"""),"DSP Mutual Fund")</f>
        <v>DSP Mutual Fund</v>
      </c>
      <c r="B3013" s="1"/>
    </row>
    <row r="3014">
      <c r="A3014" s="1"/>
      <c r="B3014" s="1"/>
    </row>
    <row r="3015">
      <c r="A3015" s="1" t="str">
        <f>IFERROR(__xludf.DUMMYFUNCTION("""COMPUTED_VALUE"""),"123288;-;INF740KA1PB3;DSP Savings Fund - Direct Plan -  IDCW - Daily;10.1527;25-Aug-2023")</f>
        <v>123288;-;INF740KA1PB3;DSP Savings Fund - Direct Plan -  IDCW - Daily;10.1527;25-Aug-2023</v>
      </c>
      <c r="B3015" s="1"/>
    </row>
    <row r="3016">
      <c r="A3016" s="1" t="str">
        <f>IFERROR(__xludf.DUMMYFUNCTION("""COMPUTED_VALUE"""),"119106;INF740K01NU2;-;DSP Savings Fund - Direct Plan - Growth;47.3668;25-Aug-2023")</f>
        <v>119106;INF740K01NU2;-;DSP Savings Fund - Direct Plan - Growth;47.3668;25-Aug-2023</v>
      </c>
      <c r="B3016" s="1"/>
    </row>
    <row r="3017">
      <c r="A3017" s="1" t="str">
        <f>IFERROR(__xludf.DUMMYFUNCTION("""COMPUTED_VALUE"""),"119108;INF740K01NV0;INF740K01NX6;DSP Savings Fund - Direct Plan - IDCW;12.4784;25-Aug-2023")</f>
        <v>119108;INF740K01NV0;INF740K01NX6;DSP Savings Fund - Direct Plan - IDCW;12.4784;25-Aug-2023</v>
      </c>
      <c r="B3017" s="1"/>
    </row>
    <row r="3018">
      <c r="A3018" s="1" t="str">
        <f>IFERROR(__xludf.DUMMYFUNCTION("""COMPUTED_VALUE"""),"119107;INF740K01NT4;INF740K01NW8;DSP Savings Fund - Direct Plan - IDCW - Monthly;10.9068;25-Aug-2023")</f>
        <v>119107;INF740K01NT4;INF740K01NW8;DSP Savings Fund - Direct Plan - IDCW - Monthly;10.9068;25-Aug-2023</v>
      </c>
      <c r="B3018" s="1"/>
    </row>
    <row r="3019">
      <c r="A3019" s="1" t="str">
        <f>IFERROR(__xludf.DUMMYFUNCTION("""COMPUTED_VALUE"""),"100087;INF740K01714;-;DSP Savings Fund - Regular Plan - Growth;46.1653;25-Aug-2023")</f>
        <v>100087;INF740K01714;-;DSP Savings Fund - Regular Plan - Growth;46.1653;25-Aug-2023</v>
      </c>
      <c r="B3019" s="1"/>
    </row>
    <row r="3020">
      <c r="A3020" s="1" t="str">
        <f>IFERROR(__xludf.DUMMYFUNCTION("""COMPUTED_VALUE"""),"100088;INF740K01706;INF740K01AJ2;DSP Savings Fund - Regular Plan - IDCW;12.4376;25-Aug-2023")</f>
        <v>100088;INF740K01706;INF740K01AJ2;DSP Savings Fund - Regular Plan - IDCW;12.4376;25-Aug-2023</v>
      </c>
      <c r="B3020" s="1"/>
    </row>
    <row r="3021">
      <c r="A3021" s="1" t="str">
        <f>IFERROR(__xludf.DUMMYFUNCTION("""COMPUTED_VALUE"""),"123287;-;INF740KA1PC1;DSP Savings Fund - Regular Plan - IDCW - Daily;10.1021;25-Aug-2023")</f>
        <v>123287;-;INF740KA1PC1;DSP Savings Fund - Regular Plan - IDCW - Daily;10.1021;25-Aug-2023</v>
      </c>
      <c r="B3021" s="1"/>
    </row>
    <row r="3022">
      <c r="A3022" s="1" t="str">
        <f>IFERROR(__xludf.DUMMYFUNCTION("""COMPUTED_VALUE"""),"100089;INF740K01722;INF740K01AK0;DSP Savings Fund - Regular Plan - IDCW - Monthly;10.8770;25-Aug-2023")</f>
        <v>100089;INF740K01722;INF740K01AK0;DSP Savings Fund - Regular Plan - IDCW - Monthly;10.8770;25-Aug-2023</v>
      </c>
      <c r="B3022" s="1"/>
    </row>
    <row r="3023">
      <c r="A3023" s="1"/>
      <c r="B3023" s="1"/>
    </row>
    <row r="3024">
      <c r="A3024" s="1" t="str">
        <f>IFERROR(__xludf.DUMMYFUNCTION("""COMPUTED_VALUE"""),"Edelweiss Mutual Fund")</f>
        <v>Edelweiss Mutual Fund</v>
      </c>
      <c r="B3024" s="1"/>
    </row>
    <row r="3025">
      <c r="A3025" s="1"/>
      <c r="B3025" s="1"/>
    </row>
    <row r="3026">
      <c r="A3026" s="1" t="str">
        <f>IFERROR(__xludf.DUMMYFUNCTION("""COMPUTED_VALUE"""),"140236;INF843K01CI2;INF843K01CH4;Edelweiss Money Market Fund - Direct Plan - Annual - IDCW Option;27.3152;25-Aug-2023")</f>
        <v>140236;INF843K01CI2;INF843K01CH4;Edelweiss Money Market Fund - Direct Plan - Annual - IDCW Option;27.3152;25-Aug-2023</v>
      </c>
      <c r="B3026" s="1"/>
    </row>
    <row r="3027">
      <c r="A3027" s="1" t="str">
        <f>IFERROR(__xludf.DUMMYFUNCTION("""COMPUTED_VALUE"""),"140237;INF843K01CE1;-;Edelweiss Money Market Fund - Direct Plan - Growth Option;27.3188;25-Aug-2023")</f>
        <v>140237;INF843K01CE1;-;Edelweiss Money Market Fund - Direct Plan - Growth Option;27.3188;25-Aug-2023</v>
      </c>
      <c r="B3027" s="1"/>
    </row>
    <row r="3028">
      <c r="A3028" s="1" t="str">
        <f>IFERROR(__xludf.DUMMYFUNCTION("""COMPUTED_VALUE"""),"140235;INF843K01CF8;INF843K01CG6;Edelweiss Money Market Fund - Direct Plan - IDCW Option;25.4756;25-Aug-2023")</f>
        <v>140235;INF843K01CF8;INF843K01CG6;Edelweiss Money Market Fund - Direct Plan - IDCW Option;25.4756;25-Aug-2023</v>
      </c>
      <c r="B3028" s="1"/>
    </row>
    <row r="3029">
      <c r="A3029" s="1" t="str">
        <f>IFERROR(__xludf.DUMMYFUNCTION("""COMPUTED_VALUE"""),"140230;INF843K01377;-;Edelweiss Money Market Fund - Institutional Plan - Growth Option;21.4734;25-Aug-2023")</f>
        <v>140230;INF843K01377;-;Edelweiss Money Market Fund - Institutional Plan - Growth Option;21.4734;25-Aug-2023</v>
      </c>
      <c r="B3029" s="1"/>
    </row>
    <row r="3030">
      <c r="A3030" s="1" t="str">
        <f>IFERROR(__xludf.DUMMYFUNCTION("""COMPUTED_VALUE"""),"140233;INF843K01922;INF843K01914;Edelweiss Money Market Fund - Regular Plan - Annual - IDCW Option;24.8839;25-Aug-2023")</f>
        <v>140233;INF843K01922;INF843K01914;Edelweiss Money Market Fund - Regular Plan - Annual - IDCW Option;24.8839;25-Aug-2023</v>
      </c>
      <c r="B3030" s="1"/>
    </row>
    <row r="3031">
      <c r="A3031" s="1" t="str">
        <f>IFERROR(__xludf.DUMMYFUNCTION("""COMPUTED_VALUE"""),"140229;INF843K01344;-;Edelweiss Money Market Fund - Regular Plan - Growth Option;25.0923;25-Aug-2023")</f>
        <v>140229;INF843K01344;-;Edelweiss Money Market Fund - Regular Plan - Growth Option;25.0923;25-Aug-2023</v>
      </c>
      <c r="B3031" s="1"/>
    </row>
    <row r="3032">
      <c r="A3032" s="1" t="str">
        <f>IFERROR(__xludf.DUMMYFUNCTION("""COMPUTED_VALUE"""),"140232;INF843K01351;INF843K01369;Edelweiss Money Market Fund - Regular Plan - IDCW Option;23.6029;25-Aug-2023")</f>
        <v>140232;INF843K01351;INF843K01369;Edelweiss Money Market Fund - Regular Plan - IDCW Option;23.6029;25-Aug-2023</v>
      </c>
      <c r="B3032" s="1"/>
    </row>
    <row r="3033">
      <c r="A3033" s="1"/>
      <c r="B3033" s="1"/>
    </row>
    <row r="3034">
      <c r="A3034" s="1" t="str">
        <f>IFERROR(__xludf.DUMMYFUNCTION("""COMPUTED_VALUE"""),"Franklin Templeton Mutual Fund")</f>
        <v>Franklin Templeton Mutual Fund</v>
      </c>
      <c r="B3034" s="1"/>
    </row>
    <row r="3035">
      <c r="A3035" s="1"/>
      <c r="B3035" s="1"/>
    </row>
    <row r="3036">
      <c r="A3036" s="1" t="str">
        <f>IFERROR(__xludf.DUMMYFUNCTION("""COMPUTED_VALUE"""),"118506;INF090I01GV8;-;Franklin India Money Market Fund - Direct - Growth;45.0764;25-Aug-2023")</f>
        <v>118506;INF090I01GV8;-;Franklin India Money Market Fund - Direct - Growth;45.0764;25-Aug-2023</v>
      </c>
      <c r="B3036" s="1"/>
    </row>
    <row r="3037">
      <c r="A3037" s="1" t="str">
        <f>IFERROR(__xludf.DUMMYFUNCTION("""COMPUTED_VALUE"""),"101357;INF090I01CA1;-;Franklin India Money Market Fund - Growth Option;43.7487;25-Aug-2023")</f>
        <v>101357;INF090I01CA1;-;Franklin India Money Market Fund - Growth Option;43.7487;25-Aug-2023</v>
      </c>
      <c r="B3037" s="1"/>
    </row>
    <row r="3038">
      <c r="A3038" s="1" t="str">
        <f>IFERROR(__xludf.DUMMYFUNCTION("""COMPUTED_VALUE"""),"101359;INF090I01BW7;INF090I01BV9;Franklin India Money Market Fund - Institutional Option - Dividend;0.0000;18-Jun-2020")</f>
        <v>101359;INF090I01BW7;INF090I01BV9;Franklin India Money Market Fund - Institutional Option - Dividend;0.0000;18-Jun-2020</v>
      </c>
      <c r="B3038" s="1"/>
    </row>
    <row r="3039">
      <c r="A3039" s="1" t="str">
        <f>IFERROR(__xludf.DUMMYFUNCTION("""COMPUTED_VALUE"""),"101358;INF090I01BX5;-;Franklin India Money Market Fund - Institutional Option - Growth;0.0000;07-Sep-2015")</f>
        <v>101358;INF090I01BX5;-;Franklin India Money Market Fund - Institutional Option - Growth;0.0000;07-Sep-2015</v>
      </c>
      <c r="B3039" s="1"/>
    </row>
    <row r="3040">
      <c r="A3040" s="1" t="str">
        <f>IFERROR(__xludf.DUMMYFUNCTION("""COMPUTED_VALUE"""),"122443;-;INF090I01KM9;Franklin India Money Market Fund Retail Option - Daily - IDCW;10.0455;25-Aug-2023")</f>
        <v>122443;-;INF090I01KM9;Franklin India Money Market Fund Retail Option - Daily - IDCW;10.0455;25-Aug-2023</v>
      </c>
      <c r="B3040" s="1"/>
    </row>
    <row r="3041">
      <c r="A3041" s="1" t="str">
        <f>IFERROR(__xludf.DUMMYFUNCTION("""COMPUTED_VALUE"""),"122444;-;INF090I01KN7;Franklin India Money Market Fund Retail Option - Direct - Daily - IDCW;10.0569;25-Aug-2023")</f>
        <v>122444;-;INF090I01KN7;Franklin India Money Market Fund Retail Option - Direct - Daily - IDCW;10.0569;25-Aug-2023</v>
      </c>
      <c r="B3041" s="1"/>
    </row>
    <row r="3042">
      <c r="A3042" s="1" t="str">
        <f>IFERROR(__xludf.DUMMYFUNCTION("""COMPUTED_VALUE"""),"129437;INF090I01LC8;INF090I01LD6;Franklin India Money Market Fund Retail Option - Direct - Monthly - IDCW;10.7346;25-Aug-2023")</f>
        <v>129437;INF090I01LC8;INF090I01LD6;Franklin India Money Market Fund Retail Option - Direct - Monthly - IDCW;10.7346;25-Aug-2023</v>
      </c>
      <c r="B3042" s="1"/>
    </row>
    <row r="3043">
      <c r="A3043" s="1" t="str">
        <f>IFERROR(__xludf.DUMMYFUNCTION("""COMPUTED_VALUE"""),"118505;INF090I01GT2;INF090I01GU0;Franklin India Money Market Fund Retail Option - Direct - Quarterly - IDCW;11.1498;25-Aug-2023")</f>
        <v>118505;INF090I01GT2;INF090I01GU0;Franklin India Money Market Fund Retail Option - Direct - Quarterly - IDCW;11.1498;25-Aug-2023</v>
      </c>
      <c r="B3043" s="1"/>
    </row>
    <row r="3044">
      <c r="A3044" s="1" t="str">
        <f>IFERROR(__xludf.DUMMYFUNCTION("""COMPUTED_VALUE"""),"129436;INF090I01LA2;INF090I01LB0;Franklin India Money Market Fund Retail Option - Monthly - IDCW;10.3036;25-Aug-2023")</f>
        <v>129436;INF090I01LA2;INF090I01LB0;Franklin India Money Market Fund Retail Option - Monthly - IDCW;10.3036;25-Aug-2023</v>
      </c>
      <c r="B3044" s="1"/>
    </row>
    <row r="3045">
      <c r="A3045" s="1" t="str">
        <f>IFERROR(__xludf.DUMMYFUNCTION("""COMPUTED_VALUE"""),"101356;INF090I01BZ0;INF090I01BY3;Franklin India Money Market Fund Retail Option - Quarterly - IDCW;10.6612;25-Aug-2023")</f>
        <v>101356;INF090I01BZ0;INF090I01BY3;Franklin India Money Market Fund Retail Option - Quarterly - IDCW;10.6612;25-Aug-2023</v>
      </c>
      <c r="B3045" s="1"/>
    </row>
    <row r="3046">
      <c r="A3046" s="1"/>
      <c r="B3046" s="1"/>
    </row>
    <row r="3047">
      <c r="A3047" s="1" t="str">
        <f>IFERROR(__xludf.DUMMYFUNCTION("""COMPUTED_VALUE"""),"HDFC Mutual Fund")</f>
        <v>HDFC Mutual Fund</v>
      </c>
      <c r="B3047" s="1"/>
    </row>
    <row r="3048">
      <c r="A3048" s="1"/>
      <c r="B3048" s="1"/>
    </row>
    <row r="3049">
      <c r="A3049" s="1" t="str">
        <f>IFERROR(__xludf.DUMMYFUNCTION("""COMPUTED_VALUE"""),"101994;-;INF179KB1IG6;HDFC Money Market Fund - Daily IDCW Option;1063.64;25-Aug-2023")</f>
        <v>101994;-;INF179KB1IG6;HDFC Money Market Fund - Daily IDCW Option;1063.64;25-Aug-2023</v>
      </c>
      <c r="B3049" s="1"/>
    </row>
    <row r="3050">
      <c r="A3050" s="1" t="str">
        <f>IFERROR(__xludf.DUMMYFUNCTION("""COMPUTED_VALUE"""),"119093;-;INF179KB1HZ8;HDFC Money Market Fund - Daily IDCW Option - Direct Plan;1063.64;25-Aug-2023")</f>
        <v>119093;-;INF179KB1HZ8;HDFC Money Market Fund - Daily IDCW Option - Direct Plan;1063.64;25-Aug-2023</v>
      </c>
      <c r="B3050" s="1"/>
    </row>
    <row r="3051">
      <c r="A3051" s="1" t="str">
        <f>IFERROR(__xludf.DUMMYFUNCTION("""COMPUTED_VALUE"""),"101993;INF179KB1HR5;-;HDFC Money Market Fund - Growth Option;4986.8621;25-Aug-2023")</f>
        <v>101993;INF179KB1HR5;-;HDFC Money Market Fund - Growth Option;4986.8621;25-Aug-2023</v>
      </c>
      <c r="B3051" s="1"/>
    </row>
    <row r="3052">
      <c r="A3052" s="1" t="str">
        <f>IFERROR(__xludf.DUMMYFUNCTION("""COMPUTED_VALUE"""),"119092;INF179KB1HU9;-;HDFC Money Market Fund - Growth Option - Direct Plan;5070.6754;25-Aug-2023")</f>
        <v>119092;INF179KB1HU9;-;HDFC Money Market Fund - Growth Option - Direct Plan;5070.6754;25-Aug-2023</v>
      </c>
      <c r="B3052" s="1"/>
    </row>
    <row r="3053">
      <c r="A3053" s="1" t="str">
        <f>IFERROR(__xludf.DUMMYFUNCTION("""COMPUTED_VALUE"""),"101995;INF179KB1IH4;INF179KB1II2;HDFC Money Market Fund - Weekly IDCW Option;1063.9351;25-Aug-2023")</f>
        <v>101995;INF179KB1IH4;INF179KB1II2;HDFC Money Market Fund - Weekly IDCW Option;1063.9351;25-Aug-2023</v>
      </c>
      <c r="B3053" s="1"/>
    </row>
    <row r="3054">
      <c r="A3054" s="1" t="str">
        <f>IFERROR(__xludf.DUMMYFUNCTION("""COMPUTED_VALUE"""),"119094;INF179KB1IA9;INF179KB1IB7;HDFC Money Market Fund - Weekly IDCW Option -Direct Plan;1063.9718;25-Aug-2023")</f>
        <v>119094;INF179KB1IA9;INF179KB1IB7;HDFC Money Market Fund - Weekly IDCW Option -Direct Plan;1063.9718;25-Aug-2023</v>
      </c>
      <c r="B3054" s="1"/>
    </row>
    <row r="3055">
      <c r="A3055" s="1"/>
      <c r="B3055" s="1"/>
    </row>
    <row r="3056">
      <c r="A3056" s="1" t="str">
        <f>IFERROR(__xludf.DUMMYFUNCTION("""COMPUTED_VALUE"""),"HSBC Mutual Fund")</f>
        <v>HSBC Mutual Fund</v>
      </c>
      <c r="B3056" s="1"/>
    </row>
    <row r="3057">
      <c r="A3057" s="1"/>
      <c r="B3057" s="1"/>
    </row>
    <row r="3058">
      <c r="A3058" s="1" t="str">
        <f>IFERROR(__xludf.DUMMYFUNCTION("""COMPUTED_VALUE"""),"151055;-;INF917K01FD8;HSBC Money Market Fund - Direct Daily IDCW;10.8591;25-Aug-2023")</f>
        <v>151055;-;INF917K01FD8;HSBC Money Market Fund - Direct Daily IDCW;10.8591;25-Aug-2023</v>
      </c>
      <c r="B3058" s="1"/>
    </row>
    <row r="3059">
      <c r="A3059" s="1" t="str">
        <f>IFERROR(__xludf.DUMMYFUNCTION("""COMPUTED_VALUE"""),"151054;INF917K01FE6;-;HSBC Money Market Fund - Direct Growth;24.1139;25-Aug-2023")</f>
        <v>151054;INF917K01FE6;-;HSBC Money Market Fund - Direct Growth;24.1139;25-Aug-2023</v>
      </c>
      <c r="B3059" s="1"/>
    </row>
    <row r="3060">
      <c r="A3060" s="1" t="str">
        <f>IFERROR(__xludf.DUMMYFUNCTION("""COMPUTED_VALUE"""),"151052;INF917K01E86;INF917K01FF3;HSBC Money Market Fund - Direct Monthly IDCW;12.2515;25-Aug-2023")</f>
        <v>151052;INF917K01E86;INF917K01FF3;HSBC Money Market Fund - Direct Monthly IDCW;12.2515;25-Aug-2023</v>
      </c>
      <c r="B3060" s="1"/>
    </row>
    <row r="3061">
      <c r="A3061" s="1" t="str">
        <f>IFERROR(__xludf.DUMMYFUNCTION("""COMPUTED_VALUE"""),"151053;-;INF917K01FH9;HSBC Money Market Fund - Direct Weekly IDCW;13.1866;25-Aug-2023")</f>
        <v>151053;-;INF917K01FH9;HSBC Money Market Fund - Direct Weekly IDCW;13.1866;25-Aug-2023</v>
      </c>
      <c r="B3061" s="1"/>
    </row>
    <row r="3062">
      <c r="A3062" s="1" t="str">
        <f>IFERROR(__xludf.DUMMYFUNCTION("""COMPUTED_VALUE"""),"151049;-;INF917K01AY5;HSBC Money Market Fund - Regular Daily IDCW;10.8591;25-Aug-2023")</f>
        <v>151049;-;INF917K01AY5;HSBC Money Market Fund - Regular Daily IDCW;10.8591;25-Aug-2023</v>
      </c>
      <c r="B3062" s="1"/>
    </row>
    <row r="3063">
      <c r="A3063" s="1" t="str">
        <f>IFERROR(__xludf.DUMMYFUNCTION("""COMPUTED_VALUE"""),"151048;INF917K01BC9;-;HSBC Money Market Fund - Regular Growth;23.0988;25-Aug-2023")</f>
        <v>151048;INF917K01BC9;-;HSBC Money Market Fund - Regular Growth;23.0988;25-Aug-2023</v>
      </c>
      <c r="B3063" s="1"/>
    </row>
    <row r="3064">
      <c r="A3064" s="1" t="str">
        <f>IFERROR(__xludf.DUMMYFUNCTION("""COMPUTED_VALUE"""),"151051;INF917K01BB1;INF917K01BA3;HSBC Money Market Fund - Regular Monthly IDCW;11.5958;25-Aug-2023")</f>
        <v>151051;INF917K01BB1;INF917K01BA3;HSBC Money Market Fund - Regular Monthly IDCW;11.5958;25-Aug-2023</v>
      </c>
      <c r="B3064" s="1"/>
    </row>
    <row r="3065">
      <c r="A3065" s="1" t="str">
        <f>IFERROR(__xludf.DUMMYFUNCTION("""COMPUTED_VALUE"""),"151050;-;INF917K01AZ2;HSBC Money Market Fund - Regular Weekly IDCW;13.0994;25-Aug-2023")</f>
        <v>151050;-;INF917K01AZ2;HSBC Money Market Fund - Regular Weekly IDCW;13.0994;25-Aug-2023</v>
      </c>
      <c r="B3065" s="1"/>
    </row>
    <row r="3066">
      <c r="A3066" s="1"/>
      <c r="B3066" s="1"/>
    </row>
    <row r="3067">
      <c r="A3067" s="1" t="str">
        <f>IFERROR(__xludf.DUMMYFUNCTION("""COMPUTED_VALUE"""),"ICICI Prudential Mutual Fund")</f>
        <v>ICICI Prudential Mutual Fund</v>
      </c>
      <c r="B3067" s="1"/>
    </row>
    <row r="3068">
      <c r="A3068" s="1"/>
      <c r="B3068" s="1"/>
    </row>
    <row r="3069">
      <c r="A3069" s="1" t="str">
        <f>IFERROR(__xludf.DUMMYFUNCTION("""COMPUTED_VALUE"""),"130946;INF109KA1H85;-;ICICI Prudential Money Market Fund - Direct Plan Bonus;151.2089;24-Apr-2020")</f>
        <v>130946;INF109KA1H85;-;ICICI Prudential Money Market Fund - Direct Plan Bonus;151.2089;24-Apr-2020</v>
      </c>
      <c r="B3069" s="1"/>
    </row>
    <row r="3070">
      <c r="A3070" s="1" t="str">
        <f>IFERROR(__xludf.DUMMYFUNCTION("""COMPUTED_VALUE"""),"130945;INF109KA1H93;-;ICICI Prudential Money Market Fund -Bonus;118.0134;21-Nov-2016")</f>
        <v>130945;INF109KA1H93;-;ICICI Prudential Money Market Fund -Bonus;118.0134;21-Nov-2016</v>
      </c>
      <c r="B3070" s="1"/>
    </row>
    <row r="3071">
      <c r="A3071" s="1" t="str">
        <f>IFERROR(__xludf.DUMMYFUNCTION("""COMPUTED_VALUE"""),"115328;INF109K01I72;-;ICICI Prudential Money Market Fund Dividend;100.0952;24-Apr-2020")</f>
        <v>115328;INF109K01I72;-;ICICI Prudential Money Market Fund Dividend;100.0952;24-Apr-2020</v>
      </c>
      <c r="B3071" s="1"/>
    </row>
    <row r="3072">
      <c r="A3072" s="1" t="str">
        <f>IFERROR(__xludf.DUMMYFUNCTION("""COMPUTED_VALUE"""),"120209;-;INF109K01R22;ICICI Prudential Money Market Fund Option - Direct Plan -  Daily IDCW;100.1435;25-Aug-2023")</f>
        <v>120209;-;INF109K01R22;ICICI Prudential Money Market Fund Option - Direct Plan -  Daily IDCW;100.1435;25-Aug-2023</v>
      </c>
      <c r="B3072" s="1"/>
    </row>
    <row r="3073">
      <c r="A3073" s="1" t="str">
        <f>IFERROR(__xludf.DUMMYFUNCTION("""COMPUTED_VALUE"""),"120210;INF109K01R55;-;ICICI Prudential Money Market Fund Option - Direct Plan -  Fortnightly IDCW;101.3351;16-Sep-2022")</f>
        <v>120210;INF109K01R55;-;ICICI Prudential Money Market Fund Option - Direct Plan -  Fortnightly IDCW;101.3351;16-Sep-2022</v>
      </c>
      <c r="B3073" s="1"/>
    </row>
    <row r="3074">
      <c r="A3074" s="1" t="str">
        <f>IFERROR(__xludf.DUMMYFUNCTION("""COMPUTED_VALUE"""),"120211;INF109K01R14;-;ICICI Prudential Money Market Fund Option - Direct Plan -  Growth;334.1360;25-Aug-2023")</f>
        <v>120211;INF109K01R14;-;ICICI Prudential Money Market Fund Option - Direct Plan -  Growth;334.1360;25-Aug-2023</v>
      </c>
      <c r="B3074" s="1"/>
    </row>
    <row r="3075">
      <c r="A3075" s="1" t="str">
        <f>IFERROR(__xludf.DUMMYFUNCTION("""COMPUTED_VALUE"""),"120216;INF109K01R30;-;ICICI Prudential Money Market Fund Option - Direct Plan -  IDCW Others;153.0991;25-Aug-2023")</f>
        <v>120216;INF109K01R30;-;ICICI Prudential Money Market Fund Option - Direct Plan -  IDCW Others;153.0991;25-Aug-2023</v>
      </c>
      <c r="B3075" s="1"/>
    </row>
    <row r="3076">
      <c r="A3076" s="1" t="str">
        <f>IFERROR(__xludf.DUMMYFUNCTION("""COMPUTED_VALUE"""),"120213;INF109K01R63;INF109K01R71;ICICI Prudential Money Market Fund Option - Direct Plan -  Monthly IDCW;101.0456;16-Sep-2022")</f>
        <v>120213;INF109K01R63;INF109K01R71;ICICI Prudential Money Market Fund Option - Direct Plan -  Monthly IDCW;101.0456;16-Sep-2022</v>
      </c>
      <c r="B3076" s="1"/>
    </row>
    <row r="3077">
      <c r="A3077" s="1" t="str">
        <f>IFERROR(__xludf.DUMMYFUNCTION("""COMPUTED_VALUE"""),"120212;INF109K01R89;-;ICICI Prudential Money Market Fund Option - Direct Plan -  Weekly IDCW;100.8464;25-Aug-2023")</f>
        <v>120212;INF109K01R89;-;ICICI Prudential Money Market Fund Option - Direct Plan -  Weekly IDCW;100.8464;25-Aug-2023</v>
      </c>
      <c r="B3077" s="1"/>
    </row>
    <row r="3078">
      <c r="A3078" s="1" t="str">
        <f>IFERROR(__xludf.DUMMYFUNCTION("""COMPUTED_VALUE"""),"101221;INF109K01TW3;-;ICICI Prudential Money Market Fund Retail Growth (erstwhile Cash Option);306.6704;24-Apr-2020")</f>
        <v>101221;INF109K01TW3;-;ICICI Prudential Money Market Fund Retail Growth (erstwhile Cash Option);306.6704;24-Apr-2020</v>
      </c>
      <c r="B3078" s="1"/>
    </row>
    <row r="3079">
      <c r="A3079" s="1" t="str">
        <f>IFERROR(__xludf.DUMMYFUNCTION("""COMPUTED_VALUE"""),"103634;INF109K01TY9;-;ICICI Prudential Money Market Fund Option - Daily IDCW;100.1295;25-Aug-2023")</f>
        <v>103634;INF109K01TY9;-;ICICI Prudential Money Market Fund Option - Daily IDCW;100.1295;25-Aug-2023</v>
      </c>
      <c r="B3079" s="1"/>
    </row>
    <row r="3080">
      <c r="A3080" s="1" t="str">
        <f>IFERROR(__xludf.DUMMYFUNCTION("""COMPUTED_VALUE"""),"103633;INF109K01TX1;-;ICICI Prudential Money Market Fund Option - Growth;330.7311;25-Aug-2023")</f>
        <v>103633;INF109K01TX1;-;ICICI Prudential Money Market Fund Option - Growth;330.7311;25-Aug-2023</v>
      </c>
      <c r="B3080" s="1"/>
    </row>
    <row r="3081">
      <c r="A3081" s="1" t="str">
        <f>IFERROR(__xludf.DUMMYFUNCTION("""COMPUTED_VALUE"""),"130013;INF109K01I64;-;ICICI Prudential Money Market Fund Option - IDCW Others;151.8994;25-Aug-2023")</f>
        <v>130013;INF109K01I64;-;ICICI Prudential Money Market Fund Option - IDCW Others;151.8994;25-Aug-2023</v>
      </c>
      <c r="B3081" s="1"/>
    </row>
    <row r="3082">
      <c r="A3082" s="1" t="str">
        <f>IFERROR(__xludf.DUMMYFUNCTION("""COMPUTED_VALUE"""),"103637;INF109K01UC3;INF109K01UB5;ICICI Prudential Money Market Fund Option - Monthly IDCW;100.8819;16-Sep-2022")</f>
        <v>103637;INF109K01UC3;INF109K01UB5;ICICI Prudential Money Market Fund Option - Monthly IDCW;100.8819;16-Sep-2022</v>
      </c>
      <c r="B3082" s="1"/>
    </row>
    <row r="3083">
      <c r="A3083" s="1" t="str">
        <f>IFERROR(__xludf.DUMMYFUNCTION("""COMPUTED_VALUE"""),"103635;INF109K01TZ6;-;ICICI Prudential Money Market Fund Option - Weekly IDCW;100.7826;25-Aug-2023")</f>
        <v>103635;INF109K01TZ6;-;ICICI Prudential Money Market Fund Option - Weekly IDCW;100.7826;25-Aug-2023</v>
      </c>
      <c r="B3083" s="1"/>
    </row>
    <row r="3084">
      <c r="A3084" s="1" t="str">
        <f>IFERROR(__xludf.DUMMYFUNCTION("""COMPUTED_VALUE"""),"103636;INF109K01UA7;-;ICICI Prudential Money Market Fund Option -Fortnightly IDCW;100.6605;16-Sep-2022")</f>
        <v>103636;INF109K01UA7;-;ICICI Prudential Money Market Fund Option -Fortnightly IDCW;100.6605;16-Sep-2022</v>
      </c>
      <c r="B3084" s="1"/>
    </row>
    <row r="3085">
      <c r="A3085" s="1"/>
      <c r="B3085" s="1"/>
    </row>
    <row r="3086">
      <c r="A3086" s="1" t="str">
        <f>IFERROR(__xludf.DUMMYFUNCTION("""COMPUTED_VALUE"""),"Invesco Mutual Fund")</f>
        <v>Invesco Mutual Fund</v>
      </c>
      <c r="B3086" s="1"/>
    </row>
    <row r="3087">
      <c r="A3087" s="1"/>
      <c r="B3087" s="1"/>
    </row>
    <row r="3088">
      <c r="A3088" s="1" t="str">
        <f>IFERROR(__xludf.DUMMYFUNCTION("""COMPUTED_VALUE"""),"115515;-;INF205K01RU7;Invesco India Money Market Fund - Daily IDCW (Reinvestment);1000.29;25-Aug-2023")</f>
        <v>115515;-;INF205K01RU7;Invesco India Money Market Fund - Daily IDCW (Reinvestment);1000.29;25-Aug-2023</v>
      </c>
      <c r="B3088" s="1"/>
    </row>
    <row r="3089">
      <c r="A3089" s="1" t="str">
        <f>IFERROR(__xludf.DUMMYFUNCTION("""COMPUTED_VALUE"""),"120506;-;INF205K01RV5;Invesco India Money Market Fund - Direct Plan - Daily IDCW (Reinvestment);1006.6134;25-Aug-2023")</f>
        <v>120506;-;INF205K01RV5;Invesco India Money Market Fund - Direct Plan - Daily IDCW (Reinvestment);1006.6134;25-Aug-2023</v>
      </c>
      <c r="B3089" s="1"/>
    </row>
    <row r="3090">
      <c r="A3090" s="1" t="str">
        <f>IFERROR(__xludf.DUMMYFUNCTION("""COMPUTED_VALUE"""),"120508;INF205K01RW3;INF205K01RX1;Invesco India Money Market Fund - Direct Plan - Discretionary IDCW (Payout / Reinvestment);2462.4968;25-Aug-2023")</f>
        <v>120508;INF205K01RW3;INF205K01RX1;Invesco India Money Market Fund - Direct Plan - Discretionary IDCW (Payout / Reinvestment);2462.4968;25-Aug-2023</v>
      </c>
      <c r="B3090" s="1"/>
    </row>
    <row r="3091">
      <c r="A3091" s="1" t="str">
        <f>IFERROR(__xludf.DUMMYFUNCTION("""COMPUTED_VALUE"""),"120507;INF205K01RY9;-;Invesco India Money Market Fund - Direct Plan - Growth;2748.8798;25-Aug-2023")</f>
        <v>120507;INF205K01RY9;-;Invesco India Money Market Fund - Direct Plan - Growth;2748.8798;25-Aug-2023</v>
      </c>
      <c r="B3091" s="1"/>
    </row>
    <row r="3092">
      <c r="A3092" s="1" t="str">
        <f>IFERROR(__xludf.DUMMYFUNCTION("""COMPUTED_VALUE"""),"120509;INF205K01RZ6;INF205K01SA7;Invesco India Money Market Fund - Direct Plan - Monthly IDCW (Payout / Reinvestment);1063.8433;25-Aug-2023")</f>
        <v>120509;INF205K01RZ6;INF205K01SA7;Invesco India Money Market Fund - Direct Plan - Monthly IDCW (Payout / Reinvestment);1063.8433;25-Aug-2023</v>
      </c>
      <c r="B3092" s="1"/>
    </row>
    <row r="3093">
      <c r="A3093" s="1" t="str">
        <f>IFERROR(__xludf.DUMMYFUNCTION("""COMPUTED_VALUE"""),"116653;INF205K01SB5;INF205K01SC3;Invesco India Money Market Fund - Discretionary IDCW (Payout / Reinvestment);2670.9445;25-Aug-2023")</f>
        <v>116653;INF205K01SB5;INF205K01SC3;Invesco India Money Market Fund - Discretionary IDCW (Payout / Reinvestment);2670.9445;25-Aug-2023</v>
      </c>
      <c r="B3093" s="1"/>
    </row>
    <row r="3094">
      <c r="A3094" s="1" t="str">
        <f>IFERROR(__xludf.DUMMYFUNCTION("""COMPUTED_VALUE"""),"112123;INF205K01SD1;-;Invesco India Money Market Fund - Growth;2667.7672;25-Aug-2023")</f>
        <v>112123;INF205K01SD1;-;Invesco India Money Market Fund - Growth;2667.7672;25-Aug-2023</v>
      </c>
      <c r="B3094" s="1"/>
    </row>
    <row r="3095">
      <c r="A3095" s="1" t="str">
        <f>IFERROR(__xludf.DUMMYFUNCTION("""COMPUTED_VALUE"""),"112125;INF205K01SE9;INF205K01SF6;Invesco India Money Market Fund - Monthly IDCW (Payout / Reinvestment);1022.1498;25-Aug-2023")</f>
        <v>112125;INF205K01SE9;INF205K01SF6;Invesco India Money Market Fund - Monthly IDCW (Payout / Reinvestment);1022.1498;25-Aug-2023</v>
      </c>
      <c r="B3095" s="1"/>
    </row>
    <row r="3096">
      <c r="A3096" s="1" t="str">
        <f>IFERROR(__xludf.DUMMYFUNCTION("""COMPUTED_VALUE"""),"112120;INF205K01SG4;-;Invesco India Money Market Fund - Regular - Growth;2392.3167;25-Aug-2023")</f>
        <v>112120;INF205K01SG4;-;Invesco India Money Market Fund - Regular - Growth;2392.3167;25-Aug-2023</v>
      </c>
      <c r="B3096" s="1"/>
    </row>
    <row r="3097">
      <c r="A3097" s="1" t="str">
        <f>IFERROR(__xludf.DUMMYFUNCTION("""COMPUTED_VALUE"""),"112122;INF205K01SH2;INF205K01SI0;Invesco India Money Market Fund - Regular - Monthly IDCW (Payout / Reinvestment);1270.6282;25-Aug-2023")</f>
        <v>112122;INF205K01SH2;INF205K01SI0;Invesco India Money Market Fund - Regular - Monthly IDCW (Payout / Reinvestment);1270.6282;25-Aug-2023</v>
      </c>
      <c r="B3097" s="1"/>
    </row>
    <row r="3098">
      <c r="A3098" s="1" t="str">
        <f>IFERROR(__xludf.DUMMYFUNCTION("""COMPUTED_VALUE"""),"116488;-;INF205K01UW7;Invesco India Money Market Fund - Regular Plan - Daily IDCW (Reinvestment);1002.85;25-Aug-2023")</f>
        <v>116488;-;INF205K01UW7;Invesco India Money Market Fund - Regular Plan - Daily IDCW (Reinvestment);1002.85;25-Aug-2023</v>
      </c>
      <c r="B3098" s="1"/>
    </row>
    <row r="3099">
      <c r="A3099" s="1"/>
      <c r="B3099" s="1"/>
    </row>
    <row r="3100">
      <c r="A3100" s="1" t="str">
        <f>IFERROR(__xludf.DUMMYFUNCTION("""COMPUTED_VALUE"""),"JM Financial Mutual Fund")</f>
        <v>JM Financial Mutual Fund</v>
      </c>
      <c r="B3100" s="1"/>
    </row>
    <row r="3101">
      <c r="A3101" s="1"/>
      <c r="B3101" s="1"/>
    </row>
    <row r="3102">
      <c r="A3102" s="1" t="str">
        <f>IFERROR(__xludf.DUMMYFUNCTION("""COMPUTED_VALUE"""),"143602;-;INF192K01DR3;JM Money Market Fund (Direct) - Fortnightly Dividend Option;10.3279;25-Sep-2020")</f>
        <v>143602;-;INF192K01DR3;JM Money Market Fund (Direct) - Fortnightly Dividend Option;10.3279;25-Sep-2020</v>
      </c>
      <c r="B3102" s="1"/>
    </row>
    <row r="3103">
      <c r="A3103" s="1" t="str">
        <f>IFERROR(__xludf.DUMMYFUNCTION("""COMPUTED_VALUE"""),"143597;INF192K01DS1;-;JM Money Market Fund (Direct) - Growth;28.7506;25-Sep-2020")</f>
        <v>143597;INF192K01DS1;-;JM Money Market Fund (Direct) - Growth;28.7506;25-Sep-2020</v>
      </c>
      <c r="B3103" s="1"/>
    </row>
    <row r="3104">
      <c r="A3104" s="1" t="str">
        <f>IFERROR(__xludf.DUMMYFUNCTION("""COMPUTED_VALUE"""),"143599;-;INF192K01DQ5;JM Money Market Fund (Direct) - Weekly Dividend;10.6743;25-Sep-2020")</f>
        <v>143599;-;INF192K01DQ5;JM Money Market Fund (Direct) - Weekly Dividend;10.6743;25-Sep-2020</v>
      </c>
      <c r="B3104" s="1"/>
    </row>
    <row r="3105">
      <c r="A3105" s="1" t="str">
        <f>IFERROR(__xludf.DUMMYFUNCTION("""COMPUTED_VALUE"""),"143592;INF192K01FH9;-;JM Money Market Fund (Direct) Bonus Option - Principal Units;15.9606;25-Sep-2020")</f>
        <v>143592;INF192K01FH9;-;JM Money Market Fund (Direct) Bonus Option - Principal Units;15.9606;25-Sep-2020</v>
      </c>
      <c r="B3105" s="1"/>
    </row>
    <row r="3106">
      <c r="A3106" s="1" t="str">
        <f>IFERROR(__xludf.DUMMYFUNCTION("""COMPUTED_VALUE"""),"143595;-;INF192K01DP7;JM Money Market Fund (Direct)- Daily Dividend Option;10.0508;25-Sep-2020")</f>
        <v>143595;-;INF192K01DP7;JM Money Market Fund (Direct)- Daily Dividend Option;10.0508;25-Sep-2020</v>
      </c>
      <c r="B3106" s="1"/>
    </row>
    <row r="3107">
      <c r="A3107" s="1" t="str">
        <f>IFERROR(__xludf.DUMMYFUNCTION("""COMPUTED_VALUE"""),"143601;INF192K01FF3;-;JM Money Market Fund - Bonus Option - Principal Units;15.7555;25-Sep-2020")</f>
        <v>143601;INF192K01FF3;-;JM Money Market Fund - Bonus Option - Principal Units;15.7555;25-Sep-2020</v>
      </c>
      <c r="B3107" s="1"/>
    </row>
    <row r="3108">
      <c r="A3108" s="1" t="str">
        <f>IFERROR(__xludf.DUMMYFUNCTION("""COMPUTED_VALUE"""),"143594;-;INF192K01AR9;JM Money Market Fund - Daily Dividend;10.0418;25-Sep-2020")</f>
        <v>143594;-;INF192K01AR9;JM Money Market Fund - Daily Dividend;10.0418;25-Sep-2020</v>
      </c>
      <c r="B3108" s="1"/>
    </row>
    <row r="3109">
      <c r="A3109" s="1" t="str">
        <f>IFERROR(__xludf.DUMMYFUNCTION("""COMPUTED_VALUE"""),"143596;-;INF192K01AT5;JM Money Market Fund - Fortnighly Dividend;10.3110;25-Sep-2020")</f>
        <v>143596;-;INF192K01AT5;JM Money Market Fund - Fortnighly Dividend;10.3110;25-Sep-2020</v>
      </c>
      <c r="B3109" s="1"/>
    </row>
    <row r="3110">
      <c r="A3110" s="1" t="str">
        <f>IFERROR(__xludf.DUMMYFUNCTION("""COMPUTED_VALUE"""),"143598;INF192K01AU3;-;JM Money Market Fund - Growth;28.2812;25-Sep-2020")</f>
        <v>143598;INF192K01AU3;-;JM Money Market Fund - Growth;28.2812;25-Sep-2020</v>
      </c>
      <c r="B3110" s="1"/>
    </row>
    <row r="3111">
      <c r="A3111" s="1" t="str">
        <f>IFERROR(__xludf.DUMMYFUNCTION("""COMPUTED_VALUE"""),"143600;-;INF192K01AS7;JM Money Market Fund - Weekly Dividend;10.6454;25-Sep-2020")</f>
        <v>143600;-;INF192K01AS7;JM Money Market Fund - Weekly Dividend;10.6454;25-Sep-2020</v>
      </c>
      <c r="B3111" s="1"/>
    </row>
    <row r="3112">
      <c r="A3112" s="1"/>
      <c r="B3112" s="1"/>
    </row>
    <row r="3113">
      <c r="A3113" s="1" t="str">
        <f>IFERROR(__xludf.DUMMYFUNCTION("""COMPUTED_VALUE"""),"Kotak Mahindra Mutual Fund")</f>
        <v>Kotak Mahindra Mutual Fund</v>
      </c>
      <c r="B3113" s="1"/>
    </row>
    <row r="3114">
      <c r="A3114" s="1"/>
      <c r="B3114" s="1"/>
    </row>
    <row r="3115">
      <c r="A3115" s="1" t="str">
        <f>IFERROR(__xludf.DUMMYFUNCTION("""COMPUTED_VALUE"""),"101893;INF174K01NA6;-;Kotak Money Market Scheme - (Growth);3915.5606;25-Aug-2023")</f>
        <v>101893;INF174K01NA6;-;Kotak Money Market Scheme - (Growth);3915.5606;25-Aug-2023</v>
      </c>
      <c r="B3115" s="1"/>
    </row>
    <row r="3116">
      <c r="A3116" s="1" t="str">
        <f>IFERROR(__xludf.DUMMYFUNCTION("""COMPUTED_VALUE"""),"119746;INF174K01MW2;-;Kotak Money Market Scheme - (Growth) - Direct;3943.0466;25-Aug-2023")</f>
        <v>119746;INF174K01MW2;-;Kotak Money Market Scheme - (Growth) - Direct;3943.0466;25-Aug-2023</v>
      </c>
      <c r="B3116" s="1"/>
    </row>
    <row r="3117">
      <c r="A3117" s="1" t="str">
        <f>IFERROR(__xludf.DUMMYFUNCTION("""COMPUTED_VALUE"""),"101892;INF174K018O0;INF174K01NB4;Kotak Money market Scheme - (Monthly Payout of Income Distribution cum capital withdrawal option);1052.6871;25-Aug-2023")</f>
        <v>101892;INF174K018O0;INF174K01NB4;Kotak Money market Scheme - (Monthly Payout of Income Distribution cum capital withdrawal option);1052.6871;25-Aug-2023</v>
      </c>
      <c r="B3117" s="1"/>
    </row>
    <row r="3118">
      <c r="A3118" s="1" t="str">
        <f>IFERROR(__xludf.DUMMYFUNCTION("""COMPUTED_VALUE"""),"119747;INF174K019O8;INF174K01MX0;Kotak Money Market Scheme - (Monthly Payout of Income Distribution cum capital withdrawal option) - Direct;1126.1641;25-Aug-2023")</f>
        <v>119747;INF174K019O8;INF174K01MX0;Kotak Money Market Scheme - (Monthly Payout of Income Distribution cum capital withdrawal option) - Direct;1126.1641;25-Aug-2023</v>
      </c>
      <c r="B3118" s="1"/>
    </row>
    <row r="3119">
      <c r="A3119" s="1"/>
      <c r="B3119" s="1"/>
    </row>
    <row r="3120">
      <c r="A3120" s="1" t="str">
        <f>IFERROR(__xludf.DUMMYFUNCTION("""COMPUTED_VALUE"""),"LIC Mutual Fund")</f>
        <v>LIC Mutual Fund</v>
      </c>
      <c r="B3120" s="1"/>
    </row>
    <row r="3121">
      <c r="A3121" s="1"/>
      <c r="B3121" s="1"/>
    </row>
    <row r="3122">
      <c r="A3122" s="1" t="str">
        <f>IFERROR(__xludf.DUMMYFUNCTION("""COMPUTED_VALUE"""),"150392;INF767K01RE0;-;LIC MF Money Market Fund-Direct Growth;1065.3764;25-Aug-2023")</f>
        <v>150392;INF767K01RE0;-;LIC MF Money Market Fund-Direct Growth;1065.3764;25-Aug-2023</v>
      </c>
      <c r="B3122" s="1"/>
    </row>
    <row r="3123">
      <c r="A3123" s="1" t="str">
        <f>IFERROR(__xludf.DUMMYFUNCTION("""COMPUTED_VALUE"""),"150393;INF767K01RB6;-;LIC MF Money Market Fund-Regular Growth;1060.4772;25-Aug-2023")</f>
        <v>150393;INF767K01RB6;-;LIC MF Money Market Fund-Regular Growth;1060.4772;25-Aug-2023</v>
      </c>
      <c r="B3123" s="1"/>
    </row>
    <row r="3124">
      <c r="A3124" s="1" t="str">
        <f>IFERROR(__xludf.DUMMYFUNCTION("""COMPUTED_VALUE"""),"150394;INF767K01RC4;INF767K01RD2;LIC MF Money Market Fund-Regular IDCW;1060.4772;25-Aug-2023")</f>
        <v>150394;INF767K01RC4;INF767K01RD2;LIC MF Money Market Fund-Regular IDCW;1060.4772;25-Aug-2023</v>
      </c>
      <c r="B3124" s="1"/>
    </row>
    <row r="3125">
      <c r="A3125" s="1"/>
      <c r="B3125" s="1"/>
    </row>
    <row r="3126">
      <c r="A3126" s="1" t="str">
        <f>IFERROR(__xludf.DUMMYFUNCTION("""COMPUTED_VALUE"""),"Mirae Asset Mutual Fund")</f>
        <v>Mirae Asset Mutual Fund</v>
      </c>
      <c r="B3126" s="1"/>
    </row>
    <row r="3127">
      <c r="A3127" s="1"/>
      <c r="B3127" s="1"/>
    </row>
    <row r="3128">
      <c r="A3128" s="1" t="str">
        <f>IFERROR(__xludf.DUMMYFUNCTION("""COMPUTED_VALUE"""),"149112;INF769K01HN8;-;Mirae Asset Money Market Fund Direct Growth;1110.0328;25-Aug-2023")</f>
        <v>149112;INF769K01HN8;-;Mirae Asset Money Market Fund Direct Growth;1110.0328;25-Aug-2023</v>
      </c>
      <c r="B3128" s="1"/>
    </row>
    <row r="3129">
      <c r="A3129" s="1" t="str">
        <f>IFERROR(__xludf.DUMMYFUNCTION("""COMPUTED_VALUE"""),"149113;INF769K01HM0;INF769K01HO6;Mirae Asset Money Market Fund Direct IDCW;1108.5210;25-Aug-2023")</f>
        <v>149113;INF769K01HM0;INF769K01HO6;Mirae Asset Money Market Fund Direct IDCW;1108.5210;25-Aug-2023</v>
      </c>
      <c r="B3129" s="1"/>
    </row>
    <row r="3130">
      <c r="A3130" s="1" t="str">
        <f>IFERROR(__xludf.DUMMYFUNCTION("""COMPUTED_VALUE"""),"149115;INF769K01HK4;-;Mirae Asset Money Market Fund Regular Growth;1101.4924;25-Aug-2023")</f>
        <v>149115;INF769K01HK4;-;Mirae Asset Money Market Fund Regular Growth;1101.4924;25-Aug-2023</v>
      </c>
      <c r="B3130" s="1"/>
    </row>
    <row r="3131">
      <c r="A3131" s="1" t="str">
        <f>IFERROR(__xludf.DUMMYFUNCTION("""COMPUTED_VALUE"""),"149114;INF769K01HJ6;INF769K01HL2;Mirae Asset Money Market Fund Regular IDCW;1101.4644;25-Aug-2023")</f>
        <v>149114;INF769K01HJ6;INF769K01HL2;Mirae Asset Money Market Fund Regular IDCW;1101.4644;25-Aug-2023</v>
      </c>
      <c r="B3131" s="1"/>
    </row>
    <row r="3132">
      <c r="A3132" s="1"/>
      <c r="B3132" s="1"/>
    </row>
    <row r="3133">
      <c r="A3133" s="1" t="str">
        <f>IFERROR(__xludf.DUMMYFUNCTION("""COMPUTED_VALUE"""),"Nippon India Mutual Fund")</f>
        <v>Nippon India Mutual Fund</v>
      </c>
      <c r="B3133" s="1"/>
    </row>
    <row r="3134">
      <c r="A3134" s="1"/>
      <c r="B3134" s="1"/>
    </row>
    <row r="3135">
      <c r="A3135" s="1" t="str">
        <f>IFERROR(__xludf.DUMMYFUNCTION("""COMPUTED_VALUE"""),"103050;-;INF204K01UY6;NIPPON INDIA MONEY MARKET FUND - DAILY IDCW Option;1003.9029;25-Aug-2023")</f>
        <v>103050;-;INF204K01UY6;NIPPON INDIA MONEY MARKET FUND - DAILY IDCW Option;1003.9029;25-Aug-2023</v>
      </c>
      <c r="B3135" s="1"/>
    </row>
    <row r="3136">
      <c r="A3136" s="1" t="str">
        <f>IFERROR(__xludf.DUMMYFUNCTION("""COMPUTED_VALUE"""),"118718;-;INF204K01ZN8;NIPPON INDIA MONEY MARKET FUND - DIRECT Plan - DAILY IDCW Option;1003.8273;25-Aug-2023")</f>
        <v>118718;-;INF204K01ZN8;NIPPON INDIA MONEY MARKET FUND - DIRECT Plan - DAILY IDCW Option;1003.8273;25-Aug-2023</v>
      </c>
      <c r="B3136" s="1"/>
    </row>
    <row r="3137">
      <c r="A3137" s="1" t="str">
        <f>IFERROR(__xludf.DUMMYFUNCTION("""COMPUTED_VALUE"""),"118720;INF204K01ZQ1;INF204K01ZR9;NIPPON INDIA MONEY MARKET FUND - DIRECT Plan - MONTHLY IDCW Option;1019.6308;25-Aug-2023")</f>
        <v>118720;INF204K01ZQ1;INF204K01ZR9;NIPPON INDIA MONEY MARKET FUND - DIRECT Plan - MONTHLY IDCW Option;1019.6308;25-Aug-2023</v>
      </c>
      <c r="B3137" s="1"/>
    </row>
    <row r="3138">
      <c r="A3138" s="1" t="str">
        <f>IFERROR(__xludf.DUMMYFUNCTION("""COMPUTED_VALUE"""),"118716;INF204K01ZS7;INF204K01ZT5;NIPPON INDIA MONEY MARKET FUND - DIRECT Plan - QUARTERLY IDCW Option;1023.0615;25-Aug-2023")</f>
        <v>118716;INF204K01ZS7;INF204K01ZT5;NIPPON INDIA MONEY MARKET FUND - DIRECT Plan - QUARTERLY IDCW Option;1023.0615;25-Aug-2023</v>
      </c>
      <c r="B3138" s="1"/>
    </row>
    <row r="3139">
      <c r="A3139" s="1" t="str">
        <f>IFERROR(__xludf.DUMMYFUNCTION("""COMPUTED_VALUE"""),"118717;-;INF204K01ZO6;NIPPON INDIA MONEY MARKET FUND - DIRECT Plan - WEEKLY IDCW Option;1004.3000;25-Aug-2023")</f>
        <v>118717;-;INF204K01ZO6;NIPPON INDIA MONEY MARKET FUND - DIRECT Plan - WEEKLY IDCW Option;1004.3000;25-Aug-2023</v>
      </c>
      <c r="B3139" s="1"/>
    </row>
    <row r="3140">
      <c r="A3140" s="1" t="str">
        <f>IFERROR(__xludf.DUMMYFUNCTION("""COMPUTED_VALUE"""),"118715;INF204K01G11;-;Nippon India Money Market Fund - Direct Plan Growth Plan - Bonus Option;2148.4296;25-Aug-2023")</f>
        <v>118715;INF204K01G11;-;Nippon India Money Market Fund - Direct Plan Growth Plan - Bonus Option;2148.4296;25-Aug-2023</v>
      </c>
      <c r="B3140" s="1"/>
    </row>
    <row r="3141">
      <c r="A3141" s="1" t="str">
        <f>IFERROR(__xludf.DUMMYFUNCTION("""COMPUTED_VALUE"""),"118719;INF204K01ZP3;-;Nippon India Money Market Fund - Direct Plan Growth Plan - Growth Option;3653.6537;25-Aug-2023")</f>
        <v>118719;INF204K01ZP3;-;Nippon India Money Market Fund - Direct Plan Growth Plan - Growth Option;3653.6537;25-Aug-2023</v>
      </c>
      <c r="B3141" s="1"/>
    </row>
    <row r="3142">
      <c r="A3142" s="1" t="str">
        <f>IFERROR(__xludf.DUMMYFUNCTION("""COMPUTED_VALUE"""),"103052;INF204K01VB2;INF204K01VC0;NIPPON INDIA MONEY MARKET FUND - MONTHLY IDCW Option;1019.4601;25-Aug-2023")</f>
        <v>103052;INF204K01VB2;INF204K01VC0;NIPPON INDIA MONEY MARKET FUND - MONTHLY IDCW Option;1019.4601;25-Aug-2023</v>
      </c>
      <c r="B3142" s="1"/>
    </row>
    <row r="3143">
      <c r="A3143" s="1" t="str">
        <f>IFERROR(__xludf.DUMMYFUNCTION("""COMPUTED_VALUE"""),"112341;INF204K01VD8;INF204K01VE6;NIPPON INDIA MONEY MARKET FUND - QUARTERLY IDCW Option;1022.9002;25-Aug-2023")</f>
        <v>112341;INF204K01VD8;INF204K01VE6;NIPPON INDIA MONEY MARKET FUND - QUARTERLY IDCW Option;1022.9002;25-Aug-2023</v>
      </c>
      <c r="B3143" s="1"/>
    </row>
    <row r="3144">
      <c r="A3144" s="1" t="str">
        <f>IFERROR(__xludf.DUMMYFUNCTION("""COMPUTED_VALUE"""),"103051;-;INF204K01UZ3;NIPPON INDIA MONEY MARKET FUND - WEEKLY IDCW Option;1004.3197;25-Aug-2023")</f>
        <v>103051;-;INF204K01UZ3;NIPPON INDIA MONEY MARKET FUND - WEEKLY IDCW Option;1004.3197;25-Aug-2023</v>
      </c>
      <c r="B3144" s="1"/>
    </row>
    <row r="3145">
      <c r="A3145" s="1" t="str">
        <f>IFERROR(__xludf.DUMMYFUNCTION("""COMPUTED_VALUE"""),"103049;INF204K01UX8;-;Nippon India Money Market Fund-Growth Plan-Bonus Option;1713.3216;14-Aug-2019")</f>
        <v>103049;INF204K01UX8;-;Nippon India Money Market Fund-Growth Plan-Bonus Option;1713.3216;14-Aug-2019</v>
      </c>
      <c r="B3145" s="1"/>
    </row>
    <row r="3146">
      <c r="A3146" s="1" t="str">
        <f>IFERROR(__xludf.DUMMYFUNCTION("""COMPUTED_VALUE"""),"103048;INF204K01VA4;-;Nippon India Money Market Fund-Growth Plan-Growth Option;3616.0445;25-Aug-2023")</f>
        <v>103048;INF204K01VA4;-;Nippon India Money Market Fund-Growth Plan-Growth Option;3616.0445;25-Aug-2023</v>
      </c>
      <c r="B3146" s="1"/>
    </row>
    <row r="3147">
      <c r="A3147" s="1"/>
      <c r="B3147" s="1"/>
    </row>
    <row r="3148">
      <c r="A3148" s="1" t="str">
        <f>IFERROR(__xludf.DUMMYFUNCTION("""COMPUTED_VALUE"""),"PGIM India Mutual Fund")</f>
        <v>PGIM India Mutual Fund</v>
      </c>
      <c r="B3148" s="1"/>
    </row>
    <row r="3149">
      <c r="A3149" s="1"/>
      <c r="B3149" s="1"/>
    </row>
    <row r="3150">
      <c r="A3150" s="1" t="str">
        <f>IFERROR(__xludf.DUMMYFUNCTION("""COMPUTED_VALUE"""),"148162;-;INF663L01U16;PGIM India Money Market Fund - Direct Plan - Daily Dividend Option;1006.0804;25-Aug-2023")</f>
        <v>148162;-;INF663L01U16;PGIM India Money Market Fund - Direct Plan - Daily Dividend Option;1006.0804;25-Aug-2023</v>
      </c>
      <c r="B3150" s="1"/>
    </row>
    <row r="3151">
      <c r="A3151" s="1" t="str">
        <f>IFERROR(__xludf.DUMMYFUNCTION("""COMPUTED_VALUE"""),"148161;INF663L01T84;-;PGIM India Money Market Fund - Direct Plan - Growth Option;1193.212;25-Aug-2023")</f>
        <v>148161;INF663L01T84;-;PGIM India Money Market Fund - Direct Plan - Growth Option;1193.212;25-Aug-2023</v>
      </c>
      <c r="B3151" s="1"/>
    </row>
    <row r="3152">
      <c r="A3152" s="1" t="str">
        <f>IFERROR(__xludf.DUMMYFUNCTION("""COMPUTED_VALUE"""),"148163;INF663L01T92;-;PGIM India Money Market Fund - Direct Plan - Monthly Dividend Option;1037.2719;25-Aug-2023")</f>
        <v>148163;INF663L01T92;-;PGIM India Money Market Fund - Direct Plan - Monthly Dividend Option;1037.2719;25-Aug-2023</v>
      </c>
      <c r="B3152" s="1"/>
    </row>
    <row r="3153">
      <c r="A3153" s="1" t="str">
        <f>IFERROR(__xludf.DUMMYFUNCTION("""COMPUTED_VALUE"""),"148164;-;INF663L01U08;PGIM India Money Market Fund - Direct Plan - Weekly Dividend Option;1002.6587;25-Aug-2023")</f>
        <v>148164;-;INF663L01U08;PGIM India Money Market Fund - Direct Plan - Weekly Dividend Option;1002.6587;25-Aug-2023</v>
      </c>
      <c r="B3153" s="1"/>
    </row>
    <row r="3154">
      <c r="A3154" s="1" t="str">
        <f>IFERROR(__xludf.DUMMYFUNCTION("""COMPUTED_VALUE"""),"148160;-;INF663L01U57;PGIM India Money Market Fund - Regular Plan - Daily Dividend Option;1006.0777;25-Aug-2023")</f>
        <v>148160;-;INF663L01U57;PGIM India Money Market Fund - Regular Plan - Daily Dividend Option;1006.0777;25-Aug-2023</v>
      </c>
      <c r="B3154" s="1"/>
    </row>
    <row r="3155">
      <c r="A3155" s="1" t="str">
        <f>IFERROR(__xludf.DUMMYFUNCTION("""COMPUTED_VALUE"""),"148159;INF663L01U24;-;PGIM India Money Market Fund - Regular Plan - Growth Option;1164.9321;25-Aug-2023")</f>
        <v>148159;INF663L01U24;-;PGIM India Money Market Fund - Regular Plan - Growth Option;1164.9321;25-Aug-2023</v>
      </c>
      <c r="B3155" s="1"/>
    </row>
    <row r="3156">
      <c r="A3156" s="1" t="str">
        <f>IFERROR(__xludf.DUMMYFUNCTION("""COMPUTED_VALUE"""),"148157;INF663L01U32;-;PGIM India Money Market Fund - Regular Plan - Monthly Dividend Option;1030.4482;25-Aug-2023")</f>
        <v>148157;INF663L01U32;-;PGIM India Money Market Fund - Regular Plan - Monthly Dividend Option;1030.4482;25-Aug-2023</v>
      </c>
      <c r="B3156" s="1"/>
    </row>
    <row r="3157">
      <c r="A3157" s="1" t="str">
        <f>IFERROR(__xludf.DUMMYFUNCTION("""COMPUTED_VALUE"""),"148158;-;INF663L01U40;PGIM India Money Market Fund - Regular Plan - Weekly Dividend Option;1002.8961;19-Jul-2023")</f>
        <v>148158;-;INF663L01U40;PGIM India Money Market Fund - Regular Plan - Weekly Dividend Option;1002.8961;19-Jul-2023</v>
      </c>
      <c r="B3157" s="1"/>
    </row>
    <row r="3158">
      <c r="A3158" s="1"/>
      <c r="B3158" s="1"/>
    </row>
    <row r="3159">
      <c r="A3159" s="1" t="str">
        <f>IFERROR(__xludf.DUMMYFUNCTION("""COMPUTED_VALUE"""),"SBI Mutual Fund")</f>
        <v>SBI Mutual Fund</v>
      </c>
      <c r="B3159" s="1"/>
    </row>
    <row r="3160">
      <c r="A3160" s="1"/>
      <c r="B3160" s="1"/>
    </row>
    <row r="3161">
      <c r="A3161" s="1" t="str">
        <f>IFERROR(__xludf.DUMMYFUNCTION("""COMPUTED_VALUE"""),"119821;INF200K01SZ5;-;SBI  SAVINGS FUND - DIRECT PLAN - GROWTH;38.6989;25-Aug-2023")</f>
        <v>119821;INF200K01SZ5;-;SBI  SAVINGS FUND - DIRECT PLAN - GROWTH;38.6989;25-Aug-2023</v>
      </c>
      <c r="B3161" s="1"/>
    </row>
    <row r="3162">
      <c r="A3162" s="1" t="str">
        <f>IFERROR(__xludf.DUMMYFUNCTION("""COMPUTED_VALUE"""),"102503;INF200K01636;-;SBI  SAVINGS FUND - REGULAR PLAN - GROWTH;36.3949;25-Aug-2023")</f>
        <v>102503;INF200K01636;-;SBI  SAVINGS FUND - REGULAR PLAN - GROWTH;36.3949;25-Aug-2023</v>
      </c>
      <c r="B3162" s="1"/>
    </row>
    <row r="3163">
      <c r="A3163" s="1" t="str">
        <f>IFERROR(__xludf.DUMMYFUNCTION("""COMPUTED_VALUE"""),"119820;INF200K01SX0;INF200K01SY8;SBI Savings Fund - Direct Plan - Income Distribution cum Capital Withdrawal Option (IDCW);15.3390;25-Aug-2023")</f>
        <v>119820;INF200K01SX0;INF200K01SY8;SBI Savings Fund - Direct Plan - Income Distribution cum Capital Withdrawal Option (IDCW);15.3390;25-Aug-2023</v>
      </c>
      <c r="B3163" s="1"/>
    </row>
    <row r="3164">
      <c r="A3164" s="1" t="str">
        <f>IFERROR(__xludf.DUMMYFUNCTION("""COMPUTED_VALUE"""),"119822;-;INF200K01SW2;SBI Savings Fund - Direct Plan Daily Income Distribution cum Capital Withdrawal Option (IDCW);12.0838;25-Aug-2023")</f>
        <v>119822;-;INF200K01SW2;SBI Savings Fund - Direct Plan Daily Income Distribution cum Capital Withdrawal Option (IDCW);12.0838;25-Aug-2023</v>
      </c>
      <c r="B3164" s="1"/>
    </row>
    <row r="3165">
      <c r="A3165" s="1" t="str">
        <f>IFERROR(__xludf.DUMMYFUNCTION("""COMPUTED_VALUE"""),"119823;INF200K01TA6;INF200K01TB4;SBI Savings Fund - Direct Plan Weekly Income Distribution cum Capital Withdrawal Option (IDCW);13.9012;25-Aug-2023")</f>
        <v>119823;INF200K01TA6;INF200K01TB4;SBI Savings Fund - Direct Plan Weekly Income Distribution cum Capital Withdrawal Option (IDCW);13.9012;25-Aug-2023</v>
      </c>
      <c r="B3165" s="1"/>
    </row>
    <row r="3166">
      <c r="A3166" s="1" t="str">
        <f>IFERROR(__xludf.DUMMYFUNCTION("""COMPUTED_VALUE"""),"102504;INF200K01644;INF200K01651;SBI Savings Fund - Regular Plan - Income Distribution cum Capital Withdrawal Option (IDCW);14.3505;25-Aug-2023")</f>
        <v>102504;INF200K01644;INF200K01651;SBI Savings Fund - Regular Plan - Income Distribution cum Capital Withdrawal Option (IDCW);14.3505;25-Aug-2023</v>
      </c>
      <c r="B3166" s="1"/>
    </row>
    <row r="3167">
      <c r="A3167" s="1" t="str">
        <f>IFERROR(__xludf.DUMMYFUNCTION("""COMPUTED_VALUE"""),"114348;-;INF200KA1K20;SBI Savings Fund - Regular Plan Daily Income Distribution cum Capital Withdrawal Option (IDCW);11.8635;25-Aug-2023")</f>
        <v>114348;-;INF200KA1K20;SBI Savings Fund - Regular Plan Daily Income Distribution cum Capital Withdrawal Option (IDCW);11.8635;25-Aug-2023</v>
      </c>
      <c r="B3167" s="1"/>
    </row>
    <row r="3168">
      <c r="A3168" s="1" t="str">
        <f>IFERROR(__xludf.DUMMYFUNCTION("""COMPUTED_VALUE"""),"102860;INF200K01669;INF200K01677;SBI Savings Fund - Regular Plan Weekly Income Distribution cum Capital Withdrawal Option (IDCW);13.5432;25-Aug-2023")</f>
        <v>102860;INF200K01669;INF200K01677;SBI Savings Fund - Regular Plan Weekly Income Distribution cum Capital Withdrawal Option (IDCW);13.5432;25-Aug-2023</v>
      </c>
      <c r="B3168" s="1"/>
    </row>
    <row r="3169">
      <c r="A3169" s="1"/>
      <c r="B3169" s="1"/>
    </row>
    <row r="3170">
      <c r="A3170" s="1" t="str">
        <f>IFERROR(__xludf.DUMMYFUNCTION("""COMPUTED_VALUE"""),"Sundaram Mutual Fund")</f>
        <v>Sundaram Mutual Fund</v>
      </c>
      <c r="B3170" s="1"/>
    </row>
    <row r="3171">
      <c r="A3171" s="1"/>
      <c r="B3171" s="1"/>
    </row>
    <row r="3172">
      <c r="A3172" s="1" t="str">
        <f>IFERROR(__xludf.DUMMYFUNCTION("""COMPUTED_VALUE"""),"145054;-;INF903JA1FU0;Sundaram Money Market Fund Direct Plan - Daily Reinvestment of Income Distribution cum Capital Withdrawal (IDCW);10.0620;25-Aug-2023")</f>
        <v>145054;-;INF903JA1FU0;Sundaram Money Market Fund Direct Plan - Daily Reinvestment of Income Distribution cum Capital Withdrawal (IDCW);10.0620;25-Aug-2023</v>
      </c>
      <c r="B3172" s="1"/>
    </row>
    <row r="3173">
      <c r="A3173" s="1" t="str">
        <f>IFERROR(__xludf.DUMMYFUNCTION("""COMPUTED_VALUE"""),"145053;-;INF903JA1FW6;Sundaram Money Market Fund Direct Plan - Fortnightly Reinvestment of Income Distribution cum Capital Withdrawal (IDCW);10.3782;26-Jun-2023")</f>
        <v>145053;-;INF903JA1FW6;Sundaram Money Market Fund Direct Plan - Fortnightly Reinvestment of Income Distribution cum Capital Withdrawal (IDCW);10.3782;26-Jun-2023</v>
      </c>
      <c r="B3173" s="1"/>
    </row>
    <row r="3174">
      <c r="A3174" s="1" t="str">
        <f>IFERROR(__xludf.DUMMYFUNCTION("""COMPUTED_VALUE"""),"145050;INF903JA1FR6;-;Sundaram Money Market Fund Direct Plan - Growth;13.1601;25-Aug-2023")</f>
        <v>145050;INF903JA1FR6;-;Sundaram Money Market Fund Direct Plan - Growth;13.1601;25-Aug-2023</v>
      </c>
      <c r="B3174" s="1"/>
    </row>
    <row r="3175">
      <c r="A3175" s="1" t="str">
        <f>IFERROR(__xludf.DUMMYFUNCTION("""COMPUTED_VALUE"""),"145051;INF903JA1FS4;-;Sundaram Money Market Fund Direct Plan - Monthly Payout of Income Distribution cum Capital Withdrawal (IDCW);11.1686;25-Aug-2023")</f>
        <v>145051;INF903JA1FS4;-;Sundaram Money Market Fund Direct Plan - Monthly Payout of Income Distribution cum Capital Withdrawal (IDCW);11.1686;25-Aug-2023</v>
      </c>
      <c r="B3175" s="1"/>
    </row>
    <row r="3176">
      <c r="A3176" s="1" t="str">
        <f>IFERROR(__xludf.DUMMYFUNCTION("""COMPUTED_VALUE"""),"145056;-;INF903JA1FX4;Sundaram Money Market Fund Direct Plan - Monthly Reinvestment of Income Distribution cum Capital Withdrawal (IDCW);11.1686;25-Aug-2023")</f>
        <v>145056;-;INF903JA1FX4;Sundaram Money Market Fund Direct Plan - Monthly Reinvestment of Income Distribution cum Capital Withdrawal (IDCW);11.1686;25-Aug-2023</v>
      </c>
      <c r="B3176" s="1"/>
    </row>
    <row r="3177">
      <c r="A3177" s="1" t="str">
        <f>IFERROR(__xludf.DUMMYFUNCTION("""COMPUTED_VALUE"""),"145052;INF903JA1FT2;-;Sundaram Money Market Fund Direct Plan - Quarterly Payout of Income Distribution cum Capital Withdrawal (IDCW);11.7557;25-Aug-2023")</f>
        <v>145052;INF903JA1FT2;-;Sundaram Money Market Fund Direct Plan - Quarterly Payout of Income Distribution cum Capital Withdrawal (IDCW);11.7557;25-Aug-2023</v>
      </c>
      <c r="B3177" s="1"/>
    </row>
    <row r="3178">
      <c r="A3178" s="1" t="str">
        <f>IFERROR(__xludf.DUMMYFUNCTION("""COMPUTED_VALUE"""),"145057;-;INF903JA1FY2;Sundaram Money Market Fund Direct Plan - Quarterly Reinvestment of Income Distribution cum Capital Withdrawal (IDCW);11.7557;25-Aug-2023")</f>
        <v>145057;-;INF903JA1FY2;Sundaram Money Market Fund Direct Plan - Quarterly Reinvestment of Income Distribution cum Capital Withdrawal (IDCW);11.7557;25-Aug-2023</v>
      </c>
      <c r="B3178" s="1"/>
    </row>
    <row r="3179">
      <c r="A3179" s="1" t="str">
        <f>IFERROR(__xludf.DUMMYFUNCTION("""COMPUTED_VALUE"""),"145055;-;INF903JA1FV8;Sundaram Money Market Fund Direct Plan - Weekly Reinvestment of Income Distribution cum Capital Withdrawal (IDCW);10.4882;12-Dec-2022")</f>
        <v>145055;-;INF903JA1FV8;Sundaram Money Market Fund Direct Plan - Weekly Reinvestment of Income Distribution cum Capital Withdrawal (IDCW);10.4882;12-Dec-2022</v>
      </c>
      <c r="B3179" s="1"/>
    </row>
    <row r="3180">
      <c r="A3180" s="1" t="str">
        <f>IFERROR(__xludf.DUMMYFUNCTION("""COMPUTED_VALUE"""),"145043;-;INF903JA1FM7;Sundaram Money Market Fund Regular Plan - Daily Reinvestment of Income Distribution cum Capital Withdrawal (IDCW);10.0620;25-Aug-2023")</f>
        <v>145043;-;INF903JA1FM7;Sundaram Money Market Fund Regular Plan - Daily Reinvestment of Income Distribution cum Capital Withdrawal (IDCW);10.0620;25-Aug-2023</v>
      </c>
      <c r="B3180" s="1"/>
    </row>
    <row r="3181">
      <c r="A3181" s="1" t="str">
        <f>IFERROR(__xludf.DUMMYFUNCTION("""COMPUTED_VALUE"""),"145048;-;INF903JA1FO3;Sundaram Money Market Fund Regular Plan - Fortnightly Reinvestment of Income Distribution cum Capital Withdrawal (IDCW);10.3717;17-Sep-2021")</f>
        <v>145048;-;INF903JA1FO3;Sundaram Money Market Fund Regular Plan - Fortnightly Reinvestment of Income Distribution cum Capital Withdrawal (IDCW);10.3717;17-Sep-2021</v>
      </c>
      <c r="B3181" s="1"/>
    </row>
    <row r="3182">
      <c r="A3182" s="1" t="str">
        <f>IFERROR(__xludf.DUMMYFUNCTION("""COMPUTED_VALUE"""),"145042;INF903JA1FJ3;-;Sundaram Money Market Fund Regular Plan - Growth;13.1018;25-Aug-2023")</f>
        <v>145042;INF903JA1FJ3;-;Sundaram Money Market Fund Regular Plan - Growth;13.1018;25-Aug-2023</v>
      </c>
      <c r="B3182" s="1"/>
    </row>
    <row r="3183">
      <c r="A3183" s="1" t="str">
        <f>IFERROR(__xludf.DUMMYFUNCTION("""COMPUTED_VALUE"""),"145044;INF903JA1FK1;-;Sundaram Money Market Fund Regular Plan - Monthly Payout of Income Distribution cum Capital Withdrawal (IDCW);11.1491;25-Aug-2023")</f>
        <v>145044;INF903JA1FK1;-;Sundaram Money Market Fund Regular Plan - Monthly Payout of Income Distribution cum Capital Withdrawal (IDCW);11.1491;25-Aug-2023</v>
      </c>
      <c r="B3183" s="1"/>
    </row>
    <row r="3184">
      <c r="A3184" s="1" t="str">
        <f>IFERROR(__xludf.DUMMYFUNCTION("""COMPUTED_VALUE"""),"145049;-;INF903JA1FP0;Sundaram Money Market Fund Regular Plan - Monthly Reinvestment of Income Distribution cum Capital Withdrawal (IDCW);11.1491;25-Aug-2023")</f>
        <v>145049;-;INF903JA1FP0;Sundaram Money Market Fund Regular Plan - Monthly Reinvestment of Income Distribution cum Capital Withdrawal (IDCW);11.1491;25-Aug-2023</v>
      </c>
      <c r="B3184" s="1"/>
    </row>
    <row r="3185">
      <c r="A3185" s="1" t="str">
        <f>IFERROR(__xludf.DUMMYFUNCTION("""COMPUTED_VALUE"""),"145045;INF903JA1FL9;-;Sundaram Money Market Fund Regular Plan - Quarterly Payout of Income Distribution cum Capital Withdrawal (IDCW);11.7022;25-Aug-2023")</f>
        <v>145045;INF903JA1FL9;-;Sundaram Money Market Fund Regular Plan - Quarterly Payout of Income Distribution cum Capital Withdrawal (IDCW);11.7022;25-Aug-2023</v>
      </c>
      <c r="B3185" s="1"/>
    </row>
    <row r="3186">
      <c r="A3186" s="1" t="str">
        <f>IFERROR(__xludf.DUMMYFUNCTION("""COMPUTED_VALUE"""),"145046;-;INF903JA1FQ8;Sundaram Money Market Fund Regular Plan - Quarterly Reinvestment of Income Distribution cum Capital Withdrawal (IDCW);11.7022;25-Aug-2023")</f>
        <v>145046;-;INF903JA1FQ8;Sundaram Money Market Fund Regular Plan - Quarterly Reinvestment of Income Distribution cum Capital Withdrawal (IDCW);11.7022;25-Aug-2023</v>
      </c>
      <c r="B3186" s="1"/>
    </row>
    <row r="3187">
      <c r="A3187" s="1" t="str">
        <f>IFERROR(__xludf.DUMMYFUNCTION("""COMPUTED_VALUE"""),"145047;-;INF903JA1FN5;Sundaram Money Market Fund Regular Plan - Weekly Reinvestment of Income Distribution cum Capital Withdrawal (IDCW);10.4935;25-Aug-2023")</f>
        <v>145047;-;INF903JA1FN5;Sundaram Money Market Fund Regular Plan - Weekly Reinvestment of Income Distribution cum Capital Withdrawal (IDCW);10.4935;25-Aug-2023</v>
      </c>
      <c r="B3187" s="1"/>
    </row>
    <row r="3188">
      <c r="A3188" s="1"/>
      <c r="B3188" s="1"/>
    </row>
    <row r="3189">
      <c r="A3189" s="1" t="str">
        <f>IFERROR(__xludf.DUMMYFUNCTION("""COMPUTED_VALUE"""),"Tata Mutual Fund")</f>
        <v>Tata Mutual Fund</v>
      </c>
      <c r="B3189" s="1"/>
    </row>
    <row r="3190">
      <c r="A3190" s="1"/>
      <c r="B3190" s="1"/>
    </row>
    <row r="3191">
      <c r="A3191" s="1" t="str">
        <f>IFERROR(__xludf.DUMMYFUNCTION("""COMPUTED_VALUE"""),"119421;-;INF277K011C6;Tata Money Market Fund- Direct Plan - Daily Reinvestment of IDCW Option;1114.5200;25-Aug-2023")</f>
        <v>119421;-;INF277K011C6;Tata Money Market Fund- Direct Plan - Daily Reinvestment of IDCW Option;1114.5200;25-Aug-2023</v>
      </c>
      <c r="B3191" s="1"/>
    </row>
    <row r="3192">
      <c r="A3192" s="1" t="str">
        <f>IFERROR(__xludf.DUMMYFUNCTION("""COMPUTED_VALUE"""),"119424;INF277K01PR6;-;Tata Money Market Fund- Direct Plan- Growth Option;4172.3325;25-Aug-2023")</f>
        <v>119424;INF277K01PR6;-;Tata Money Market Fund- Direct Plan- Growth Option;4172.3325;25-Aug-2023</v>
      </c>
      <c r="B3192" s="1"/>
    </row>
    <row r="3193">
      <c r="A3193" s="1" t="str">
        <f>IFERROR(__xludf.DUMMYFUNCTION("""COMPUTED_VALUE"""),"101986;-;INF277K014C0;Tata Money Market Fund- Regular Plan - Daily Reinvestment of IDCW Option;1114.5200;25-Aug-2023")</f>
        <v>101986;-;INF277K014C0;Tata Money Market Fund- Regular Plan - Daily Reinvestment of IDCW Option;1114.5200;25-Aug-2023</v>
      </c>
      <c r="B3193" s="1"/>
    </row>
    <row r="3194">
      <c r="A3194" s="1" t="str">
        <f>IFERROR(__xludf.DUMMYFUNCTION("""COMPUTED_VALUE"""),"101847;INF277K01LQ7;-;Tata Money Market Fund-Regular Plan - Growth Option;4114.7519;25-Aug-2023")</f>
        <v>101847;INF277K01LQ7;-;Tata Money Market Fund-Regular Plan - Growth Option;4114.7519;25-Aug-2023</v>
      </c>
      <c r="B3194" s="1"/>
    </row>
    <row r="3195">
      <c r="A3195" s="1"/>
      <c r="B3195" s="1"/>
    </row>
    <row r="3196">
      <c r="A3196" s="1" t="str">
        <f>IFERROR(__xludf.DUMMYFUNCTION("""COMPUTED_VALUE"""),"Trust Mutual Fund")</f>
        <v>Trust Mutual Fund</v>
      </c>
      <c r="B3196" s="1"/>
    </row>
    <row r="3197">
      <c r="A3197" s="1"/>
      <c r="B3197" s="1"/>
    </row>
    <row r="3198">
      <c r="A3198" s="1" t="str">
        <f>IFERROR(__xludf.DUMMYFUNCTION("""COMPUTED_VALUE"""),"150513;INF0GCD01503;-;TRUSTMF MONEY MARKET FUND-DIRECT PLAN-GROWTH;1071.0112;25-Aug-2023")</f>
        <v>150513;INF0GCD01503;-;TRUSTMF MONEY MARKET FUND-DIRECT PLAN-GROWTH;1071.0112;25-Aug-2023</v>
      </c>
      <c r="B3198" s="1"/>
    </row>
    <row r="3199">
      <c r="A3199" s="1" t="str">
        <f>IFERROR(__xludf.DUMMYFUNCTION("""COMPUTED_VALUE"""),"150514;INF0GCD01529;INF0GCD01511;TRUSTMF MONEY MARKET FUND-DIRECT PLAN-MONTHLY IDCW;1043.9029;25-Aug-2023")</f>
        <v>150514;INF0GCD01529;INF0GCD01511;TRUSTMF MONEY MARKET FUND-DIRECT PLAN-MONTHLY IDCW;1043.9029;25-Aug-2023</v>
      </c>
      <c r="B3199" s="1"/>
    </row>
    <row r="3200">
      <c r="A3200" s="1" t="str">
        <f>IFERROR(__xludf.DUMMYFUNCTION("""COMPUTED_VALUE"""),"150511;INF0GCD01479;-;TRUSTMF MONEY MARKET FUND-REGULAR PLAN-GROWTH;1069.3726;25-Aug-2023")</f>
        <v>150511;INF0GCD01479;-;TRUSTMF MONEY MARKET FUND-REGULAR PLAN-GROWTH;1069.3726;25-Aug-2023</v>
      </c>
      <c r="B3200" s="1"/>
    </row>
    <row r="3201">
      <c r="A3201" s="1" t="str">
        <f>IFERROR(__xludf.DUMMYFUNCTION("""COMPUTED_VALUE"""),"150512;INF0GCD01495;INF0GCD01487;TRUSTMF MONEY MARKET FUND-REGULAR PLAN-MONTHLY IDCW;1041.8049;25-Aug-2023")</f>
        <v>150512;INF0GCD01495;INF0GCD01487;TRUSTMF MONEY MARKET FUND-REGULAR PLAN-MONTHLY IDCW;1041.8049;25-Aug-2023</v>
      </c>
      <c r="B3201" s="1"/>
    </row>
    <row r="3202">
      <c r="A3202" s="1"/>
      <c r="B3202" s="1"/>
    </row>
    <row r="3203">
      <c r="A3203" s="1" t="str">
        <f>IFERROR(__xludf.DUMMYFUNCTION("""COMPUTED_VALUE"""),"Union Mutual Fund")</f>
        <v>Union Mutual Fund</v>
      </c>
      <c r="B3203" s="1"/>
    </row>
    <row r="3204">
      <c r="A3204" s="1"/>
      <c r="B3204" s="1"/>
    </row>
    <row r="3205">
      <c r="A3205" s="1" t="str">
        <f>IFERROR(__xludf.DUMMYFUNCTION("""COMPUTED_VALUE"""),"149117;INF582M01HG5;-;Union Money Market Fund - Direct Plan -  Growth Option;1107.8030;25-Aug-2023")</f>
        <v>149117;INF582M01HG5;-;Union Money Market Fund - Direct Plan -  Growth Option;1107.8030;25-Aug-2023</v>
      </c>
      <c r="B3205" s="1"/>
    </row>
    <row r="3206">
      <c r="A3206" s="1" t="str">
        <f>IFERROR(__xludf.DUMMYFUNCTION("""COMPUTED_VALUE"""),"149123;INF582M01HK7;INF582M01HJ9;Union Money Market Fund - Direct Plan -  Monthly IDCW Option;1006.1355;25-Aug-2023")</f>
        <v>149123;INF582M01HK7;INF582M01HJ9;Union Money Market Fund - Direct Plan -  Monthly IDCW Option;1006.1355;25-Aug-2023</v>
      </c>
      <c r="B3206" s="1"/>
    </row>
    <row r="3207">
      <c r="A3207" s="1" t="str">
        <f>IFERROR(__xludf.DUMMYFUNCTION("""COMPUTED_VALUE"""),"149121;-;INF582M01HI1;Union Money Market Fund - Direct Plan -  Weekly IDCW Option;1000.2588;22-Oct-2021")</f>
        <v>149121;-;INF582M01HI1;Union Money Market Fund - Direct Plan -  Weekly IDCW Option;1000.2588;22-Oct-2021</v>
      </c>
      <c r="B3207" s="1"/>
    </row>
    <row r="3208">
      <c r="A3208" s="1" t="str">
        <f>IFERROR(__xludf.DUMMYFUNCTION("""COMPUTED_VALUE"""),"149119;-;INF582M01HH3;Union Money Market Fund - Direct Plan - Daily IDCW Option;1000.0024;17-Sep-2021")</f>
        <v>149119;-;INF582M01HH3;Union Money Market Fund - Direct Plan - Daily IDCW Option;1000.0024;17-Sep-2021</v>
      </c>
      <c r="B3208" s="1"/>
    </row>
    <row r="3209">
      <c r="A3209" s="1" t="str">
        <f>IFERROR(__xludf.DUMMYFUNCTION("""COMPUTED_VALUE"""),"149116;INF582M01HO9;-;Union Money Market Fund - Regular Plan -  Growth Option;1092.4913;25-Aug-2023")</f>
        <v>149116;INF582M01HO9;-;Union Money Market Fund - Regular Plan -  Growth Option;1092.4913;25-Aug-2023</v>
      </c>
      <c r="B3209" s="1"/>
    </row>
    <row r="3210">
      <c r="A3210" s="1" t="str">
        <f>IFERROR(__xludf.DUMMYFUNCTION("""COMPUTED_VALUE"""),"149122;INF582M01HS0;INF582M01HR2;Union Money Market Fund - Regular Plan -  Monthly IDCW Option;1005.8622;25-Aug-2023")</f>
        <v>149122;INF582M01HS0;INF582M01HR2;Union Money Market Fund - Regular Plan -  Monthly IDCW Option;1005.8622;25-Aug-2023</v>
      </c>
      <c r="B3210" s="1"/>
    </row>
    <row r="3211">
      <c r="A3211" s="1" t="str">
        <f>IFERROR(__xludf.DUMMYFUNCTION("""COMPUTED_VALUE"""),"149120;-;INF582M01HQ4;Union Money Market Fund - Regular Plan -  Weekly IDCW Option;1000.5175;24-Jan-2022")</f>
        <v>149120;-;INF582M01HQ4;Union Money Market Fund - Regular Plan -  Weekly IDCW Option;1000.5175;24-Jan-2022</v>
      </c>
      <c r="B3211" s="1"/>
    </row>
    <row r="3212">
      <c r="A3212" s="1" t="str">
        <f>IFERROR(__xludf.DUMMYFUNCTION("""COMPUTED_VALUE"""),"149118;-;INF582M01HP6;Union Money Market Fund - Regular Plan - Daily IDCW Option;1001.9883;25-Aug-2023")</f>
        <v>149118;-;INF582M01HP6;Union Money Market Fund - Regular Plan - Daily IDCW Option;1001.9883;25-Aug-2023</v>
      </c>
      <c r="B3212" s="1"/>
    </row>
    <row r="3213">
      <c r="A3213" s="1"/>
      <c r="B3213" s="1"/>
    </row>
    <row r="3214">
      <c r="A3214" s="1" t="str">
        <f>IFERROR(__xludf.DUMMYFUNCTION("""COMPUTED_VALUE"""),"UTI Mutual Fund")</f>
        <v>UTI Mutual Fund</v>
      </c>
      <c r="B3214" s="1"/>
    </row>
    <row r="3215">
      <c r="A3215" s="1"/>
      <c r="B3215" s="1"/>
    </row>
    <row r="3216">
      <c r="A3216" s="1" t="str">
        <f>IFERROR(__xludf.DUMMYFUNCTION("""COMPUTED_VALUE"""),"120299;INF789F01XV6;-;UTI MMF - Direct Plan - Growth Option;2714.1631;25-Aug-2023")</f>
        <v>120299;INF789F01XV6;-;UTI MMF - Direct Plan - Growth Option;2714.1631;25-Aug-2023</v>
      </c>
      <c r="B3216" s="1"/>
    </row>
    <row r="3217">
      <c r="A3217" s="1" t="str">
        <f>IFERROR(__xludf.DUMMYFUNCTION("""COMPUTED_VALUE"""),"139236;INF789FA1M04;INF789FA1M12;UTI MMF - Regular Plan - Flexi Dividend Option;1039.2524;25-Aug-2023")</f>
        <v>139236;INF789FA1M04;INF789FA1M12;UTI MMF - Regular Plan - Flexi Dividend Option;1039.2524;25-Aug-2023</v>
      </c>
      <c r="B3217" s="1"/>
    </row>
    <row r="3218">
      <c r="A3218" s="1" t="str">
        <f>IFERROR(__xludf.DUMMYFUNCTION("""COMPUTED_VALUE"""),"112077;INF789F01PX8;-;UTI MMF - Regular Plan - Growth Option;2685.907;25-Aug-2023")</f>
        <v>112077;INF789F01PX8;-;UTI MMF - Regular Plan - Growth Option;2685.907;25-Aug-2023</v>
      </c>
      <c r="B3218" s="1"/>
    </row>
    <row r="3219">
      <c r="A3219" s="1" t="str">
        <f>IFERROR(__xludf.DUMMYFUNCTION("""COMPUTED_VALUE"""),"100724;-;INF789F01BD0;UTI MMF- Discontinued - Regular Plan - Flexi Dividend Option;3368.7258;25-Aug-2023")</f>
        <v>100724;-;INF789F01BD0;UTI MMF- Discontinued - Regular Plan - Flexi Dividend Option;3368.7258;25-Aug-2023</v>
      </c>
      <c r="B3219" s="1"/>
    </row>
    <row r="3220">
      <c r="A3220" s="1" t="str">
        <f>IFERROR(__xludf.DUMMYFUNCTION("""COMPUTED_VALUE"""),"100725;INF789F01BE8;-;UTI MMF- Discontinued - Regular Plan - Periodic Dividend Option;2257.7732;25-Aug-2023")</f>
        <v>100725;INF789F01BE8;-;UTI MMF- Discontinued - Regular Plan - Periodic Dividend Option;2257.7732;25-Aug-2023</v>
      </c>
      <c r="B3220" s="1"/>
    </row>
    <row r="3221">
      <c r="A3221" s="1" t="str">
        <f>IFERROR(__xludf.DUMMYFUNCTION("""COMPUTED_VALUE"""),"100723;INF789F01BF5;-;UTI MMF-Discontinued - Regular Plan -Growth;6243.0641;25-Aug-2023")</f>
        <v>100723;INF789F01BF5;-;UTI MMF-Discontinued - Regular Plan -Growth;6243.0641;25-Aug-2023</v>
      </c>
      <c r="B3221" s="1"/>
    </row>
    <row r="3222">
      <c r="A3222" s="1" t="str">
        <f>IFERROR(__xludf.DUMMYFUNCTION("""COMPUTED_VALUE"""),"134973;INF789FA1N03;INF789FA1N11;UTI Money Market Fund - Direct Plan - Annual IDCW;1610.9783;25-Aug-2023")</f>
        <v>134973;INF789FA1N03;INF789FA1N11;UTI Money Market Fund - Direct Plan - Annual IDCW;1610.9783;25-Aug-2023</v>
      </c>
      <c r="B3222" s="1"/>
    </row>
    <row r="3223">
      <c r="A3223" s="1" t="str">
        <f>IFERROR(__xludf.DUMMYFUNCTION("""COMPUTED_VALUE"""),"120772;-;INF789F01XU8;UTI Money Market Fund - Direct Plan - Daily IDCW (Reinvestment);1030.9517;25-Aug-2023")</f>
        <v>120772;-;INF789F01XU8;UTI Money Market Fund - Direct Plan - Daily IDCW (Reinvestment);1030.9517;25-Aug-2023</v>
      </c>
      <c r="B3223" s="1"/>
    </row>
    <row r="3224">
      <c r="A3224" s="1" t="str">
        <f>IFERROR(__xludf.DUMMYFUNCTION("""COMPUTED_VALUE"""),"143125;INF789FA1N29;INF789FA1N37;UTI Money Market Fund - Direct Plan - Flexi IDCW;1391.1968;25-Aug-2023")</f>
        <v>143125;INF789FA1N29;INF789FA1N37;UTI Money Market Fund - Direct Plan - Flexi IDCW;1391.1968;25-Aug-2023</v>
      </c>
      <c r="B3224" s="1"/>
    </row>
    <row r="3225">
      <c r="A3225" s="1" t="str">
        <f>IFERROR(__xludf.DUMMYFUNCTION("""COMPUTED_VALUE"""),"135606;INF789FA1M20;INF789FA1M38;UTI Money Market Fund - Direct Plan - Fortnightly IDCW;1253.4263;25-Aug-2023")</f>
        <v>135606;INF789FA1M20;INF789FA1M38;UTI Money Market Fund - Direct Plan - Fortnightly IDCW;1253.4263;25-Aug-2023</v>
      </c>
      <c r="B3225" s="1"/>
    </row>
    <row r="3226">
      <c r="A3226" s="1" t="str">
        <f>IFERROR(__xludf.DUMMYFUNCTION("""COMPUTED_VALUE"""),"140023;INF789FA1M87;INF789FA1M95;UTI Money Market Fund - Direct Plan - Half-Yearly IDCW;1516.562;25-Aug-2023")</f>
        <v>140023;INF789FA1M87;INF789FA1M95;UTI Money Market Fund - Direct Plan - Half-Yearly IDCW;1516.562;25-Aug-2023</v>
      </c>
      <c r="B3226" s="1"/>
    </row>
    <row r="3227">
      <c r="A3227" s="1" t="str">
        <f>IFERROR(__xludf.DUMMYFUNCTION("""COMPUTED_VALUE"""),"133387;INF789FA1M46;INF789FA1M53;UTI Money Market Fund - Direct Plan - Monthly IDCW;1328.5842;25-Aug-2023")</f>
        <v>133387;INF789FA1M46;INF789FA1M53;UTI Money Market Fund - Direct Plan - Monthly IDCW;1328.5842;25-Aug-2023</v>
      </c>
      <c r="B3227" s="1"/>
    </row>
    <row r="3228">
      <c r="A3228" s="1" t="str">
        <f>IFERROR(__xludf.DUMMYFUNCTION("""COMPUTED_VALUE"""),"142249;INF789FA1M61;INF789FA1M79;UTI Money Market Fund - Direct Plan - Quarterly IDCW;1440.3382;25-Aug-2023")</f>
        <v>142249;INF789FA1M61;INF789FA1M79;UTI Money Market Fund - Direct Plan - Quarterly IDCW;1440.3382;25-Aug-2023</v>
      </c>
      <c r="B3228" s="1"/>
    </row>
    <row r="3229">
      <c r="A3229" s="1" t="str">
        <f>IFERROR(__xludf.DUMMYFUNCTION("""COMPUTED_VALUE"""),"120793;INF789F01XW4;INF789F01XX2;UTI Money Market Fund - Direct Plan - Weekly IDCW;1066.0456;25-Aug-2023")</f>
        <v>120793;INF789F01XW4;INF789F01XX2;UTI Money Market Fund - Direct Plan - Weekly IDCW;1066.0456;25-Aug-2023</v>
      </c>
      <c r="B3229" s="1"/>
    </row>
    <row r="3230">
      <c r="A3230" s="1" t="str">
        <f>IFERROR(__xludf.DUMMYFUNCTION("""COMPUTED_VALUE"""),"134972;INF789FA1L88;INF789FA1L96;UTI Money Market Fund - Regular Plan - Annual IDCW;1599.7878;25-Aug-2023")</f>
        <v>134972;INF789FA1L88;INF789FA1L96;UTI Money Market Fund - Regular Plan - Annual IDCW;1599.7878;25-Aug-2023</v>
      </c>
      <c r="B3230" s="1"/>
    </row>
    <row r="3231">
      <c r="A3231" s="1" t="str">
        <f>IFERROR(__xludf.DUMMYFUNCTION("""COMPUTED_VALUE"""),"112076;-;INF789F01PW0;UTI Money Market Fund - Regular Plan - Daily IDCW (Reinvestment);1107.8114;25-Aug-2023")</f>
        <v>112076;-;INF789F01PW0;UTI Money Market Fund - Regular Plan - Daily IDCW (Reinvestment);1107.8114;25-Aug-2023</v>
      </c>
      <c r="B3231" s="1"/>
    </row>
    <row r="3232">
      <c r="A3232" s="1" t="str">
        <f>IFERROR(__xludf.DUMMYFUNCTION("""COMPUTED_VALUE"""),"135371;INF789FA1L05;INF789FA1L13;UTI Money Market Fund - Regular Plan - Fortnightly IDCW;1161.3518;25-Aug-2023")</f>
        <v>135371;INF789FA1L05;INF789FA1L13;UTI Money Market Fund - Regular Plan - Fortnightly IDCW;1161.3518;25-Aug-2023</v>
      </c>
      <c r="B3232" s="1"/>
    </row>
    <row r="3233">
      <c r="A3233" s="1" t="str">
        <f>IFERROR(__xludf.DUMMYFUNCTION("""COMPUTED_VALUE"""),"134763;INF789FA1L62;INF789FA1L70;UTI Money Market Fund - Regular Plan - Half-Yearly IDCW;1509.2645;25-Aug-2023")</f>
        <v>134763;INF789FA1L62;INF789FA1L70;UTI Money Market Fund - Regular Plan - Half-Yearly IDCW;1509.2645;25-Aug-2023</v>
      </c>
      <c r="B3233" s="1"/>
    </row>
    <row r="3234">
      <c r="A3234" s="1" t="str">
        <f>IFERROR(__xludf.DUMMYFUNCTION("""COMPUTED_VALUE"""),"133484;INF789FA1L21;INF789FA1L39;UTI Money Market Fund - Regular Plan - Monthly IDCW;1041.2334;25-Aug-2023")</f>
        <v>133484;INF789FA1L21;INF789FA1L39;UTI Money Market Fund - Regular Plan - Monthly IDCW;1041.2334;25-Aug-2023</v>
      </c>
      <c r="B3234" s="1"/>
    </row>
    <row r="3235">
      <c r="A3235" s="1" t="str">
        <f>IFERROR(__xludf.DUMMYFUNCTION("""COMPUTED_VALUE"""),"139646;INF789FA1L47;INF789FA1L54;UTI Money Market Fund - Regular Plan - Quarterly IDCW;1179.0852;02-Mar-2022")</f>
        <v>139646;INF789FA1L47;INF789FA1L54;UTI Money Market Fund - Regular Plan - Quarterly IDCW;1179.0852;02-Mar-2022</v>
      </c>
      <c r="B3235" s="1"/>
    </row>
    <row r="3236">
      <c r="A3236" s="1" t="str">
        <f>IFERROR(__xludf.DUMMYFUNCTION("""COMPUTED_VALUE"""),"112635;INF789F01PY6;INF789F01PZ3;UTI Money Market Fund - Regular Plan - Weekly IDCW;1179.3924;25-Aug-2023")</f>
        <v>112635;INF789F01PY6;INF789F01PZ3;UTI Money Market Fund - Regular Plan - Weekly IDCW;1179.3924;25-Aug-2023</v>
      </c>
      <c r="B3236" s="1"/>
    </row>
    <row r="3237">
      <c r="A3237" s="1"/>
      <c r="B3237" s="1"/>
    </row>
    <row r="3238">
      <c r="A3238" s="1" t="str">
        <f>IFERROR(__xludf.DUMMYFUNCTION("""COMPUTED_VALUE"""),"Open Ended Schemes(Debt Scheme - Overnight Fund)")</f>
        <v>Open Ended Schemes(Debt Scheme - Overnight Fund)</v>
      </c>
      <c r="B3238" s="1"/>
    </row>
    <row r="3239">
      <c r="A3239" s="1"/>
      <c r="B3239" s="1"/>
    </row>
    <row r="3240">
      <c r="A3240" s="1" t="str">
        <f>IFERROR(__xludf.DUMMYFUNCTION("""COMPUTED_VALUE"""),"Aditya Birla Sun Life Mutual Fund")</f>
        <v>Aditya Birla Sun Life Mutual Fund</v>
      </c>
      <c r="B3240" s="1"/>
    </row>
    <row r="3241">
      <c r="A3241" s="1"/>
      <c r="B3241" s="1"/>
    </row>
    <row r="3242">
      <c r="A3242" s="1" t="str">
        <f>IFERROR(__xludf.DUMMYFUNCTION("""COMPUTED_VALUE"""),"145488;INF209KB1ZL4;-;ADITYA BIRLA SUN LIFE OVERNIGHT FUND-  Direct - Monthly Payout of IDCW;1000.02;25-Aug-2023")</f>
        <v>145488;INF209KB1ZL4;-;ADITYA BIRLA SUN LIFE OVERNIGHT FUND-  Direct - Monthly Payout of IDCW;1000.02;25-Aug-2023</v>
      </c>
      <c r="B3242" s="1"/>
    </row>
    <row r="3243">
      <c r="A3243" s="1" t="str">
        <f>IFERROR(__xludf.DUMMYFUNCTION("""COMPUTED_VALUE"""),"145489;-;INF209KB1ZJ8;ADITYA BIRLA SUN LIFE OVERNIGHT FUND-  Direct - Weekly Reinvestment of IDCW;1000.0205;25-Aug-2023")</f>
        <v>145489;-;INF209KB1ZJ8;ADITYA BIRLA SUN LIFE OVERNIGHT FUND-  Direct - Weekly Reinvestment of IDCW;1000.0205;25-Aug-2023</v>
      </c>
      <c r="B3243" s="1"/>
    </row>
    <row r="3244">
      <c r="A3244" s="1" t="str">
        <f>IFERROR(__xludf.DUMMYFUNCTION("""COMPUTED_VALUE"""),"145482;-;INF209KB1ZE9;ADITYA BIRLA SUN LIFE OVERNIGHT FUND-  Regular - Weekly Reinvestment of IDCW option;1000.02;25-Aug-2023")</f>
        <v>145482;-;INF209KB1ZE9;ADITYA BIRLA SUN LIFE OVERNIGHT FUND-  Regular - Weekly Reinvestment of IDCW option;1000.02;25-Aug-2023</v>
      </c>
      <c r="B3244" s="1"/>
    </row>
    <row r="3245">
      <c r="A3245" s="1" t="str">
        <f>IFERROR(__xludf.DUMMYFUNCTION("""COMPUTED_VALUE"""),"145487;-;INF209KB1ZI0;ADITYA BIRLA SUN LIFE OVERNIGHT FUND- Direct - Daily Reinvestment of IDCW;1000.02;25-Aug-2023")</f>
        <v>145487;-;INF209KB1ZI0;ADITYA BIRLA SUN LIFE OVERNIGHT FUND- Direct - Daily Reinvestment of IDCW;1000.02;25-Aug-2023</v>
      </c>
      <c r="B3245" s="1"/>
    </row>
    <row r="3246">
      <c r="A3246" s="1" t="str">
        <f>IFERROR(__xludf.DUMMYFUNCTION("""COMPUTED_VALUE"""),"145483;-;INF209KB1ZD1;ADITYA BIRLA SUN LIFE OVERNIGHT FUND- Regular - Daily Reinvestment of IDCW;1000.02;25-Aug-2023")</f>
        <v>145483;-;INF209KB1ZD1;ADITYA BIRLA SUN LIFE OVERNIGHT FUND- Regular - Daily Reinvestment of IDCW;1000.02;25-Aug-2023</v>
      </c>
      <c r="B3246" s="1"/>
    </row>
    <row r="3247">
      <c r="A3247" s="1" t="str">
        <f>IFERROR(__xludf.DUMMYFUNCTION("""COMPUTED_VALUE"""),"145485;INF209KB1ZG4;-;ADITYA BIRLA SUN LIFE OVERNIGHT FUND- Regular- Monthly Payout of IDCW option;1000.02;25-Aug-2023")</f>
        <v>145485;INF209KB1ZG4;-;ADITYA BIRLA SUN LIFE OVERNIGHT FUND- Regular- Monthly Payout of IDCW option;1000.02;25-Aug-2023</v>
      </c>
      <c r="B3247" s="1"/>
    </row>
    <row r="3248">
      <c r="A3248" s="1" t="str">
        <f>IFERROR(__xludf.DUMMYFUNCTION("""COMPUTED_VALUE"""),"145486;INF209KB1ZH2;-;ADITYA BIRLA SUN LIFE OVERNIGHT FUND-DIRECT PLAN-GROWTH;1244.4195;25-Aug-2023")</f>
        <v>145486;INF209KB1ZH2;-;ADITYA BIRLA SUN LIFE OVERNIGHT FUND-DIRECT PLAN-GROWTH;1244.4195;25-Aug-2023</v>
      </c>
      <c r="B3248" s="1"/>
    </row>
    <row r="3249">
      <c r="A3249" s="1" t="str">
        <f>IFERROR(__xludf.DUMMYFUNCTION("""COMPUTED_VALUE"""),"145481;INF209KB1ZC3;-;ADITYA BIRLA SUNLIFE OVERNIGHT FUND-REGULAR PLAN-GROWTH;1237.3797;25-Aug-2023")</f>
        <v>145481;INF209KB1ZC3;-;ADITYA BIRLA SUNLIFE OVERNIGHT FUND-REGULAR PLAN-GROWTH;1237.3797;25-Aug-2023</v>
      </c>
      <c r="B3249" s="1"/>
    </row>
    <row r="3250">
      <c r="A3250" s="1"/>
      <c r="B3250" s="1"/>
    </row>
    <row r="3251">
      <c r="A3251" s="1" t="str">
        <f>IFERROR(__xludf.DUMMYFUNCTION("""COMPUTED_VALUE"""),"Axis Mutual Fund")</f>
        <v>Axis Mutual Fund</v>
      </c>
      <c r="B3251" s="1"/>
    </row>
    <row r="3252">
      <c r="A3252" s="1"/>
      <c r="B3252" s="1"/>
    </row>
    <row r="3253">
      <c r="A3253" s="1" t="str">
        <f>IFERROR(__xludf.DUMMYFUNCTION("""COMPUTED_VALUE"""),"146679;-;INF846K01N99;Axis Overnight Fund - Direct Plan - Daily IDCW;1000.5073;25-Aug-2023")</f>
        <v>146679;-;INF846K01N99;Axis Overnight Fund - Direct Plan - Daily IDCW;1000.5073;25-Aug-2023</v>
      </c>
      <c r="B3253" s="1"/>
    </row>
    <row r="3254">
      <c r="A3254" s="1" t="str">
        <f>IFERROR(__xludf.DUMMYFUNCTION("""COMPUTED_VALUE"""),"146675;INF846K01N65;-;Axis Overnight Fund - Direct Plan - Growth Option;1216.8709;25-Aug-2023")</f>
        <v>146675;INF846K01N65;-;Axis Overnight Fund - Direct Plan - Growth Option;1216.8709;25-Aug-2023</v>
      </c>
      <c r="B3254" s="1"/>
    </row>
    <row r="3255">
      <c r="A3255" s="1" t="str">
        <f>IFERROR(__xludf.DUMMYFUNCTION("""COMPUTED_VALUE"""),"146677;INF846K01N73;INF846K01N81;Axis Overnight Fund - Direct Plan - Monthly IDCW;1000.8457;25-Aug-2023")</f>
        <v>146677;INF846K01N73;INF846K01N81;Axis Overnight Fund - Direct Plan - Monthly IDCW;1000.8457;25-Aug-2023</v>
      </c>
      <c r="B3255" s="1"/>
    </row>
    <row r="3256">
      <c r="A3256" s="1" t="str">
        <f>IFERROR(__xludf.DUMMYFUNCTION("""COMPUTED_VALUE"""),"146676;INF846K01N40;INF846K01N57;Axis Overnight Fund - Direct Plan - Weekly IDCW;1001.4338;25-Aug-2023")</f>
        <v>146676;INF846K01N40;INF846K01N57;Axis Overnight Fund - Direct Plan - Weekly IDCW;1001.4338;25-Aug-2023</v>
      </c>
      <c r="B3256" s="1"/>
    </row>
    <row r="3257">
      <c r="A3257" s="1" t="str">
        <f>IFERROR(__xludf.DUMMYFUNCTION("""COMPUTED_VALUE"""),"146682;-;INF846K01O56;Axis Overnight Fund - Regular Plan - Daily IDCW;1000.5032;25-Aug-2023")</f>
        <v>146682;-;INF846K01O56;Axis Overnight Fund - Regular Plan - Daily IDCW;1000.5032;25-Aug-2023</v>
      </c>
      <c r="B3257" s="1"/>
    </row>
    <row r="3258">
      <c r="A3258" s="1" t="str">
        <f>IFERROR(__xludf.DUMMYFUNCTION("""COMPUTED_VALUE"""),"146678;INF846K01O23;-;Axis Overnight Fund - Regular Plan - Growth Option;1213.6540;25-Aug-2023")</f>
        <v>146678;INF846K01O23;-;Axis Overnight Fund - Regular Plan - Growth Option;1213.6540;25-Aug-2023</v>
      </c>
      <c r="B3258" s="1"/>
    </row>
    <row r="3259">
      <c r="A3259" s="1" t="str">
        <f>IFERROR(__xludf.DUMMYFUNCTION("""COMPUTED_VALUE"""),"146681;INF846K01O31;INF846K01O49;Axis Overnight Fund - Regular Plan - Monthly IDCW;1000.8385;25-Aug-2023")</f>
        <v>146681;INF846K01O31;INF846K01O49;Axis Overnight Fund - Regular Plan - Monthly IDCW;1000.8385;25-Aug-2023</v>
      </c>
      <c r="B3259" s="1"/>
    </row>
    <row r="3260">
      <c r="A3260" s="1" t="str">
        <f>IFERROR(__xludf.DUMMYFUNCTION("""COMPUTED_VALUE"""),"146680;INF846K01O07;INF846K01O15;Axis Overnight Fund - Regular Plan - Weekly IDCW;1001.3966;25-Aug-2023")</f>
        <v>146680;INF846K01O07;INF846K01O15;Axis Overnight Fund - Regular Plan - Weekly IDCW;1001.3966;25-Aug-2023</v>
      </c>
      <c r="B3260" s="1"/>
    </row>
    <row r="3261">
      <c r="A3261" s="1"/>
      <c r="B3261" s="1"/>
    </row>
    <row r="3262">
      <c r="A3262" s="1" t="str">
        <f>IFERROR(__xludf.DUMMYFUNCTION("""COMPUTED_VALUE"""),"Bajaj Finserv Mutual Fund")</f>
        <v>Bajaj Finserv Mutual Fund</v>
      </c>
      <c r="B3262" s="1"/>
    </row>
    <row r="3263">
      <c r="A3263" s="1"/>
      <c r="B3263" s="1"/>
    </row>
    <row r="3264">
      <c r="A3264" s="1" t="str">
        <f>IFERROR(__xludf.DUMMYFUNCTION("""COMPUTED_VALUE"""),"151843;-;INF0QA701185;Bajaj Finserv Overnight Fund - Direct Plan - Daily - IDCW;1009.4456;27-Aug-2023")</f>
        <v>151843;-;INF0QA701185;Bajaj Finserv Overnight Fund - Direct Plan - Daily - IDCW;1009.4456;27-Aug-2023</v>
      </c>
      <c r="B3264" s="1"/>
    </row>
    <row r="3265">
      <c r="A3265" s="1" t="str">
        <f>IFERROR(__xludf.DUMMYFUNCTION("""COMPUTED_VALUE"""),"151850;INF0QA701235;INF0QA701201;Bajaj Finserv Overnight Fund - Direct Plan - Fortnightly - IDCW;1009.4456;27-Aug-2023")</f>
        <v>151850;INF0QA701235;INF0QA701201;Bajaj Finserv Overnight Fund - Direct Plan - Fortnightly - IDCW;1009.4456;27-Aug-2023</v>
      </c>
      <c r="B3265" s="1"/>
    </row>
    <row r="3266">
      <c r="A3266" s="1" t="str">
        <f>IFERROR(__xludf.DUMMYFUNCTION("""COMPUTED_VALUE"""),"151849;INF0QA701177;-;Bajaj Finserv Overnight Fund - Direct Plan - Growth;1009.4456;27-Aug-2023")</f>
        <v>151849;INF0QA701177;-;Bajaj Finserv Overnight Fund - Direct Plan - Growth;1009.4456;27-Aug-2023</v>
      </c>
      <c r="B3266" s="1"/>
    </row>
    <row r="3267">
      <c r="A3267" s="1" t="str">
        <f>IFERROR(__xludf.DUMMYFUNCTION("""COMPUTED_VALUE"""),"151845;INF0QA701243;INF0QA701219;Bajaj Finserv Overnight Fund - Direct Plan - Monthly - IDCW;1009.4456;27-Aug-2023")</f>
        <v>151845;INF0QA701243;INF0QA701219;Bajaj Finserv Overnight Fund - Direct Plan - Monthly - IDCW;1009.4456;27-Aug-2023</v>
      </c>
      <c r="B3267" s="1"/>
    </row>
    <row r="3268">
      <c r="A3268" s="1" t="str">
        <f>IFERROR(__xludf.DUMMYFUNCTION("""COMPUTED_VALUE"""),"151844;INF0QA701227;INF0QA701193;Bajaj Finserv Overnight Fund - Direct Plan - Weekly - IDCW;1009.4456;27-Aug-2023")</f>
        <v>151844;INF0QA701227;INF0QA701193;Bajaj Finserv Overnight Fund - Direct Plan - Weekly - IDCW;1009.4456;27-Aug-2023</v>
      </c>
      <c r="B3268" s="1"/>
    </row>
    <row r="3269">
      <c r="A3269" s="1" t="str">
        <f>IFERROR(__xludf.DUMMYFUNCTION("""COMPUTED_VALUE"""),"151852;-;INF0QA701292;Bajaj Finserv Overnight Fund - Regular Plan - Daily - IDCW;1009.3711;27-Aug-2023")</f>
        <v>151852;-;INF0QA701292;Bajaj Finserv Overnight Fund - Regular Plan - Daily - IDCW;1009.3711;27-Aug-2023</v>
      </c>
      <c r="B3269" s="1"/>
    </row>
    <row r="3270">
      <c r="A3270" s="1" t="str">
        <f>IFERROR(__xludf.DUMMYFUNCTION("""COMPUTED_VALUE"""),"151847;INF0QA701318;INF0QA701276;Bajaj Finserv Overnight Fund - Regular Plan - Fortnightly - IDCW;1009.3711;27-Aug-2023")</f>
        <v>151847;INF0QA701318;INF0QA701276;Bajaj Finserv Overnight Fund - Regular Plan - Fortnightly - IDCW;1009.3711;27-Aug-2023</v>
      </c>
      <c r="B3270" s="1"/>
    </row>
    <row r="3271">
      <c r="A3271" s="1" t="str">
        <f>IFERROR(__xludf.DUMMYFUNCTION("""COMPUTED_VALUE"""),"151851;INF0QA701250;-;Bajaj Finserv Overnight Fund - Regular Plan - Growth;1009.3711;27-Aug-2023")</f>
        <v>151851;INF0QA701250;-;Bajaj Finserv Overnight Fund - Regular Plan - Growth;1009.3711;27-Aug-2023</v>
      </c>
      <c r="B3271" s="1"/>
    </row>
    <row r="3272">
      <c r="A3272" s="1" t="str">
        <f>IFERROR(__xludf.DUMMYFUNCTION("""COMPUTED_VALUE"""),"151848;INF0QA701326;INF0QA701284;Bajaj Finserv Overnight Fund - Regular Plan - Monthly - IDCW;1009.3711;27-Aug-2023")</f>
        <v>151848;INF0QA701326;INF0QA701284;Bajaj Finserv Overnight Fund - Regular Plan - Monthly - IDCW;1009.3711;27-Aug-2023</v>
      </c>
      <c r="B3272" s="1"/>
    </row>
    <row r="3273">
      <c r="A3273" s="1" t="str">
        <f>IFERROR(__xludf.DUMMYFUNCTION("""COMPUTED_VALUE"""),"151846;INF0QA701300;INF0QA701268;Bajaj Finserv Overnight Fund - Regular Plan - Weekly - IDCW;1009.3711;27-Aug-2023")</f>
        <v>151846;INF0QA701300;INF0QA701268;Bajaj Finserv Overnight Fund - Regular Plan - Weekly - IDCW;1009.3711;27-Aug-2023</v>
      </c>
      <c r="B3273" s="1"/>
    </row>
    <row r="3274">
      <c r="A3274" s="1"/>
      <c r="B3274" s="1"/>
    </row>
    <row r="3275">
      <c r="A3275" s="1" t="str">
        <f>IFERROR(__xludf.DUMMYFUNCTION("""COMPUTED_VALUE"""),"Bandhan Mutual Fund")</f>
        <v>Bandhan Mutual Fund</v>
      </c>
      <c r="B3275" s="1"/>
    </row>
    <row r="3276">
      <c r="A3276" s="1"/>
      <c r="B3276" s="1"/>
    </row>
    <row r="3277">
      <c r="A3277" s="1" t="str">
        <f>IFERROR(__xludf.DUMMYFUNCTION("""COMPUTED_VALUE"""),"146190;INF194KB1462;INF194KB1470;BANDHAN Overnight Fund - Direct Plan - Daily IDCW;1000.0030;25-Aug-2023")</f>
        <v>146190;INF194KB1462;INF194KB1470;BANDHAN Overnight Fund - Direct Plan - Daily IDCW;1000.0030;25-Aug-2023</v>
      </c>
      <c r="B3277" s="1"/>
    </row>
    <row r="3278">
      <c r="A3278" s="1" t="str">
        <f>IFERROR(__xludf.DUMMYFUNCTION("""COMPUTED_VALUE"""),"146191;INF194KB1447;-;BANDHAN Overnight Fund - Direct Plan - Growth;1226.9797;25-Aug-2023")</f>
        <v>146191;INF194KB1447;-;BANDHAN Overnight Fund - Direct Plan - Growth;1226.9797;25-Aug-2023</v>
      </c>
      <c r="B3278" s="1"/>
    </row>
    <row r="3279">
      <c r="A3279" s="1" t="str">
        <f>IFERROR(__xludf.DUMMYFUNCTION("""COMPUTED_VALUE"""),"146183;INF194KB1496;INF194KB1504;BANDHAN Overnight Fund - Direct Plan - Monthly IDCW;1004.9368;25-Aug-2023")</f>
        <v>146183;INF194KB1496;INF194KB1504;BANDHAN Overnight Fund - Direct Plan - Monthly IDCW;1004.9368;25-Aug-2023</v>
      </c>
      <c r="B3279" s="1"/>
    </row>
    <row r="3280">
      <c r="A3280" s="1" t="str">
        <f>IFERROR(__xludf.DUMMYFUNCTION("""COMPUTED_VALUE"""),"146184;INF194KB1520;INF194KB1538;BANDHAN Overnight Fund - Direct Plan - Periodic IDCW;1117.7448;25-Aug-2023")</f>
        <v>146184;INF194KB1520;INF194KB1538;BANDHAN Overnight Fund - Direct Plan - Periodic IDCW;1117.7448;25-Aug-2023</v>
      </c>
      <c r="B3280" s="1"/>
    </row>
    <row r="3281">
      <c r="A3281" s="1" t="str">
        <f>IFERROR(__xludf.DUMMYFUNCTION("""COMPUTED_VALUE"""),"146192;INF194KB1553;INF194KB1561;BANDHAN Overnight Fund - Direct Plan - Weekly IDCW;1001.2791;25-Aug-2023")</f>
        <v>146192;INF194KB1553;INF194KB1561;BANDHAN Overnight Fund - Direct Plan - Weekly IDCW;1001.2791;25-Aug-2023</v>
      </c>
      <c r="B3281" s="1"/>
    </row>
    <row r="3282">
      <c r="A3282" s="1" t="str">
        <f>IFERROR(__xludf.DUMMYFUNCTION("""COMPUTED_VALUE"""),"146188;INF194KB1330;INF194KB1348;BANDHAN Overnight Fund - Regular Plan - Daily IDCW;1000.0030;25-Aug-2023")</f>
        <v>146188;INF194KB1330;INF194KB1348;BANDHAN Overnight Fund - Regular Plan - Daily IDCW;1000.0030;25-Aug-2023</v>
      </c>
      <c r="B3282" s="1"/>
    </row>
    <row r="3283">
      <c r="A3283" s="1" t="str">
        <f>IFERROR(__xludf.DUMMYFUNCTION("""COMPUTED_VALUE"""),"146187;INF194KB1314;-;BANDHAN Overnight Fund - Regular Plan - Growth;1220.6762;25-Aug-2023")</f>
        <v>146187;INF194KB1314;-;BANDHAN Overnight Fund - Regular Plan - Growth;1220.6762;25-Aug-2023</v>
      </c>
      <c r="B3283" s="1"/>
    </row>
    <row r="3284">
      <c r="A3284" s="1" t="str">
        <f>IFERROR(__xludf.DUMMYFUNCTION("""COMPUTED_VALUE"""),"146185;INF194KB1363;INF194KB1371;BANDHAN Overnight Fund - Regular Plan - Monthly IDCW;1004.9087;25-Aug-2023")</f>
        <v>146185;INF194KB1363;INF194KB1371;BANDHAN Overnight Fund - Regular Plan - Monthly IDCW;1004.9087;25-Aug-2023</v>
      </c>
      <c r="B3284" s="1"/>
    </row>
    <row r="3285">
      <c r="A3285" s="1" t="str">
        <f>IFERROR(__xludf.DUMMYFUNCTION("""COMPUTED_VALUE"""),"146189;INF194KB1421;INF194KB1439;BANDHAN Overnight Fund - Regular Plan - Weekly IDCW;1002.1936;25-Aug-2023")</f>
        <v>146189;INF194KB1421;INF194KB1439;BANDHAN Overnight Fund - Regular Plan - Weekly IDCW;1002.1936;25-Aug-2023</v>
      </c>
      <c r="B3285" s="1"/>
    </row>
    <row r="3286">
      <c r="A3286" s="1" t="str">
        <f>IFERROR(__xludf.DUMMYFUNCTION("""COMPUTED_VALUE"""),"146186;INF194KB1397;INF194KB1405;BANDHAN Overnight Fund - REGULAR PLAN PERIODIC IDCW;1116.9002;25-Aug-2023")</f>
        <v>146186;INF194KB1397;INF194KB1405;BANDHAN Overnight Fund - REGULAR PLAN PERIODIC IDCW;1116.9002;25-Aug-2023</v>
      </c>
      <c r="B3286" s="1"/>
    </row>
    <row r="3287">
      <c r="A3287" s="1"/>
      <c r="B3287" s="1"/>
    </row>
    <row r="3288">
      <c r="A3288" s="1" t="str">
        <f>IFERROR(__xludf.DUMMYFUNCTION("""COMPUTED_VALUE"""),"Bank of India Mutual Fund")</f>
        <v>Bank of India Mutual Fund</v>
      </c>
      <c r="B3288" s="1"/>
    </row>
    <row r="3289">
      <c r="A3289" s="1"/>
      <c r="B3289" s="1"/>
    </row>
    <row r="3290">
      <c r="A3290" s="1" t="str">
        <f>IFERROR(__xludf.DUMMYFUNCTION("""COMPUTED_VALUE"""),"147951;INF761K01EU7;-;BANK OF INDIA Overnight Fund Direct Plan Growth;1166.4525;27-Aug-2023")</f>
        <v>147951;INF761K01EU7;-;BANK OF INDIA Overnight Fund Direct Plan Growth;1166.4525;27-Aug-2023</v>
      </c>
      <c r="B3290" s="1"/>
    </row>
    <row r="3291">
      <c r="A3291" s="1" t="str">
        <f>IFERROR(__xludf.DUMMYFUNCTION("""COMPUTED_VALUE"""),"147952;-;INF761K01EV5;BANK OF INDIA Overnight Fund Direct Plan- Daily IDCW;1000.0034;27-Aug-2023")</f>
        <v>147952;-;INF761K01EV5;BANK OF INDIA Overnight Fund Direct Plan- Daily IDCW;1000.0034;27-Aug-2023</v>
      </c>
      <c r="B3291" s="1"/>
    </row>
    <row r="3292">
      <c r="A3292" s="1" t="str">
        <f>IFERROR(__xludf.DUMMYFUNCTION("""COMPUTED_VALUE"""),"147948;INF761K01EY9;INF761K01EX1;BANK OF INDIA Overnight Fund Direct Plan- Monthly IDCW;1005.7111;27-Aug-2023")</f>
        <v>147948;INF761K01EY9;INF761K01EX1;BANK OF INDIA Overnight Fund Direct Plan- Monthly IDCW;1005.7111;27-Aug-2023</v>
      </c>
      <c r="B3292" s="1"/>
    </row>
    <row r="3293">
      <c r="A3293" s="1" t="str">
        <f>IFERROR(__xludf.DUMMYFUNCTION("""COMPUTED_VALUE"""),"147950;-;INF761K01EW3;BANK OF INDIA Overnight Fund Direct Plan- Weekly IDCW;1001.1076;27-Aug-2023")</f>
        <v>147950;-;INF761K01EW3;BANK OF INDIA Overnight Fund Direct Plan- Weekly IDCW;1001.1076;27-Aug-2023</v>
      </c>
      <c r="B3293" s="1"/>
    </row>
    <row r="3294">
      <c r="A3294" s="1" t="str">
        <f>IFERROR(__xludf.DUMMYFUNCTION("""COMPUTED_VALUE"""),"147936;INF761K01EZ6;-;BANK OF INDIA Overnight Fund Regular Plan Growth;1163.7006;27-Aug-2023")</f>
        <v>147936;INF761K01EZ6;-;BANK OF INDIA Overnight Fund Regular Plan Growth;1163.7006;27-Aug-2023</v>
      </c>
      <c r="B3294" s="1"/>
    </row>
    <row r="3295">
      <c r="A3295" s="1" t="str">
        <f>IFERROR(__xludf.DUMMYFUNCTION("""COMPUTED_VALUE"""),"147953;-;INF761K01FA6;BANK OF INDIA Overnight Fund Regular Plan- Daily IDCW;1000.0030;07-Aug-2023")</f>
        <v>147953;-;INF761K01FA6;BANK OF INDIA Overnight Fund Regular Plan- Daily IDCW;1000.0030;07-Aug-2023</v>
      </c>
      <c r="B3295" s="1"/>
    </row>
    <row r="3296">
      <c r="A3296" s="1" t="str">
        <f>IFERROR(__xludf.DUMMYFUNCTION("""COMPUTED_VALUE"""),"147949;INF761K01FD0;INF761K01FC2;BANK OF INDIA Overnight Fund Regular Plan- Monthly IDCW;1005.7195;27-Aug-2023")</f>
        <v>147949;INF761K01FD0;INF761K01FC2;BANK OF INDIA Overnight Fund Regular Plan- Monthly IDCW;1005.7195;27-Aug-2023</v>
      </c>
      <c r="B3296" s="1"/>
    </row>
    <row r="3297">
      <c r="A3297" s="1" t="str">
        <f>IFERROR(__xludf.DUMMYFUNCTION("""COMPUTED_VALUE"""),"149412;-;-;BANK OF INDIA Overnight Fund Unclaimed IDCW Plan - Greater than 3 Years;1000.0000;27-Aug-2023")</f>
        <v>149412;-;-;BANK OF INDIA Overnight Fund Unclaimed IDCW Plan - Greater than 3 Years;1000.0000;27-Aug-2023</v>
      </c>
      <c r="B3297" s="1"/>
    </row>
    <row r="3298">
      <c r="A3298" s="1" t="str">
        <f>IFERROR(__xludf.DUMMYFUNCTION("""COMPUTED_VALUE"""),"149414;-;-;BANK OF INDIA Overnight Fund Unclaimed IDCW Plan - Up to 3 Years;1096.7915;27-Aug-2023")</f>
        <v>149414;-;-;BANK OF INDIA Overnight Fund Unclaimed IDCW Plan - Up to 3 Years;1096.7915;27-Aug-2023</v>
      </c>
      <c r="B3298" s="1"/>
    </row>
    <row r="3299">
      <c r="A3299" s="1" t="str">
        <f>IFERROR(__xludf.DUMMYFUNCTION("""COMPUTED_VALUE"""),"149415;-;-;BANK OF INDIA Overnight Fund Unclaimed Redemption Plan - Greater than 3 Years;1000.0000;27-Aug-2023")</f>
        <v>149415;-;-;BANK OF INDIA Overnight Fund Unclaimed Redemption Plan - Greater than 3 Years;1000.0000;27-Aug-2023</v>
      </c>
      <c r="B3299" s="1"/>
    </row>
    <row r="3300">
      <c r="A3300" s="1" t="str">
        <f>IFERROR(__xludf.DUMMYFUNCTION("""COMPUTED_VALUE"""),"149413;-;-;BANK OF INDIA Overnight Fund Unclaimed Redemption Plan - Upto 3 Years;1096.7057;27-Aug-2023")</f>
        <v>149413;-;-;BANK OF INDIA Overnight Fund Unclaimed Redemption Plan - Upto 3 Years;1096.7057;27-Aug-2023</v>
      </c>
      <c r="B3300" s="1"/>
    </row>
    <row r="3301">
      <c r="A3301" s="1"/>
      <c r="B3301" s="1"/>
    </row>
    <row r="3302">
      <c r="A3302" s="1" t="str">
        <f>IFERROR(__xludf.DUMMYFUNCTION("""COMPUTED_VALUE"""),"Baroda BNP Paribas Mutual Fund")</f>
        <v>Baroda BNP Paribas Mutual Fund</v>
      </c>
      <c r="B3302" s="1"/>
    </row>
    <row r="3303">
      <c r="A3303" s="1"/>
      <c r="B3303" s="1"/>
    </row>
    <row r="3304">
      <c r="A3304" s="1" t="str">
        <f>IFERROR(__xludf.DUMMYFUNCTION("""COMPUTED_VALUE"""),"147197;-;INF955L01HW2;Baroda BNP Paribas Overnight Fund - Direct Plan - Daily IDCW;1000.0028;27-Aug-2023")</f>
        <v>147197;-;INF955L01HW2;Baroda BNP Paribas Overnight Fund - Direct Plan - Daily IDCW;1000.0028;27-Aug-2023</v>
      </c>
      <c r="B3304" s="1"/>
    </row>
    <row r="3305">
      <c r="A3305" s="1" t="str">
        <f>IFERROR(__xludf.DUMMYFUNCTION("""COMPUTED_VALUE"""),"147196;INF955L01HV4;-;Baroda BNP Paribas Overnight Fund - Direct Plan - Growth;1208.7513;27-Aug-2023")</f>
        <v>147196;INF955L01HV4;-;Baroda BNP Paribas Overnight Fund - Direct Plan - Growth;1208.7513;27-Aug-2023</v>
      </c>
      <c r="B3305" s="1"/>
    </row>
    <row r="3306">
      <c r="A3306" s="1" t="str">
        <f>IFERROR(__xludf.DUMMYFUNCTION("""COMPUTED_VALUE"""),"147195;-;INF955L01HX0;Baroda BNP Paribas Overnight Fund - Direct Plan - Weekly IDCW;1001.0214;27-Aug-2023")</f>
        <v>147195;-;INF955L01HX0;Baroda BNP Paribas Overnight Fund - Direct Plan - Weekly IDCW;1001.0214;27-Aug-2023</v>
      </c>
      <c r="B3306" s="1"/>
    </row>
    <row r="3307">
      <c r="A3307" s="1" t="str">
        <f>IFERROR(__xludf.DUMMYFUNCTION("""COMPUTED_VALUE"""),"149988;-;-;Baroda BNP Paribas Overnight Fund - Plan C - Unclaimed IDCW - Greater than 3 years;1000.0000;27-Aug-2023")</f>
        <v>149988;-;-;Baroda BNP Paribas Overnight Fund - Plan C - Unclaimed IDCW - Greater than 3 years;1000.0000;27-Aug-2023</v>
      </c>
      <c r="B3307" s="1"/>
    </row>
    <row r="3308">
      <c r="A3308" s="1" t="str">
        <f>IFERROR(__xludf.DUMMYFUNCTION("""COMPUTED_VALUE"""),"149991;-;-;Baroda BNP Paribas Overnight Fund - Plan C - Unclaimed IDCW - Up to 3 years;1084.4990;27-Aug-2023")</f>
        <v>149991;-;-;Baroda BNP Paribas Overnight Fund - Plan C - Unclaimed IDCW - Up to 3 years;1084.4990;27-Aug-2023</v>
      </c>
      <c r="B3308" s="1"/>
    </row>
    <row r="3309">
      <c r="A3309" s="1" t="str">
        <f>IFERROR(__xludf.DUMMYFUNCTION("""COMPUTED_VALUE"""),"149990;-;-;Baroda BNP Paribas Overnight Fund - Plan C - Unclaimed Redemption - Greater than 3 years;1000.0000;27-Aug-2023")</f>
        <v>149990;-;-;Baroda BNP Paribas Overnight Fund - Plan C - Unclaimed Redemption - Greater than 3 years;1000.0000;27-Aug-2023</v>
      </c>
      <c r="B3309" s="1"/>
    </row>
    <row r="3310">
      <c r="A3310" s="1" t="str">
        <f>IFERROR(__xludf.DUMMYFUNCTION("""COMPUTED_VALUE"""),"149989;-;-;Baroda BNP Paribas Overnight Fund - Plan C - Unclaimed Redemption - Up to 3 years;1084.4990;27-Aug-2023")</f>
        <v>149989;-;-;Baroda BNP Paribas Overnight Fund - Plan C - Unclaimed Redemption - Up to 3 years;1084.4990;27-Aug-2023</v>
      </c>
      <c r="B3310" s="1"/>
    </row>
    <row r="3311">
      <c r="A3311" s="1" t="str">
        <f>IFERROR(__xludf.DUMMYFUNCTION("""COMPUTED_VALUE"""),"147194;-;INF955L01HT8;Baroda BNP Paribas Overnight Fund - Regular Plan - Daily IDCW;1000.0018;27-Aug-2023")</f>
        <v>147194;-;INF955L01HT8;Baroda BNP Paribas Overnight Fund - Regular Plan - Daily IDCW;1000.0018;27-Aug-2023</v>
      </c>
      <c r="B3311" s="1"/>
    </row>
    <row r="3312">
      <c r="A3312" s="1" t="str">
        <f>IFERROR(__xludf.DUMMYFUNCTION("""COMPUTED_VALUE"""),"147193;INF955L01HS0;-;Baroda BNP Paribas Overnight Fund - Regular Plan - Growth;1205.6912;27-Aug-2023")</f>
        <v>147193;INF955L01HS0;-;Baroda BNP Paribas Overnight Fund - Regular Plan - Growth;1205.6912;27-Aug-2023</v>
      </c>
      <c r="B3312" s="1"/>
    </row>
    <row r="3313">
      <c r="A3313" s="1" t="str">
        <f>IFERROR(__xludf.DUMMYFUNCTION("""COMPUTED_VALUE"""),"147198;-;INF955L01HU6;Baroda BNP Paribas Overnight Fund - Regular Plan - Weekly IDCW;1000.9919;27-Aug-2023")</f>
        <v>147198;-;INF955L01HU6;Baroda BNP Paribas Overnight Fund - Regular Plan - Weekly IDCW;1000.9919;27-Aug-2023</v>
      </c>
      <c r="B3313" s="1"/>
    </row>
    <row r="3314">
      <c r="A3314" s="1"/>
      <c r="B3314" s="1"/>
    </row>
    <row r="3315">
      <c r="A3315" s="1" t="str">
        <f>IFERROR(__xludf.DUMMYFUNCTION("""COMPUTED_VALUE"""),"Canara Robeco Mutual Fund")</f>
        <v>Canara Robeco Mutual Fund</v>
      </c>
      <c r="B3315" s="1"/>
    </row>
    <row r="3316">
      <c r="A3316" s="1"/>
      <c r="B3316" s="1"/>
    </row>
    <row r="3317">
      <c r="A3317" s="1" t="str">
        <f>IFERROR(__xludf.DUMMYFUNCTION("""COMPUTED_VALUE"""),"147532;-;INF760K01JN3;CANARA ROBECO OVERNIGHT FUND - DIRECT PLAN - DAILY IDCW (Reinvestment);1001.0007;27-Aug-2023")</f>
        <v>147532;-;INF760K01JN3;CANARA ROBECO OVERNIGHT FUND - DIRECT PLAN - DAILY IDCW (Reinvestment);1001.0007;27-Aug-2023</v>
      </c>
      <c r="B3317" s="1"/>
    </row>
    <row r="3318">
      <c r="A3318" s="1" t="str">
        <f>IFERROR(__xludf.DUMMYFUNCTION("""COMPUTED_VALUE"""),"147531;INF760K01JM5;-;CANARA ROBECO OVERNIGHT FUND - DIRECT PLAN - GROWTH OPTION;1190.7655;27-Aug-2023")</f>
        <v>147531;INF760K01JM5;-;CANARA ROBECO OVERNIGHT FUND - DIRECT PLAN - GROWTH OPTION;1190.7655;27-Aug-2023</v>
      </c>
      <c r="B3318" s="1"/>
    </row>
    <row r="3319">
      <c r="A3319" s="1" t="str">
        <f>IFERROR(__xludf.DUMMYFUNCTION("""COMPUTED_VALUE"""),"147533;-;INF760K01JP8;CANARA ROBECO OVERNIGHT FUND - REGULAR PLAN - DAILY IDCW (Reinvestment);1001.0000;27-Aug-2023")</f>
        <v>147533;-;INF760K01JP8;CANARA ROBECO OVERNIGHT FUND - REGULAR PLAN - DAILY IDCW (Reinvestment);1001.0000;27-Aug-2023</v>
      </c>
      <c r="B3319" s="1"/>
    </row>
    <row r="3320">
      <c r="A3320" s="1" t="str">
        <f>IFERROR(__xludf.DUMMYFUNCTION("""COMPUTED_VALUE"""),"147534;INF760K01JO1;-;CANARA ROBECO OVERNIGHT FUND - REGULAR PLAN - GROWTH OPTION;1189.8294;27-Aug-2023")</f>
        <v>147534;INF760K01JO1;-;CANARA ROBECO OVERNIGHT FUND - REGULAR PLAN - GROWTH OPTION;1189.8294;27-Aug-2023</v>
      </c>
      <c r="B3320" s="1"/>
    </row>
    <row r="3321">
      <c r="A3321" s="1"/>
      <c r="B3321" s="1"/>
    </row>
    <row r="3322">
      <c r="A3322" s="1" t="str">
        <f>IFERROR(__xludf.DUMMYFUNCTION("""COMPUTED_VALUE"""),"DSP Mutual Fund")</f>
        <v>DSP Mutual Fund</v>
      </c>
      <c r="B3322" s="1"/>
    </row>
    <row r="3323">
      <c r="A3323" s="1"/>
      <c r="B3323" s="1"/>
    </row>
    <row r="3324">
      <c r="A3324" s="1" t="str">
        <f>IFERROR(__xludf.DUMMYFUNCTION("""COMPUTED_VALUE"""),"146062;INF740KA1MC8;-;DSP Overnight Fund - Direct Plan - Growth;1232.3791;25-Aug-2023")</f>
        <v>146062;INF740KA1MC8;-;DSP Overnight Fund - Direct Plan - Growth;1232.3791;25-Aug-2023</v>
      </c>
      <c r="B3324" s="1"/>
    </row>
    <row r="3325">
      <c r="A3325" s="1" t="str">
        <f>IFERROR(__xludf.DUMMYFUNCTION("""COMPUTED_VALUE"""),"146065;-;INF740KA1OR2;DSP Overnight Fund - Direct Plan - IDCW - Daily;1000.0040;25-Aug-2023")</f>
        <v>146065;-;INF740KA1OR2;DSP Overnight Fund - Direct Plan - IDCW - Daily;1000.0040;25-Aug-2023</v>
      </c>
      <c r="B3325" s="1"/>
    </row>
    <row r="3326">
      <c r="A3326" s="1" t="str">
        <f>IFERROR(__xludf.DUMMYFUNCTION("""COMPUTED_VALUE"""),"146064;INF740KA1OS0;INF740KA1OT8;DSP Overnight Fund - Direct Plan - IDCW - Weekly;1000.8946;22-May-2023")</f>
        <v>146064;INF740KA1OS0;INF740KA1OT8;DSP Overnight Fund - Direct Plan - IDCW - Weekly;1000.8946;22-May-2023</v>
      </c>
      <c r="B3326" s="1"/>
    </row>
    <row r="3327">
      <c r="A3327" s="1" t="str">
        <f>IFERROR(__xludf.DUMMYFUNCTION("""COMPUTED_VALUE"""),"146061;INF740KA1MB0;-;DSP Overnight Fund - Regular Plan - Growth;1227.5981;25-Aug-2023")</f>
        <v>146061;INF740KA1MB0;-;DSP Overnight Fund - Regular Plan - Growth;1227.5981;25-Aug-2023</v>
      </c>
      <c r="B3327" s="1"/>
    </row>
    <row r="3328">
      <c r="A3328" s="1" t="str">
        <f>IFERROR(__xludf.DUMMYFUNCTION("""COMPUTED_VALUE"""),"146066;-;INF740KA1OU6;DSP Overnight Fund - Regular Plan - IDCW - Daily;1000.0039;25-Aug-2023")</f>
        <v>146066;-;INF740KA1OU6;DSP Overnight Fund - Regular Plan - IDCW - Daily;1000.0039;25-Aug-2023</v>
      </c>
      <c r="B3328" s="1"/>
    </row>
    <row r="3329">
      <c r="A3329" s="1" t="str">
        <f>IFERROR(__xludf.DUMMYFUNCTION("""COMPUTED_VALUE"""),"146063;INF740KA1OV4;INF740KA1OW2;DSP Overnight Fund - Regular Plan - IDCW - Weekly;1001.2811;25-Aug-2023")</f>
        <v>146063;INF740KA1OV4;INF740KA1OW2;DSP Overnight Fund - Regular Plan - IDCW - Weekly;1001.2811;25-Aug-2023</v>
      </c>
      <c r="B3329" s="1"/>
    </row>
    <row r="3330">
      <c r="A3330" s="1" t="str">
        <f>IFERROR(__xludf.DUMMYFUNCTION("""COMPUTED_VALUE"""),"149313;-;-;Unclaimed IDCW - Beyond 3 years (Invested in DSP Overnight Fund);10.0000;25-Aug-2023")</f>
        <v>149313;-;-;Unclaimed IDCW - Beyond 3 years (Invested in DSP Overnight Fund);10.0000;25-Aug-2023</v>
      </c>
      <c r="B3330" s="1"/>
    </row>
    <row r="3331">
      <c r="A3331" s="1" t="str">
        <f>IFERROR(__xludf.DUMMYFUNCTION("""COMPUTED_VALUE"""),"149312;-;-;Unclaimed IDCW - Upto 3 years (Invested in DSP Overnight Fund);10.9777;25-Aug-2023")</f>
        <v>149312;-;-;Unclaimed IDCW - Upto 3 years (Invested in DSP Overnight Fund);10.9777;25-Aug-2023</v>
      </c>
      <c r="B3331" s="1"/>
    </row>
    <row r="3332">
      <c r="A3332" s="1" t="str">
        <f>IFERROR(__xludf.DUMMYFUNCTION("""COMPUTED_VALUE"""),"149311;-;-;Unclaimed Redemption - Beyond 3 years (Invested in DSP Overnight Fund);10.0000;25-Aug-2023")</f>
        <v>149311;-;-;Unclaimed Redemption - Beyond 3 years (Invested in DSP Overnight Fund);10.0000;25-Aug-2023</v>
      </c>
      <c r="B3332" s="1"/>
    </row>
    <row r="3333">
      <c r="A3333" s="1" t="str">
        <f>IFERROR(__xludf.DUMMYFUNCTION("""COMPUTED_VALUE"""),"149310;-;-;Unclaimed Redemption - Upto 3 years (Invested in DSP Overnight Fund);10.9777;25-Aug-2023")</f>
        <v>149310;-;-;Unclaimed Redemption - Upto 3 years (Invested in DSP Overnight Fund);10.9777;25-Aug-2023</v>
      </c>
      <c r="B3333" s="1"/>
    </row>
    <row r="3334">
      <c r="A3334" s="1"/>
      <c r="B3334" s="1"/>
    </row>
    <row r="3335">
      <c r="A3335" s="1" t="str">
        <f>IFERROR(__xludf.DUMMYFUNCTION("""COMPUTED_VALUE"""),"Edelweiss Mutual Fund")</f>
        <v>Edelweiss Mutual Fund</v>
      </c>
      <c r="B3335" s="1"/>
    </row>
    <row r="3336">
      <c r="A3336" s="1"/>
      <c r="B3336" s="1"/>
    </row>
    <row r="3337">
      <c r="A3337" s="1" t="str">
        <f>IFERROR(__xludf.DUMMYFUNCTION("""COMPUTED_VALUE"""),"147551;INF754K01KD5;INF754K01KC7;Edelweiss Overnight Fund - Direct Plan - Annual - IDCW Option;1192.4093;26-Aug-2023")</f>
        <v>147551;INF754K01KD5;INF754K01KC7;Edelweiss Overnight Fund - Direct Plan - Annual - IDCW Option;1192.4093;26-Aug-2023</v>
      </c>
      <c r="B3337" s="1"/>
    </row>
    <row r="3338">
      <c r="A3338" s="1" t="str">
        <f>IFERROR(__xludf.DUMMYFUNCTION("""COMPUTED_VALUE"""),"147557;-;INF754K01JW7;Edelweiss Overnight Fund - Direct Plan - Daily - IDCW Option;1000.0311;26-Aug-2023")</f>
        <v>147557;-;INF754K01JW7;Edelweiss Overnight Fund - Direct Plan - Daily - IDCW Option;1000.0311;26-Aug-2023</v>
      </c>
      <c r="B3338" s="1"/>
    </row>
    <row r="3339">
      <c r="A3339" s="1" t="str">
        <f>IFERROR(__xludf.DUMMYFUNCTION("""COMPUTED_VALUE"""),"147550;INF754K01JZ0;INF754K01JY3;Edelweiss Overnight Fund - Direct Plan - Fortnightly - IDCW Option;1149.6445;13-Feb-2023")</f>
        <v>147550;INF754K01JZ0;INF754K01JY3;Edelweiss Overnight Fund - Direct Plan - Fortnightly - IDCW Option;1149.6445;13-Feb-2023</v>
      </c>
      <c r="B3339" s="1"/>
    </row>
    <row r="3340">
      <c r="A3340" s="1" t="str">
        <f>IFERROR(__xludf.DUMMYFUNCTION("""COMPUTED_VALUE"""),"147570;INF754K01JV9;-;Edelweiss Overnight Fund - Direct Plan - Growth;1191.9828;26-Aug-2023")</f>
        <v>147570;INF754K01JV9;-;Edelweiss Overnight Fund - Direct Plan - Growth;1191.9828;26-Aug-2023</v>
      </c>
      <c r="B3340" s="1"/>
    </row>
    <row r="3341">
      <c r="A3341" s="1" t="str">
        <f>IFERROR(__xludf.DUMMYFUNCTION("""COMPUTED_VALUE"""),"147554;INF754K01KB9;INF754K01KA1;Edelweiss Overnight Fund - Direct Plan - Monthly - IDCW Option;1057.6867;26-Aug-2023")</f>
        <v>147554;INF754K01KB9;INF754K01KA1;Edelweiss Overnight Fund - Direct Plan - Monthly - IDCW Option;1057.6867;26-Aug-2023</v>
      </c>
      <c r="B3341" s="1"/>
    </row>
    <row r="3342">
      <c r="A3342" s="1" t="str">
        <f>IFERROR(__xludf.DUMMYFUNCTION("""COMPUTED_VALUE"""),"147558;-;INF754K01JX5;Edelweiss Overnight Fund - Direct Plan - Weekly - IDCW Option;1065.6143;30-Mar-2022")</f>
        <v>147558;-;INF754K01JX5;Edelweiss Overnight Fund - Direct Plan - Weekly - IDCW Option;1065.6143;30-Mar-2022</v>
      </c>
      <c r="B3342" s="1"/>
    </row>
    <row r="3343">
      <c r="A3343" s="1" t="str">
        <f>IFERROR(__xludf.DUMMYFUNCTION("""COMPUTED_VALUE"""),"147556;INF754K01KM6;INF754K01KL8;Edelweiss Overnight Fund - Regular Plan - Annual - IDCW Option;1189.2021;26-Aug-2023")</f>
        <v>147556;INF754K01KM6;INF754K01KL8;Edelweiss Overnight Fund - Regular Plan - Annual - IDCW Option;1189.2021;26-Aug-2023</v>
      </c>
      <c r="B3343" s="1"/>
    </row>
    <row r="3344">
      <c r="A3344" s="1" t="str">
        <f>IFERROR(__xludf.DUMMYFUNCTION("""COMPUTED_VALUE"""),"147552;-;INF754K01KF0;Edelweiss Overnight Fund - Regular Plan - Daily - IDCW Option;1008.1435;26-Aug-2023")</f>
        <v>147552;-;INF754K01KF0;Edelweiss Overnight Fund - Regular Plan - Daily - IDCW Option;1008.1435;26-Aug-2023</v>
      </c>
      <c r="B3344" s="1"/>
    </row>
    <row r="3345">
      <c r="A3345" s="1" t="str">
        <f>IFERROR(__xludf.DUMMYFUNCTION("""COMPUTED_VALUE"""),"147549;INF754K01KI4;INF754K01KH6;Edelweiss Overnight Fund - Regular Plan - Fortnightly - IDCW Option;1097.4114;26-Aug-2023")</f>
        <v>147549;INF754K01KI4;INF754K01KH6;Edelweiss Overnight Fund - Regular Plan - Fortnightly - IDCW Option;1097.4114;26-Aug-2023</v>
      </c>
      <c r="B3345" s="1"/>
    </row>
    <row r="3346">
      <c r="A3346" s="1" t="str">
        <f>IFERROR(__xludf.DUMMYFUNCTION("""COMPUTED_VALUE"""),"147569;INF754K01KE3;-;Edelweiss Overnight Fund - Regular Plan - Growth;1189.2012;26-Aug-2023")</f>
        <v>147569;INF754K01KE3;-;Edelweiss Overnight Fund - Regular Plan - Growth;1189.2012;26-Aug-2023</v>
      </c>
      <c r="B3346" s="1"/>
    </row>
    <row r="3347">
      <c r="A3347" s="1" t="str">
        <f>IFERROR(__xludf.DUMMYFUNCTION("""COMPUTED_VALUE"""),"147555;INF754K01KK0;INF754K01KJ2;Edelweiss Overnight Fund - Regular Plan - Monthly - IDCW Option;1004.1143;26-Aug-2023")</f>
        <v>147555;INF754K01KK0;INF754K01KJ2;Edelweiss Overnight Fund - Regular Plan - Monthly - IDCW Option;1004.1143;26-Aug-2023</v>
      </c>
      <c r="B3347" s="1"/>
    </row>
    <row r="3348">
      <c r="A3348" s="1" t="str">
        <f>IFERROR(__xludf.DUMMYFUNCTION("""COMPUTED_VALUE"""),"147553;-;INF754K01KG8;Edelweiss Overnight Fund - Regular Plan - Weekly - IDCW Option;1016.7973;26-Aug-2023")</f>
        <v>147553;-;INF754K01KG8;Edelweiss Overnight Fund - Regular Plan - Weekly - IDCW Option;1016.7973;26-Aug-2023</v>
      </c>
      <c r="B3348" s="1"/>
    </row>
    <row r="3349">
      <c r="A3349" s="1" t="str">
        <f>IFERROR(__xludf.DUMMYFUNCTION("""COMPUTED_VALUE"""),"149476;-;-;Edelweiss Overnight Fund - Unclaimed IDCW Plan - Above 3 years;1000;26-Aug-2023")</f>
        <v>149476;-;-;Edelweiss Overnight Fund - Unclaimed IDCW Plan - Above 3 years;1000;26-Aug-2023</v>
      </c>
      <c r="B3349" s="1"/>
    </row>
    <row r="3350">
      <c r="A3350" s="1" t="str">
        <f>IFERROR(__xludf.DUMMYFUNCTION("""COMPUTED_VALUE"""),"149477;-;-;Edelweiss Overnight Fund - Unclaimed IDCW Plan - Upto 3 years;1090.5997;26-Aug-2023")</f>
        <v>149477;-;-;Edelweiss Overnight Fund - Unclaimed IDCW Plan - Upto 3 years;1090.5997;26-Aug-2023</v>
      </c>
      <c r="B3350" s="1"/>
    </row>
    <row r="3351">
      <c r="A3351" s="1" t="str">
        <f>IFERROR(__xludf.DUMMYFUNCTION("""COMPUTED_VALUE"""),"149479;-;-;Edelweiss Overnight Fund - Unclaimed Redemption Plan - Above 3 years;1000;26-Aug-2023")</f>
        <v>149479;-;-;Edelweiss Overnight Fund - Unclaimed Redemption Plan - Above 3 years;1000;26-Aug-2023</v>
      </c>
      <c r="B3351" s="1"/>
    </row>
    <row r="3352">
      <c r="A3352" s="1" t="str">
        <f>IFERROR(__xludf.DUMMYFUNCTION("""COMPUTED_VALUE"""),"149478;-;-;Edelweiss Overnight Fund - Unclaimed Redemption Plan - Upto 3 years;1090.5985;26-Aug-2023")</f>
        <v>149478;-;-;Edelweiss Overnight Fund - Unclaimed Redemption Plan - Upto 3 years;1090.5985;26-Aug-2023</v>
      </c>
      <c r="B3352" s="1"/>
    </row>
    <row r="3353">
      <c r="A3353" s="1"/>
      <c r="B3353" s="1"/>
    </row>
    <row r="3354">
      <c r="A3354" s="1" t="str">
        <f>IFERROR(__xludf.DUMMYFUNCTION("""COMPUTED_VALUE"""),"Franklin Templeton Mutual Fund")</f>
        <v>Franklin Templeton Mutual Fund</v>
      </c>
      <c r="B3354" s="1"/>
    </row>
    <row r="3355">
      <c r="A3355" s="1"/>
      <c r="B3355" s="1"/>
    </row>
    <row r="3356">
      <c r="A3356" s="1" t="str">
        <f>IFERROR(__xludf.DUMMYFUNCTION("""COMPUTED_VALUE"""),"147215;-;INF090I01SM2;Franklin India Overnight Fund - Daily Dividend Plan - Daily - IDCW;1000.0000;25-Aug-2023")</f>
        <v>147215;-;INF090I01SM2;Franklin India Overnight Fund - Daily Dividend Plan - Daily - IDCW;1000.0000;25-Aug-2023</v>
      </c>
      <c r="B3356" s="1"/>
    </row>
    <row r="3357">
      <c r="A3357" s="1" t="str">
        <f>IFERROR(__xludf.DUMMYFUNCTION("""COMPUTED_VALUE"""),"147212;-;INF090I01ST7;Franklin India Overnight Fund - Direct Daily Dividend Plan - Daily - IDCW;1000.0001;25-Aug-2023")</f>
        <v>147212;-;INF090I01ST7;Franklin India Overnight Fund - Direct Daily Dividend Plan - Daily - IDCW;1000.0001;25-Aug-2023</v>
      </c>
      <c r="B3357" s="1"/>
    </row>
    <row r="3358">
      <c r="A3358" s="1" t="str">
        <f>IFERROR(__xludf.DUMMYFUNCTION("""COMPUTED_VALUE"""),"147211;INF090I01SR1;INF090I01SQ3;Franklin India Overnight Fund - Direct Weekly Dividend Plan - Weekly - IDCW;1000.9113;25-Aug-2023")</f>
        <v>147211;INF090I01SR1;INF090I01SQ3;Franklin India Overnight Fund - Direct Weekly Dividend Plan - Weekly - IDCW;1000.9113;25-Aug-2023</v>
      </c>
      <c r="B3358" s="1"/>
    </row>
    <row r="3359">
      <c r="A3359" s="1" t="str">
        <f>IFERROR(__xludf.DUMMYFUNCTION("""COMPUTED_VALUE"""),"147216;INF090I01SN0;INF090I01SP5;Franklin India Overnight Fund - Weekly Dividend Plan - Weekly - IDCW;1000.9044;25-Aug-2023")</f>
        <v>147216;INF090I01SN0;INF090I01SP5;Franklin India Overnight Fund - Weekly Dividend Plan - Weekly - IDCW;1000.9044;25-Aug-2023</v>
      </c>
      <c r="B3359" s="1"/>
    </row>
    <row r="3360">
      <c r="A3360" s="1" t="str">
        <f>IFERROR(__xludf.DUMMYFUNCTION("""COMPUTED_VALUE"""),"147213;INF090I01SO8;-;Franklin India Overnight fund- Growth;1197.8158;25-Aug-2023")</f>
        <v>147213;INF090I01SO8;-;Franklin India Overnight fund- Growth;1197.8158;25-Aug-2023</v>
      </c>
      <c r="B3360" s="1"/>
    </row>
    <row r="3361">
      <c r="A3361" s="1" t="str">
        <f>IFERROR(__xludf.DUMMYFUNCTION("""COMPUTED_VALUE"""),"147214;INF090I01SS9;-;Franklin India Overnight Fund- Growth - Direct;1200.5841;25-Aug-2023")</f>
        <v>147214;INF090I01SS9;-;Franklin India Overnight Fund- Growth - Direct;1200.5841;25-Aug-2023</v>
      </c>
      <c r="B3361" s="1"/>
    </row>
    <row r="3362">
      <c r="A3362" s="1" t="str">
        <f>IFERROR(__xludf.DUMMYFUNCTION("""COMPUTED_VALUE"""),"149445;-;-;Franklin India Overnight Fund- Unclaimed IDCW Investor Education Plan;10.0000;25-Aug-2023")</f>
        <v>149445;-;-;Franklin India Overnight Fund- Unclaimed IDCW Investor Education Plan;10.0000;25-Aug-2023</v>
      </c>
      <c r="B3362" s="1"/>
    </row>
    <row r="3363">
      <c r="A3363" s="1" t="str">
        <f>IFERROR(__xludf.DUMMYFUNCTION("""COMPUTED_VALUE"""),"149443;-;-;Franklin India Overnight Fund- Unclaimed IDCW Plan;10.8967;25-Aug-2023")</f>
        <v>149443;-;-;Franklin India Overnight Fund- Unclaimed IDCW Plan;10.8967;25-Aug-2023</v>
      </c>
      <c r="B3363" s="1"/>
    </row>
    <row r="3364">
      <c r="A3364" s="1" t="str">
        <f>IFERROR(__xludf.DUMMYFUNCTION("""COMPUTED_VALUE"""),"149444;-;-;Franklin India Overnight Fund- Unclaimed Redemption Investor EducationPlan;10.0000;25-Aug-2023")</f>
        <v>149444;-;-;Franklin India Overnight Fund- Unclaimed Redemption Investor EducationPlan;10.0000;25-Aug-2023</v>
      </c>
      <c r="B3364" s="1"/>
    </row>
    <row r="3365">
      <c r="A3365" s="1" t="str">
        <f>IFERROR(__xludf.DUMMYFUNCTION("""COMPUTED_VALUE"""),"149446;-;-;Franklin India Overnight Fund- Unclaimed Redemption Plan;10.8967;25-Aug-2023")</f>
        <v>149446;-;-;Franklin India Overnight Fund- Unclaimed Redemption Plan;10.8967;25-Aug-2023</v>
      </c>
      <c r="B3365" s="1"/>
    </row>
    <row r="3366">
      <c r="A3366" s="1"/>
      <c r="B3366" s="1"/>
    </row>
    <row r="3367">
      <c r="A3367" s="1" t="str">
        <f>IFERROR(__xludf.DUMMYFUNCTION("""COMPUTED_VALUE"""),"Groww Mutual Fund")</f>
        <v>Groww Mutual Fund</v>
      </c>
      <c r="B3367" s="1"/>
    </row>
    <row r="3368">
      <c r="A3368" s="1"/>
      <c r="B3368" s="1"/>
    </row>
    <row r="3369">
      <c r="A3369" s="1" t="str">
        <f>IFERROR(__xludf.DUMMYFUNCTION("""COMPUTED_VALUE"""),"147458;-;INF666M01GM6;Groww Overnight Fund (formerly known as Indiabulls Overnight Fund)- Direct Plan- - Income Distribution cum capital withdrawal Option ( Reinvestment);1001.0068;27-Aug-2023")</f>
        <v>147458;-;INF666M01GM6;Groww Overnight Fund (formerly known as Indiabulls Overnight Fund)- Direct Plan- - Income Distribution cum capital withdrawal Option ( Reinvestment);1001.0068;27-Aug-2023</v>
      </c>
      <c r="B3369" s="1"/>
    </row>
    <row r="3370">
      <c r="A3370" s="1" t="str">
        <f>IFERROR(__xludf.DUMMYFUNCTION("""COMPUTED_VALUE"""),"147452;INF666M01GP9;INF666M01GQ7;Groww Overnight Fund (formerly known as Indiabulls Overnight Fund)- Direct Plan- Fortnightly - Income Distribution cum capital withdrawal Option (Payout &amp; Reinvestment);1002.5297;17-Aug-2022")</f>
        <v>147452;INF666M01GP9;INF666M01GQ7;Groww Overnight Fund (formerly known as Indiabulls Overnight Fund)- Direct Plan- Fortnightly - Income Distribution cum capital withdrawal Option (Payout &amp; Reinvestment);1002.5297;17-Aug-2022</v>
      </c>
      <c r="B3370" s="1"/>
    </row>
    <row r="3371">
      <c r="A3371" s="1" t="str">
        <f>IFERROR(__xludf.DUMMYFUNCTION("""COMPUTED_VALUE"""),"147450;INF666M01GL8;-;Groww Overnight Fund (formerly known as Indiabulls Overnight Fund)- Direct Plan- Growth Option;1187.8452;27-Aug-2023")</f>
        <v>147450;INF666M01GL8;-;Groww Overnight Fund (formerly known as Indiabulls Overnight Fund)- Direct Plan- Growth Option;1187.8452;27-Aug-2023</v>
      </c>
      <c r="B3371" s="1"/>
    </row>
    <row r="3372">
      <c r="A3372" s="1" t="str">
        <f>IFERROR(__xludf.DUMMYFUNCTION("""COMPUTED_VALUE"""),"147453;INF666M01GR5;INF666M01GS3;Groww Overnight Fund (formerly known as Indiabulls Overnight Fund)- Direct Plan- Monthly - Income Distribution cum capital withdrawal Option (Payout &amp; Reinvestment);1006.2141;27-Aug-2023")</f>
        <v>147453;INF666M01GR5;INF666M01GS3;Groww Overnight Fund (formerly known as Indiabulls Overnight Fund)- Direct Plan- Monthly - Income Distribution cum capital withdrawal Option (Payout &amp; Reinvestment);1006.2141;27-Aug-2023</v>
      </c>
      <c r="B3372" s="1"/>
    </row>
    <row r="3373">
      <c r="A3373" s="1" t="str">
        <f>IFERROR(__xludf.DUMMYFUNCTION("""COMPUTED_VALUE"""),"147451;INF666M01GN4;INF666M01GO2;Groww Overnight Fund (formerly known as Indiabulls Overnight Fund)- Direct Plan- Weekly - Income Distribution cum capital withdrawal Option (Payout &amp; Reinvestment);1001.7982;22-Sep-2022")</f>
        <v>147451;INF666M01GN4;INF666M01GO2;Groww Overnight Fund (formerly known as Indiabulls Overnight Fund)- Direct Plan- Weekly - Income Distribution cum capital withdrawal Option (Payout &amp; Reinvestment);1001.7982;22-Sep-2022</v>
      </c>
      <c r="B3373" s="1"/>
    </row>
    <row r="3374">
      <c r="A3374" s="1" t="str">
        <f>IFERROR(__xludf.DUMMYFUNCTION("""COMPUTED_VALUE"""),"147455;-;INF666M01GU9;Groww Overnight Fund (formerly known as Indiabulls Overnight Fund)- Regular Plan- - Income Distribution cum capital withdrawal Option ( Reinvestment);1001.0122;27-Aug-2023")</f>
        <v>147455;-;INF666M01GU9;Groww Overnight Fund (formerly known as Indiabulls Overnight Fund)- Regular Plan- - Income Distribution cum capital withdrawal Option ( Reinvestment);1001.0122;27-Aug-2023</v>
      </c>
      <c r="B3374" s="1"/>
    </row>
    <row r="3375">
      <c r="A3375" s="1" t="str">
        <f>IFERROR(__xludf.DUMMYFUNCTION("""COMPUTED_VALUE"""),"147457;INF666M01GX3;INF666M01GY1;Groww Overnight Fund (formerly known as Indiabulls Overnight Fund)- Regular Plan- Fortnightly - Income Distribution cum capital withdrawal Option (Payout &amp; Reinvestment);1001.233;27-Aug-2023")</f>
        <v>147457;INF666M01GX3;INF666M01GY1;Groww Overnight Fund (formerly known as Indiabulls Overnight Fund)- Regular Plan- Fortnightly - Income Distribution cum capital withdrawal Option (Payout &amp; Reinvestment);1001.233;27-Aug-2023</v>
      </c>
      <c r="B3375" s="1"/>
    </row>
    <row r="3376">
      <c r="A3376" s="1" t="str">
        <f>IFERROR(__xludf.DUMMYFUNCTION("""COMPUTED_VALUE"""),"147454;INF666M01GT1;-;Groww Overnight Fund (formerly known as Indiabulls Overnight Fund)- Regular Plan- Growth Option;1183.5011;27-Aug-2023")</f>
        <v>147454;INF666M01GT1;-;Groww Overnight Fund (formerly known as Indiabulls Overnight Fund)- Regular Plan- Growth Option;1183.5011;27-Aug-2023</v>
      </c>
      <c r="B3376" s="1"/>
    </row>
    <row r="3377">
      <c r="A3377" s="1" t="str">
        <f>IFERROR(__xludf.DUMMYFUNCTION("""COMPUTED_VALUE"""),"147459;INF666M01GZ8;INF666M01HA9;Groww Overnight Fund (formerly known as Indiabulls Overnight Fund)- Regular Plan- Monthly - Income Distribution cum capital withdrawal Option (Payout &amp; Reinvestment);1006.1425;27-Aug-2023")</f>
        <v>147459;INF666M01GZ8;INF666M01HA9;Groww Overnight Fund (formerly known as Indiabulls Overnight Fund)- Regular Plan- Monthly - Income Distribution cum capital withdrawal Option (Payout &amp; Reinvestment);1006.1425;27-Aug-2023</v>
      </c>
      <c r="B3377" s="1"/>
    </row>
    <row r="3378">
      <c r="A3378" s="1" t="str">
        <f>IFERROR(__xludf.DUMMYFUNCTION("""COMPUTED_VALUE"""),"147456;INF666M01GV7;INF666M01GW5;Groww Overnight Fund (formerly known as Indiabulls Overnight Fund)- Regular Plan- Weekly - Income Distribution cum capital withdrawal Option (Payout &amp; Reinvestment);1001.9517;27-Aug-2023")</f>
        <v>147456;INF666M01GV7;INF666M01GW5;Groww Overnight Fund (formerly known as Indiabulls Overnight Fund)- Regular Plan- Weekly - Income Distribution cum capital withdrawal Option (Payout &amp; Reinvestment);1001.9517;27-Aug-2023</v>
      </c>
      <c r="B3378" s="1"/>
    </row>
    <row r="3379">
      <c r="A3379" s="1" t="str">
        <f>IFERROR(__xludf.DUMMYFUNCTION("""COMPUTED_VALUE"""),"149394;-;-;Groww Overnight Fund (formerly known as Indiabulls Overnight Fund)- Unclaimed Dividend &lt; 3 years;1093.2888;27-Aug-2023")</f>
        <v>149394;-;-;Groww Overnight Fund (formerly known as Indiabulls Overnight Fund)- Unclaimed Dividend &lt; 3 years;1093.2888;27-Aug-2023</v>
      </c>
      <c r="B3379" s="1"/>
    </row>
    <row r="3380">
      <c r="A3380" s="1" t="str">
        <f>IFERROR(__xludf.DUMMYFUNCTION("""COMPUTED_VALUE"""),"149393;-;-;Groww Overnight Fund (formerly known as Indiabulls Overnight Fund)- Unclaimed Dividend &gt; 3 Years;1090.6969;27-Aug-2023")</f>
        <v>149393;-;-;Groww Overnight Fund (formerly known as Indiabulls Overnight Fund)- Unclaimed Dividend &gt; 3 Years;1090.6969;27-Aug-2023</v>
      </c>
      <c r="B3380" s="1"/>
    </row>
    <row r="3381">
      <c r="A3381" s="1" t="str">
        <f>IFERROR(__xludf.DUMMYFUNCTION("""COMPUTED_VALUE"""),"149396;-;-;Groww Overnight Fund (formerly known as Indiabulls Overnight Fund)- Unclaimed Redemption &lt; 3 Years;1089.2412;27-Aug-2023")</f>
        <v>149396;-;-;Groww Overnight Fund (formerly known as Indiabulls Overnight Fund)- Unclaimed Redemption &lt; 3 Years;1089.2412;27-Aug-2023</v>
      </c>
      <c r="B3381" s="1"/>
    </row>
    <row r="3382">
      <c r="A3382" s="1" t="str">
        <f>IFERROR(__xludf.DUMMYFUNCTION("""COMPUTED_VALUE"""),"149395;-;-;Groww Overnight Fund (formerly known as Indiabulls Overnight Fund)- Unclaimed Redemption &gt; 3 Years;1091.2927;27-Aug-2023")</f>
        <v>149395;-;-;Groww Overnight Fund (formerly known as Indiabulls Overnight Fund)- Unclaimed Redemption &gt; 3 Years;1091.2927;27-Aug-2023</v>
      </c>
      <c r="B3382" s="1"/>
    </row>
    <row r="3383">
      <c r="A3383" s="1"/>
      <c r="B3383" s="1"/>
    </row>
    <row r="3384">
      <c r="A3384" s="1" t="str">
        <f>IFERROR(__xludf.DUMMYFUNCTION("""COMPUTED_VALUE"""),"HDFC Mutual Fund")</f>
        <v>HDFC Mutual Fund</v>
      </c>
      <c r="B3384" s="1"/>
    </row>
    <row r="3385">
      <c r="A3385" s="1"/>
      <c r="B3385" s="1"/>
    </row>
    <row r="3386">
      <c r="A3386" s="1" t="str">
        <f>IFERROR(__xludf.DUMMYFUNCTION("""COMPUTED_VALUE"""),"119109;-;INF179KB1HY1;HDFC Overnight Fund - Daily IDCW Option - Direct Plan;1042.66;27-Aug-2023")</f>
        <v>119109;-;INF179KB1HY1;HDFC Overnight Fund - Daily IDCW Option - Direct Plan;1042.66;27-Aug-2023</v>
      </c>
      <c r="B3386" s="1"/>
    </row>
    <row r="3387">
      <c r="A3387" s="1" t="str">
        <f>IFERROR(__xludf.DUMMYFUNCTION("""COMPUTED_VALUE"""),"101996;INF179KB1HS3;-;HDFC Overnight Fund - Growth Option;3388.5177;27-Aug-2023")</f>
        <v>101996;INF179KB1HS3;-;HDFC Overnight Fund - Growth Option;3388.5177;27-Aug-2023</v>
      </c>
      <c r="B3387" s="1"/>
    </row>
    <row r="3388">
      <c r="A3388" s="1" t="str">
        <f>IFERROR(__xludf.DUMMYFUNCTION("""COMPUTED_VALUE"""),"119110;INF179KB1HT1;-;HDFC Overnight Fund - Growth Option - Direct Plan;3416.5102;27-Aug-2023")</f>
        <v>119110;INF179KB1HT1;-;HDFC Overnight Fund - Growth Option - Direct Plan;3416.5102;27-Aug-2023</v>
      </c>
      <c r="B3388" s="1"/>
    </row>
    <row r="3389">
      <c r="A3389" s="1" t="str">
        <f>IFERROR(__xludf.DUMMYFUNCTION("""COMPUTED_VALUE"""),"101997;-;INF179KB1IF8;HDFC Overnight Fund - IDCW Option (Daily);1042.66;27-Aug-2023")</f>
        <v>101997;-;INF179KB1IF8;HDFC Overnight Fund - IDCW Option (Daily);1042.66;27-Aug-2023</v>
      </c>
      <c r="B3389" s="1"/>
    </row>
    <row r="3390">
      <c r="A3390" s="1"/>
      <c r="B3390" s="1"/>
    </row>
    <row r="3391">
      <c r="A3391" s="1" t="str">
        <f>IFERROR(__xludf.DUMMYFUNCTION("""COMPUTED_VALUE"""),"HSBC Mutual Fund")</f>
        <v>HSBC Mutual Fund</v>
      </c>
      <c r="B3391" s="1"/>
    </row>
    <row r="3392">
      <c r="A3392" s="1"/>
      <c r="B3392" s="1"/>
    </row>
    <row r="3393">
      <c r="A3393" s="1" t="str">
        <f>IFERROR(__xludf.DUMMYFUNCTION("""COMPUTED_VALUE"""),"147291;-;INF336L01OG4;HSBC Overnight Fund - Direct Daily IDCW;1000.0092;25-Aug-2023")</f>
        <v>147291;-;INF336L01OG4;HSBC Overnight Fund - Direct Daily IDCW;1000.0092;25-Aug-2023</v>
      </c>
      <c r="B3393" s="1"/>
    </row>
    <row r="3394">
      <c r="A3394" s="1" t="str">
        <f>IFERROR(__xludf.DUMMYFUNCTION("""COMPUTED_VALUE"""),"147287;INF336L01OF6;-;HSBC Overnight Fund - Direct Growth;1203.9268;25-Aug-2023")</f>
        <v>147287;INF336L01OF6;-;HSBC Overnight Fund - Direct Growth;1203.9268;25-Aug-2023</v>
      </c>
      <c r="B3394" s="1"/>
    </row>
    <row r="3395">
      <c r="A3395" s="1" t="str">
        <f>IFERROR(__xludf.DUMMYFUNCTION("""COMPUTED_VALUE"""),"147300;INF336L01OK6;INF336L01OI0;HSBC Overnight Fund - Direct Monthly IDCW;1000.0013;25-Aug-2023")</f>
        <v>147300;INF336L01OK6;INF336L01OI0;HSBC Overnight Fund - Direct Monthly IDCW;1000.0013;25-Aug-2023</v>
      </c>
      <c r="B3395" s="1"/>
    </row>
    <row r="3396">
      <c r="A3396" s="1" t="str">
        <f>IFERROR(__xludf.DUMMYFUNCTION("""COMPUTED_VALUE"""),"147296;INF336L01OJ8;INF336L01OH2;HSBC Overnight Fund - Direct Weekly IDCW;1000.5521;25-Aug-2023")</f>
        <v>147296;INF336L01OJ8;INF336L01OH2;HSBC Overnight Fund - Direct Weekly IDCW;1000.5521;25-Aug-2023</v>
      </c>
      <c r="B3396" s="1"/>
    </row>
    <row r="3397">
      <c r="A3397" s="1" t="str">
        <f>IFERROR(__xludf.DUMMYFUNCTION("""COMPUTED_VALUE"""),"147289;-;INF336L01OM2;HSBC Overnight Fund - Regular Daily IDCW;1000.0092;25-Aug-2023")</f>
        <v>147289;-;INF336L01OM2;HSBC Overnight Fund - Regular Daily IDCW;1000.0092;25-Aug-2023</v>
      </c>
      <c r="B3397" s="1"/>
    </row>
    <row r="3398">
      <c r="A3398" s="1" t="str">
        <f>IFERROR(__xludf.DUMMYFUNCTION("""COMPUTED_VALUE"""),"147290;INF336L01OL4;-;HSBC Overnight Fund - Regular Growth;1196.6224;25-Aug-2023")</f>
        <v>147290;INF336L01OL4;-;HSBC Overnight Fund - Regular Growth;1196.6224;25-Aug-2023</v>
      </c>
      <c r="B3398" s="1"/>
    </row>
    <row r="3399">
      <c r="A3399" s="1" t="str">
        <f>IFERROR(__xludf.DUMMYFUNCTION("""COMPUTED_VALUE"""),"147301;INF336L01OQ3;INF336L01OO8;HSBC Overnight Fund - Regular Monthly IDCW;1000.0013;25-Aug-2023")</f>
        <v>147301;INF336L01OQ3;INF336L01OO8;HSBC Overnight Fund - Regular Monthly IDCW;1000.0013;25-Aug-2023</v>
      </c>
      <c r="B3399" s="1"/>
    </row>
    <row r="3400">
      <c r="A3400" s="1" t="str">
        <f>IFERROR(__xludf.DUMMYFUNCTION("""COMPUTED_VALUE"""),"147288;INF336L01OP5;INF336L01ON0;HSBC Overnight Fund - Regular Weekly IDCW;1000.5779;25-Aug-2023")</f>
        <v>147288;INF336L01OP5;INF336L01ON0;HSBC Overnight Fund - Regular Weekly IDCW;1000.5779;25-Aug-2023</v>
      </c>
      <c r="B3400" s="1"/>
    </row>
    <row r="3401">
      <c r="A3401" s="1" t="str">
        <f>IFERROR(__xludf.DUMMYFUNCTION("""COMPUTED_VALUE"""),"150501;-;-;HSBC Overnight Fund - Unclaimed IDCW Above three years;1000;25-Aug-2023")</f>
        <v>150501;-;-;HSBC Overnight Fund - Unclaimed IDCW Above three years;1000;25-Aug-2023</v>
      </c>
      <c r="B3401" s="1"/>
    </row>
    <row r="3402">
      <c r="A3402" s="1" t="str">
        <f>IFERROR(__xludf.DUMMYFUNCTION("""COMPUTED_VALUE"""),"150499;-;-;HSBC Overnight Fund - Unclaimed IDCW Below three years;1068.4912;25-Aug-2023")</f>
        <v>150499;-;-;HSBC Overnight Fund - Unclaimed IDCW Below three years;1068.4912;25-Aug-2023</v>
      </c>
      <c r="B3402" s="1"/>
    </row>
    <row r="3403">
      <c r="A3403" s="1" t="str">
        <f>IFERROR(__xludf.DUMMYFUNCTION("""COMPUTED_VALUE"""),"150500;-;-;HSBC Overnight Fund - Unclaimed Redemption above three years;1000;25-Aug-2023")</f>
        <v>150500;-;-;HSBC Overnight Fund - Unclaimed Redemption above three years;1000;25-Aug-2023</v>
      </c>
      <c r="B3403" s="1"/>
    </row>
    <row r="3404">
      <c r="A3404" s="1" t="str">
        <f>IFERROR(__xludf.DUMMYFUNCTION("""COMPUTED_VALUE"""),"150502;-;-;HSBC Overnight Fund - Unclaimed Redemption Below three years;1068.4949;25-Aug-2023")</f>
        <v>150502;-;-;HSBC Overnight Fund - Unclaimed Redemption Below three years;1068.4949;25-Aug-2023</v>
      </c>
      <c r="B3404" s="1"/>
    </row>
    <row r="3405">
      <c r="A3405" s="1"/>
      <c r="B3405" s="1"/>
    </row>
    <row r="3406">
      <c r="A3406" s="1" t="str">
        <f>IFERROR(__xludf.DUMMYFUNCTION("""COMPUTED_VALUE"""),"ICICI Prudential Mutual Fund")</f>
        <v>ICICI Prudential Mutual Fund</v>
      </c>
      <c r="B3406" s="1"/>
    </row>
    <row r="3407">
      <c r="A3407" s="1"/>
      <c r="B3407" s="1"/>
    </row>
    <row r="3408">
      <c r="A3408" s="1" t="str">
        <f>IFERROR(__xludf.DUMMYFUNCTION("""COMPUTED_VALUE"""),"145546;INF109KC19F6;INF109KC10G3;ICICI Prudential Overnight Fund - Annual IDCW;1032.7746;16-Sep-2022")</f>
        <v>145546;INF109KC19F6;INF109KC10G3;ICICI Prudential Overnight Fund - Annual IDCW;1032.7746;16-Sep-2022</v>
      </c>
      <c r="B3408" s="1"/>
    </row>
    <row r="3409">
      <c r="A3409" s="1" t="str">
        <f>IFERROR(__xludf.DUMMYFUNCTION("""COMPUTED_VALUE"""),"145547;-;INF109KC18E1;ICICI Prudential Overnight Fund - Daily IDCW;1000.0050;25-Aug-2023")</f>
        <v>145547;-;INF109KC18E1;ICICI Prudential Overnight Fund - Daily IDCW;1000.0050;25-Aug-2023</v>
      </c>
      <c r="B3409" s="1"/>
    </row>
    <row r="3410">
      <c r="A3410" s="1" t="str">
        <f>IFERROR(__xludf.DUMMYFUNCTION("""COMPUTED_VALUE"""),"145550;INF109KC13H5;INF109KC14H3;ICICI Prudential Overnight Fund - Direct Plan - Annual IDCW;1033.5731;16-Sep-2022")</f>
        <v>145550;INF109KC13H5;INF109KC14H3;ICICI Prudential Overnight Fund - Direct Plan - Annual IDCW;1033.5731;16-Sep-2022</v>
      </c>
      <c r="B3410" s="1"/>
    </row>
    <row r="3411">
      <c r="A3411" s="1" t="str">
        <f>IFERROR(__xludf.DUMMYFUNCTION("""COMPUTED_VALUE"""),"145537;-;INF109KC12G9;ICICI Prudential Overnight Fund - Direct Plan - Daily IDCW;1000.0050;25-Aug-2023")</f>
        <v>145537;-;INF109KC12G9;ICICI Prudential Overnight Fund - Direct Plan - Daily IDCW;1000.0050;25-Aug-2023</v>
      </c>
      <c r="B3411" s="1"/>
    </row>
    <row r="3412">
      <c r="A3412" s="1" t="str">
        <f>IFERROR(__xludf.DUMMYFUNCTION("""COMPUTED_VALUE"""),"145541;INF109KC18G6;INF109KC17G8;ICICI Prudential Overnight Fund - Direct Plan - Fortnightly IDCW;1000.1497;16-Sep-2022")</f>
        <v>145541;INF109KC18G6;INF109KC17G8;ICICI Prudential Overnight Fund - Direct Plan - Fortnightly IDCW;1000.1497;16-Sep-2022</v>
      </c>
      <c r="B3412" s="1"/>
    </row>
    <row r="3413">
      <c r="A3413" s="1" t="str">
        <f>IFERROR(__xludf.DUMMYFUNCTION("""COMPUTED_VALUE"""),"145536;-;INF109KC11G1;ICICI Prudential Overnight Fund - Direct Plan - Growth;1240.2413;25-Aug-2023")</f>
        <v>145536;-;INF109KC11G1;ICICI Prudential Overnight Fund - Direct Plan - Growth;1240.2413;25-Aug-2023</v>
      </c>
      <c r="B3413" s="1"/>
    </row>
    <row r="3414">
      <c r="A3414" s="1" t="str">
        <f>IFERROR(__xludf.DUMMYFUNCTION("""COMPUTED_VALUE"""),"145545;INF109KC11H9;INF109KC12H7;ICICI Prudential Overnight Fund - Direct Plan - Half Yearly IDCW;1015.7798;16-Sep-2022")</f>
        <v>145545;INF109KC11H9;INF109KC12H7;ICICI Prudential Overnight Fund - Direct Plan - Half Yearly IDCW;1015.7798;16-Sep-2022</v>
      </c>
      <c r="B3414" s="1"/>
    </row>
    <row r="3415">
      <c r="A3415" s="1" t="str">
        <f>IFERROR(__xludf.DUMMYFUNCTION("""COMPUTED_VALUE"""),"145542;INF109KC13G7;INF109KC14G5;ICICI Prudential Overnight Fund - Direct Plan - Monthly IDCW;1002.3996;16-Sep-2022")</f>
        <v>145542;INF109KC13G7;INF109KC14G5;ICICI Prudential Overnight Fund - Direct Plan - Monthly IDCW;1002.3996;16-Sep-2022</v>
      </c>
      <c r="B3415" s="1"/>
    </row>
    <row r="3416">
      <c r="A3416" s="1" t="str">
        <f>IFERROR(__xludf.DUMMYFUNCTION("""COMPUTED_VALUE"""),"145544;INF109KC19G4;INF109KC10H1;ICICI Prudential Overnight Fund - Direct Plan - Quarterly IDCW;1005.9571;16-Sep-2022")</f>
        <v>145544;INF109KC19G4;INF109KC10H1;ICICI Prudential Overnight Fund - Direct Plan - Quarterly IDCW;1005.9571;16-Sep-2022</v>
      </c>
      <c r="B3416" s="1"/>
    </row>
    <row r="3417">
      <c r="A3417" s="1" t="str">
        <f>IFERROR(__xludf.DUMMYFUNCTION("""COMPUTED_VALUE"""),"149411;-;INF109KC18H4;ICICI Prudential Overnight fund - Direct Plan - Unclaimed IDCW Stable Scheme;1000.0000;25-Aug-2023")</f>
        <v>149411;-;INF109KC18H4;ICICI Prudential Overnight fund - Direct Plan - Unclaimed IDCW Stable Scheme;1000.0000;25-Aug-2023</v>
      </c>
      <c r="B3417" s="1"/>
    </row>
    <row r="3418">
      <c r="A3418" s="1" t="str">
        <f>IFERROR(__xludf.DUMMYFUNCTION("""COMPUTED_VALUE"""),"149408;-;INF109KC16H8;ICICI Prudential Overnight fund - Direct Plan - Unclaimed IDCW Transitory Scheme;1094.2876;25-Aug-2023")</f>
        <v>149408;-;INF109KC16H8;ICICI Prudential Overnight fund - Direct Plan - Unclaimed IDCW Transitory Scheme;1094.2876;25-Aug-2023</v>
      </c>
      <c r="B3418" s="1"/>
    </row>
    <row r="3419">
      <c r="A3419" s="1" t="str">
        <f>IFERROR(__xludf.DUMMYFUNCTION("""COMPUTED_VALUE"""),"149409;-;INF109KC17H6;ICICI Prudential Overnight fund - Direct Plan - Unclaimed Redemption Stable Scheme;1000.0000;25-Aug-2023")</f>
        <v>149409;-;INF109KC17H6;ICICI Prudential Overnight fund - Direct Plan - Unclaimed Redemption Stable Scheme;1000.0000;25-Aug-2023</v>
      </c>
      <c r="B3419" s="1"/>
    </row>
    <row r="3420">
      <c r="A3420" s="1" t="str">
        <f>IFERROR(__xludf.DUMMYFUNCTION("""COMPUTED_VALUE"""),"149410;-;INF109KC15H0;ICICI Prudential Overnight fund - Direct Plan - Unclaimed Redemption Transitory Scheme;1094.2973;25-Aug-2023")</f>
        <v>149410;-;INF109KC15H0;ICICI Prudential Overnight fund - Direct Plan - Unclaimed Redemption Transitory Scheme;1094.2973;25-Aug-2023</v>
      </c>
      <c r="B3420" s="1"/>
    </row>
    <row r="3421">
      <c r="A3421" s="1" t="str">
        <f>IFERROR(__xludf.DUMMYFUNCTION("""COMPUTED_VALUE"""),"145539;INF109KC16G0;INF109KC15G2;ICICI Prudential Overnight Fund - Direct Plan - Weekly IDCW;1000.7326;25-Aug-2023")</f>
        <v>145539;INF109KC16G0;INF109KC15G2;ICICI Prudential Overnight Fund - Direct Plan - Weekly IDCW;1000.7326;25-Aug-2023</v>
      </c>
      <c r="B3421" s="1"/>
    </row>
    <row r="3422">
      <c r="A3422" s="1" t="str">
        <f>IFERROR(__xludf.DUMMYFUNCTION("""COMPUTED_VALUE"""),"145540;INF109KC14F7;INF109KC13F9;ICICI Prudential Overnight Fund - Fortnightly IDCW;1000.1472;16-Sep-2022")</f>
        <v>145540;INF109KC14F7;INF109KC13F9;ICICI Prudential Overnight Fund - Fortnightly IDCW;1000.1472;16-Sep-2022</v>
      </c>
      <c r="B3422" s="1"/>
    </row>
    <row r="3423">
      <c r="A3423" s="1" t="str">
        <f>IFERROR(__xludf.DUMMYFUNCTION("""COMPUTED_VALUE"""),"145535;-;INF109KC17E3;ICICI Prudential Overnight Fund - Growth;1234.5256;25-Aug-2023")</f>
        <v>145535;-;INF109KC17E3;ICICI Prudential Overnight Fund - Growth;1234.5256;25-Aug-2023</v>
      </c>
      <c r="B3423" s="1"/>
    </row>
    <row r="3424">
      <c r="A3424" s="1" t="str">
        <f>IFERROR(__xludf.DUMMYFUNCTION("""COMPUTED_VALUE"""),"145549;INF109KC17F0;INF109KC18F8;ICICI Prudential Overnight Fund - Half Yearly IDCW;1015.4753;16-Sep-2022")</f>
        <v>145549;INF109KC17F0;INF109KC18F8;ICICI Prudential Overnight Fund - Half Yearly IDCW;1015.4753;16-Sep-2022</v>
      </c>
      <c r="B3424" s="1"/>
    </row>
    <row r="3425">
      <c r="A3425" s="1" t="str">
        <f>IFERROR(__xludf.DUMMYFUNCTION("""COMPUTED_VALUE"""),"145548;INF109KC19E9;INF109KC10F5;ICICI Prudential Overnight Fund - Monthly IDCW;1002.3577;16-Sep-2022")</f>
        <v>145548;INF109KC19E9;INF109KC10F5;ICICI Prudential Overnight Fund - Monthly IDCW;1002.3577;16-Sep-2022</v>
      </c>
      <c r="B3425" s="1"/>
    </row>
    <row r="3426">
      <c r="A3426" s="1" t="str">
        <f>IFERROR(__xludf.DUMMYFUNCTION("""COMPUTED_VALUE"""),"145543;INF109KC15F4;INF109KC16F2;ICICI Prudential Overnight Fund - Quarterly IDCW;1004.0152;16-Sep-2022")</f>
        <v>145543;INF109KC15F4;INF109KC16F2;ICICI Prudential Overnight Fund - Quarterly IDCW;1004.0152;16-Sep-2022</v>
      </c>
      <c r="B3426" s="1"/>
    </row>
    <row r="3427">
      <c r="A3427" s="1" t="str">
        <f>IFERROR(__xludf.DUMMYFUNCTION("""COMPUTED_VALUE"""),"145538;INF109KC12F1;INF109KC11F3;ICICI Prudential Overnight Fund - Weekly IDCW;1000.7234;25-Aug-2023")</f>
        <v>145538;INF109KC12F1;INF109KC11F3;ICICI Prudential Overnight Fund - Weekly IDCW;1000.7234;25-Aug-2023</v>
      </c>
      <c r="B3427" s="1"/>
    </row>
    <row r="3428">
      <c r="A3428" s="1"/>
      <c r="B3428" s="1"/>
    </row>
    <row r="3429">
      <c r="A3429" s="1" t="str">
        <f>IFERROR(__xludf.DUMMYFUNCTION("""COMPUTED_VALUE"""),"Invesco Mutual Fund")</f>
        <v>Invesco Mutual Fund</v>
      </c>
      <c r="B3429" s="1"/>
    </row>
    <row r="3430">
      <c r="A3430" s="1"/>
      <c r="B3430" s="1"/>
    </row>
    <row r="3431">
      <c r="A3431" s="1" t="str">
        <f>IFERROR(__xludf.DUMMYFUNCTION("""COMPUTED_VALUE"""),"147884;-;INF205KA1122;Invesco India Overnight Fund - Direct Plan - Daily IDCW (Reinvestment);1000.5109;26-Aug-2023")</f>
        <v>147884;-;INF205KA1122;Invesco India Overnight Fund - Direct Plan - Daily IDCW (Reinvestment);1000.5109;26-Aug-2023</v>
      </c>
      <c r="B3431" s="1"/>
    </row>
    <row r="3432">
      <c r="A3432" s="1" t="str">
        <f>IFERROR(__xludf.DUMMYFUNCTION("""COMPUTED_VALUE"""),"147883;INF205KA1163;-;Invesco India Overnight Fund - Direct Plan - Growth;1162.6818;26-Aug-2023")</f>
        <v>147883;INF205KA1163;-;Invesco India Overnight Fund - Direct Plan - Growth;1162.6818;26-Aug-2023</v>
      </c>
      <c r="B3432" s="1"/>
    </row>
    <row r="3433">
      <c r="A3433" s="1" t="str">
        <f>IFERROR(__xludf.DUMMYFUNCTION("""COMPUTED_VALUE"""),"147886;INF205KA1155;INF205KA1148;Invesco India Overnight Fund - Direct Plan - Monthly IDCW (Payout / Reinvestment);1005.1996;26-Aug-2023")</f>
        <v>147886;INF205KA1155;INF205KA1148;Invesco India Overnight Fund - Direct Plan - Monthly IDCW (Payout / Reinvestment);1005.1996;26-Aug-2023</v>
      </c>
      <c r="B3433" s="1"/>
    </row>
    <row r="3434">
      <c r="A3434" s="1" t="str">
        <f>IFERROR(__xludf.DUMMYFUNCTION("""COMPUTED_VALUE"""),"147885;-;INF205KA1130;Invesco India Overnight Fund - Direct Plan - Weekly IDCW (Reinvestment);1000.9726;26-Aug-2023")</f>
        <v>147885;-;INF205KA1130;Invesco India Overnight Fund - Direct Plan - Weekly IDCW (Reinvestment);1000.9726;26-Aug-2023</v>
      </c>
      <c r="B3434" s="1"/>
    </row>
    <row r="3435">
      <c r="A3435" s="1" t="str">
        <f>IFERROR(__xludf.DUMMYFUNCTION("""COMPUTED_VALUE"""),"147880;-;INF205KA1072;Invesco India Overnight Fund - Regular Plan - Daily IDCW (Reinvestment);1000.1316;26-Aug-2023")</f>
        <v>147880;-;INF205KA1072;Invesco India Overnight Fund - Regular Plan - Daily IDCW (Reinvestment);1000.1316;26-Aug-2023</v>
      </c>
      <c r="B3435" s="1"/>
    </row>
    <row r="3436">
      <c r="A3436" s="1" t="str">
        <f>IFERROR(__xludf.DUMMYFUNCTION("""COMPUTED_VALUE"""),"147878;INF205KA1114;-;Invesco India Overnight Fund - Regular Plan - Growth;1160.1433;26-Aug-2023")</f>
        <v>147878;INF205KA1114;-;Invesco India Overnight Fund - Regular Plan - Growth;1160.1433;26-Aug-2023</v>
      </c>
      <c r="B3436" s="1"/>
    </row>
    <row r="3437">
      <c r="A3437" s="1" t="str">
        <f>IFERROR(__xludf.DUMMYFUNCTION("""COMPUTED_VALUE"""),"147879;INF205KA1106;INF205KA1098;Invesco India Overnight Fund - Regular Plan - Monthly IDCW (Payout / Reinvestment);1005.1547;26-Aug-2023")</f>
        <v>147879;INF205KA1106;INF205KA1098;Invesco India Overnight Fund - Regular Plan - Monthly IDCW (Payout / Reinvestment);1005.1547;26-Aug-2023</v>
      </c>
      <c r="B3437" s="1"/>
    </row>
    <row r="3438">
      <c r="A3438" s="1" t="str">
        <f>IFERROR(__xludf.DUMMYFUNCTION("""COMPUTED_VALUE"""),"147881;-;INF205KA1080;Invesco India Overnight Fund - Regular Plan - Weekly IDCW (Reinvestment);1000.9198;26-Aug-2023")</f>
        <v>147881;-;INF205KA1080;Invesco India Overnight Fund - Regular Plan - Weekly IDCW (Reinvestment);1000.9198;26-Aug-2023</v>
      </c>
      <c r="B3438" s="1"/>
    </row>
    <row r="3439">
      <c r="A3439" s="1"/>
      <c r="B3439" s="1"/>
    </row>
    <row r="3440">
      <c r="A3440" s="1" t="str">
        <f>IFERROR(__xludf.DUMMYFUNCTION("""COMPUTED_VALUE"""),"ITI Mutual Fund")</f>
        <v>ITI Mutual Fund</v>
      </c>
      <c r="B3440" s="1"/>
    </row>
    <row r="3441">
      <c r="A3441" s="1"/>
      <c r="B3441" s="1"/>
    </row>
    <row r="3442">
      <c r="A3442" s="1" t="str">
        <f>IFERROR(__xludf.DUMMYFUNCTION("""COMPUTED_VALUE"""),"147707;INF00XX01648;INF00XX01614;ITI Overnight Fund - Direct Plan - Annual IDCW Option;1164.4085;26-Aug-2023")</f>
        <v>147707;INF00XX01648;INF00XX01614;ITI Overnight Fund - Direct Plan - Annual IDCW Option;1164.4085;26-Aug-2023</v>
      </c>
      <c r="B3442" s="1"/>
    </row>
    <row r="3443">
      <c r="A3443" s="1" t="str">
        <f>IFERROR(__xludf.DUMMYFUNCTION("""COMPUTED_VALUE"""),"147708;-;INF00XX01572;ITI Overnight Fund - Direct Plan - Daily IDCW Option;1001.0000;19-Jan-2023")</f>
        <v>147708;-;INF00XX01572;ITI Overnight Fund - Direct Plan - Daily IDCW Option;1001.0000;19-Jan-2023</v>
      </c>
      <c r="B3443" s="1"/>
    </row>
    <row r="3444">
      <c r="A3444" s="1" t="str">
        <f>IFERROR(__xludf.DUMMYFUNCTION("""COMPUTED_VALUE"""),"147710;INF00XX01622;INF00XX01598;ITI Overnight Fund - Direct Plan - Fortnightly IDCW Option;1003.2645;10-Jul-2023")</f>
        <v>147710;INF00XX01622;INF00XX01598;ITI Overnight Fund - Direct Plan - Fortnightly IDCW Option;1003.2645;10-Jul-2023</v>
      </c>
      <c r="B3444" s="1"/>
    </row>
    <row r="3445">
      <c r="A3445" s="1" t="str">
        <f>IFERROR(__xludf.DUMMYFUNCTION("""COMPUTED_VALUE"""),"147713;INF00XX01564;-;ITI Overnight Fund - Direct Plan - Growth Option;1171.3017;26-Aug-2023")</f>
        <v>147713;INF00XX01564;-;ITI Overnight Fund - Direct Plan - Growth Option;1171.3017;26-Aug-2023</v>
      </c>
      <c r="B3445" s="1"/>
    </row>
    <row r="3446">
      <c r="A3446" s="1" t="str">
        <f>IFERROR(__xludf.DUMMYFUNCTION("""COMPUTED_VALUE"""),"147717;INF00XX01630;INF00XX01606;ITI Overnight Fund - Direct Plan - Monthly IDCW Option;1001.0000;26-Aug-2023")</f>
        <v>147717;INF00XX01630;INF00XX01606;ITI Overnight Fund - Direct Plan - Monthly IDCW Option;1001.0000;26-Aug-2023</v>
      </c>
      <c r="B3446" s="1"/>
    </row>
    <row r="3447">
      <c r="A3447" s="1" t="str">
        <f>IFERROR(__xludf.DUMMYFUNCTION("""COMPUTED_VALUE"""),"147711;-;INF00XX01580;ITI Overnight Fund - Direct Plan - Weekly IDCW option;1002.0118;10-Jul-2023")</f>
        <v>147711;-;INF00XX01580;ITI Overnight Fund - Direct Plan - Weekly IDCW option;1002.0118;10-Jul-2023</v>
      </c>
      <c r="B3447" s="1"/>
    </row>
    <row r="3448">
      <c r="A3448" s="1" t="str">
        <f>IFERROR(__xludf.DUMMYFUNCTION("""COMPUTED_VALUE"""),"147715;INF00XX01556;INF00XX01523;ITI Overnight Fund - Regular Plan - Annual IDCW Option;1094.0159;26-Aug-2023")</f>
        <v>147715;INF00XX01556;INF00XX01523;ITI Overnight Fund - Regular Plan - Annual IDCW Option;1094.0159;26-Aug-2023</v>
      </c>
      <c r="B3448" s="1"/>
    </row>
    <row r="3449">
      <c r="A3449" s="1" t="str">
        <f>IFERROR(__xludf.DUMMYFUNCTION("""COMPUTED_VALUE"""),"147709;-;INF00XX01481;ITI Overnight Fund - Regular Plan - Daily IDCW Option;1001.0000;26-Aug-2023")</f>
        <v>147709;-;INF00XX01481;ITI Overnight Fund - Regular Plan - Daily IDCW Option;1001.0000;26-Aug-2023</v>
      </c>
      <c r="B3449" s="1"/>
    </row>
    <row r="3450">
      <c r="A3450" s="1" t="str">
        <f>IFERROR(__xludf.DUMMYFUNCTION("""COMPUTED_VALUE"""),"147716;INF00XX01531;INF00XX01507;ITI Overnight Fund - Regular Plan - Fortnightly IDCW Option;1001.0000;26-Aug-2023")</f>
        <v>147716;INF00XX01531;INF00XX01507;ITI Overnight Fund - Regular Plan - Fortnightly IDCW Option;1001.0000;26-Aug-2023</v>
      </c>
      <c r="B3450" s="1"/>
    </row>
    <row r="3451">
      <c r="A3451" s="1" t="str">
        <f>IFERROR(__xludf.DUMMYFUNCTION("""COMPUTED_VALUE"""),"147714;INF00XX01473;-;ITI Overnight Fund - Regular Plan - Growth Option;1166.7108;26-Aug-2023")</f>
        <v>147714;INF00XX01473;-;ITI Overnight Fund - Regular Plan - Growth Option;1166.7108;26-Aug-2023</v>
      </c>
      <c r="B3451" s="1"/>
    </row>
    <row r="3452">
      <c r="A3452" s="1" t="str">
        <f>IFERROR(__xludf.DUMMYFUNCTION("""COMPUTED_VALUE"""),"147718;INF00XX01549;INF00XX01515;ITI Overnight Fund - Regular Plan - Monthly IDCW Option;1001.0000;26-Aug-2023")</f>
        <v>147718;INF00XX01549;INF00XX01515;ITI Overnight Fund - Regular Plan - Monthly IDCW Option;1001.0000;26-Aug-2023</v>
      </c>
      <c r="B3452" s="1"/>
    </row>
    <row r="3453">
      <c r="A3453" s="1" t="str">
        <f>IFERROR(__xludf.DUMMYFUNCTION("""COMPUTED_VALUE"""),"147712;-;INF00XX01499;ITI Overnight Fund - Regular Plan - Weekly IDCW Option;1001.7057;26-Aug-2023")</f>
        <v>147712;-;INF00XX01499;ITI Overnight Fund - Regular Plan - Weekly IDCW Option;1001.7057;26-Aug-2023</v>
      </c>
      <c r="B3453" s="1"/>
    </row>
    <row r="3454">
      <c r="A3454" s="1"/>
      <c r="B3454" s="1"/>
    </row>
    <row r="3455">
      <c r="A3455" s="1" t="str">
        <f>IFERROR(__xludf.DUMMYFUNCTION("""COMPUTED_VALUE"""),"JM Financial Mutual Fund")</f>
        <v>JM Financial Mutual Fund</v>
      </c>
      <c r="B3455" s="1"/>
    </row>
    <row r="3456">
      <c r="A3456" s="1"/>
      <c r="B3456" s="1"/>
    </row>
    <row r="3457">
      <c r="A3457" s="1" t="str">
        <f>IFERROR(__xludf.DUMMYFUNCTION("""COMPUTED_VALUE"""),"147838;-;INF192K01LY2;JM Overnight Fund (Direct) - Daily IDCW;1000.0000;27-Aug-2023")</f>
        <v>147838;-;INF192K01LY2;JM Overnight Fund (Direct) - Daily IDCW;1000.0000;27-Aug-2023</v>
      </c>
      <c r="B3457" s="1"/>
    </row>
    <row r="3458">
      <c r="A3458" s="1" t="str">
        <f>IFERROR(__xludf.DUMMYFUNCTION("""COMPUTED_VALUE"""),"147835;INF192K01LZ9;INF192K01MA0;JM Overnight Fund (Direct) - Weekly IDCW;1000.9070;27-Aug-2023")</f>
        <v>147835;INF192K01LZ9;INF192K01MA0;JM Overnight Fund (Direct) - Weekly IDCW;1000.9070;27-Aug-2023</v>
      </c>
      <c r="B3458" s="1"/>
    </row>
    <row r="3459">
      <c r="A3459" s="1" t="str">
        <f>IFERROR(__xludf.DUMMYFUNCTION("""COMPUTED_VALUE"""),"147839;-;INF192K01LU0;JM Overnight Fund (Regular) - Daily IDCW;1000.0000;27-Aug-2023")</f>
        <v>147839;-;INF192K01LU0;JM Overnight Fund (Regular) - Daily IDCW;1000.0000;27-Aug-2023</v>
      </c>
      <c r="B3459" s="1"/>
    </row>
    <row r="3460">
      <c r="A3460" s="1" t="str">
        <f>IFERROR(__xludf.DUMMYFUNCTION("""COMPUTED_VALUE"""),"147836;INF192K01LX4;-;JM Overnight Fund (Regular) - Growth;1166.3121;27-Aug-2023")</f>
        <v>147836;INF192K01LX4;-;JM Overnight Fund (Regular) - Growth;1166.3121;27-Aug-2023</v>
      </c>
      <c r="B3460" s="1"/>
    </row>
    <row r="3461">
      <c r="A3461" s="1" t="str">
        <f>IFERROR(__xludf.DUMMYFUNCTION("""COMPUTED_VALUE"""),"147834;INF192K01LV8;INF192K01LW6;JM Overnight Fund (Regular) - Weekly IDCW;1000.8957;27-Aug-2023")</f>
        <v>147834;INF192K01LV8;INF192K01LW6;JM Overnight Fund (Regular) - Weekly IDCW;1000.8957;27-Aug-2023</v>
      </c>
      <c r="B3461" s="1"/>
    </row>
    <row r="3462">
      <c r="A3462" s="1" t="str">
        <f>IFERROR(__xludf.DUMMYFUNCTION("""COMPUTED_VALUE"""),"147837;INF192K01MB8;-;JM Overnight Fund - (Direct) - Growth;1169.3469;27-Aug-2023")</f>
        <v>147837;INF192K01MB8;-;JM Overnight Fund - (Direct) - Growth;1169.3469;27-Aug-2023</v>
      </c>
      <c r="B3462" s="1"/>
    </row>
    <row r="3463">
      <c r="A3463" s="1" t="str">
        <f>IFERROR(__xludf.DUMMYFUNCTION("""COMPUTED_VALUE"""),"149828;-;-;JM Overnight Fund - (Direct) - Unclaimed IDCW - Growth Plan;1169.7934;27-Aug-2023")</f>
        <v>149828;-;-;JM Overnight Fund - (Direct) - Unclaimed IDCW - Growth Plan;1169.7934;27-Aug-2023</v>
      </c>
      <c r="B3463" s="1"/>
    </row>
    <row r="3464">
      <c r="A3464" s="1" t="str">
        <f>IFERROR(__xludf.DUMMYFUNCTION("""COMPUTED_VALUE"""),"149827;-;-;JM Overnight Fund - (Direct) - Unclaimed IDCW I.E.F. - Growth Plan;1073.9936;27-Aug-2023")</f>
        <v>149827;-;-;JM Overnight Fund - (Direct) - Unclaimed IDCW I.E.F. - Growth Plan;1073.9936;27-Aug-2023</v>
      </c>
      <c r="B3464" s="1"/>
    </row>
    <row r="3465">
      <c r="A3465" s="1" t="str">
        <f>IFERROR(__xludf.DUMMYFUNCTION("""COMPUTED_VALUE"""),"149829;-;-;JM Overnight Fund - (Direct) - Unclaimed Redemption - Growth Plan;1169.3626;27-Aug-2023")</f>
        <v>149829;-;-;JM Overnight Fund - (Direct) - Unclaimed Redemption - Growth Plan;1169.3626;27-Aug-2023</v>
      </c>
      <c r="B3465" s="1"/>
    </row>
    <row r="3466">
      <c r="A3466" s="1" t="str">
        <f>IFERROR(__xludf.DUMMYFUNCTION("""COMPUTED_VALUE"""),"149826;-;-;JM Overnight Fund - (Direct) - Unclaimed Redemption I.E.F. - Growth Plan;1073.9936;27-Aug-2023")</f>
        <v>149826;-;-;JM Overnight Fund - (Direct) - Unclaimed Redemption I.E.F. - Growth Plan;1073.9936;27-Aug-2023</v>
      </c>
      <c r="B3466" s="1"/>
    </row>
    <row r="3467">
      <c r="A3467" s="1"/>
      <c r="B3467" s="1"/>
    </row>
    <row r="3468">
      <c r="A3468" s="1" t="str">
        <f>IFERROR(__xludf.DUMMYFUNCTION("""COMPUTED_VALUE"""),"Kotak Mahindra Mutual Fund")</f>
        <v>Kotak Mahindra Mutual Fund</v>
      </c>
      <c r="B3468" s="1"/>
    </row>
    <row r="3469">
      <c r="A3469" s="1"/>
      <c r="B3469" s="1"/>
    </row>
    <row r="3470">
      <c r="A3470" s="1" t="str">
        <f>IFERROR(__xludf.DUMMYFUNCTION("""COMPUTED_VALUE"""),"146141;INF174KA1BF9;-;Kotak Overnight Fund -Direct Plan-Growth Option;1227.3161;25-Aug-2023")</f>
        <v>146141;INF174KA1BF9;-;Kotak Overnight Fund -Direct Plan-Growth Option;1227.3161;25-Aug-2023</v>
      </c>
      <c r="B3470" s="1"/>
    </row>
    <row r="3471">
      <c r="A3471" s="1" t="str">
        <f>IFERROR(__xludf.DUMMYFUNCTION("""COMPUTED_VALUE"""),"146142;INF174KA1BC6;-;Kotak Overnight Fund -Regular plan-Growth Option;1222.0875;25-Aug-2023")</f>
        <v>146142;INF174KA1BC6;-;Kotak Overnight Fund -Regular plan-Growth Option;1222.0875;25-Aug-2023</v>
      </c>
      <c r="B3471" s="1"/>
    </row>
    <row r="3472">
      <c r="A3472" s="1" t="str">
        <f>IFERROR(__xludf.DUMMYFUNCTION("""COMPUTED_VALUE"""),"146140;-;INF174KA1BE2;Kotak Overnight Fund-Direct Plan- Daily Reinvestment of Income Distribution cum capital withdrawal option;1003.6055;25-Aug-2023")</f>
        <v>146140;-;INF174KA1BE2;Kotak Overnight Fund-Direct Plan- Daily Reinvestment of Income Distribution cum capital withdrawal option;1003.6055;25-Aug-2023</v>
      </c>
      <c r="B3472" s="1"/>
    </row>
    <row r="3473">
      <c r="A3473" s="1" t="str">
        <f>IFERROR(__xludf.DUMMYFUNCTION("""COMPUTED_VALUE"""),"146138;-;INF174KA1BB8;Kotak Overnight Fund-Regular Plan- Daily Reinvestment of Income Distribution cum capital withdrawal option;1004.7568;25-Aug-2023")</f>
        <v>146138;-;INF174KA1BB8;Kotak Overnight Fund-Regular Plan- Daily Reinvestment of Income Distribution cum capital withdrawal option;1004.7568;25-Aug-2023</v>
      </c>
      <c r="B3473" s="1"/>
    </row>
    <row r="3474">
      <c r="A3474" s="1"/>
      <c r="B3474" s="1"/>
    </row>
    <row r="3475">
      <c r="A3475" s="1" t="str">
        <f>IFERROR(__xludf.DUMMYFUNCTION("""COMPUTED_VALUE"""),"LIC Mutual Fund")</f>
        <v>LIC Mutual Fund</v>
      </c>
      <c r="B3475" s="1"/>
    </row>
    <row r="3476">
      <c r="A3476" s="1"/>
      <c r="B3476" s="1"/>
    </row>
    <row r="3477">
      <c r="A3477" s="1" t="str">
        <f>IFERROR(__xludf.DUMMYFUNCTION("""COMPUTED_VALUE"""),"147516;-;INF767K01QG7;LIC MF Overnight Fund-Direct Plan-Daily IDCW;1001.4384;27-Aug-2023")</f>
        <v>147516;-;INF767K01QG7;LIC MF Overnight Fund-Direct Plan-Daily IDCW;1001.4384;27-Aug-2023</v>
      </c>
      <c r="B3477" s="1"/>
    </row>
    <row r="3478">
      <c r="A3478" s="1" t="str">
        <f>IFERROR(__xludf.DUMMYFUNCTION("""COMPUTED_VALUE"""),"147515;INF767K01QI3;-;LIC MF Overnight Fund-Direct Plan-Growth;1193.0446;27-Aug-2023")</f>
        <v>147515;INF767K01QI3;-;LIC MF Overnight Fund-Direct Plan-Growth;1193.0446;27-Aug-2023</v>
      </c>
      <c r="B3478" s="1"/>
    </row>
    <row r="3479">
      <c r="A3479" s="1" t="str">
        <f>IFERROR(__xludf.DUMMYFUNCTION("""COMPUTED_VALUE"""),"147513;INF767K01QE2;INF767K01QF9;LIC MF Overnight Fund-Direct Plan-IDCW;1192.7687;27-Aug-2023")</f>
        <v>147513;INF767K01QE2;INF767K01QF9;LIC MF Overnight Fund-Direct Plan-IDCW;1192.7687;27-Aug-2023</v>
      </c>
      <c r="B3479" s="1"/>
    </row>
    <row r="3480">
      <c r="A3480" s="1" t="str">
        <f>IFERROR(__xludf.DUMMYFUNCTION("""COMPUTED_VALUE"""),"147514;-;INF767K01QH5;LIC MF Overnight Fund-Direct Plan-Weekly IDCW;1001.3123;27-Aug-2023")</f>
        <v>147514;-;INF767K01QH5;LIC MF Overnight Fund-Direct Plan-Weekly IDCW;1001.3123;27-Aug-2023</v>
      </c>
      <c r="B3480" s="1"/>
    </row>
    <row r="3481">
      <c r="A3481" s="1" t="str">
        <f>IFERROR(__xludf.DUMMYFUNCTION("""COMPUTED_VALUE"""),"147517;-;INF767K01QB8;LIC MF Overnight Fund-Regular Plan-Daily IDCW;1044.7352;27-Aug-2023")</f>
        <v>147517;-;INF767K01QB8;LIC MF Overnight Fund-Regular Plan-Daily IDCW;1044.7352;27-Aug-2023</v>
      </c>
      <c r="B3481" s="1"/>
    </row>
    <row r="3482">
      <c r="A3482" s="1" t="str">
        <f>IFERROR(__xludf.DUMMYFUNCTION("""COMPUTED_VALUE"""),"147519;INF767K01QD4;-;LIC MF Overnight Fund-Regular Plan-Growth;1186.6798;27-Aug-2023")</f>
        <v>147519;INF767K01QD4;-;LIC MF Overnight Fund-Regular Plan-Growth;1186.6798;27-Aug-2023</v>
      </c>
      <c r="B3482" s="1"/>
    </row>
    <row r="3483">
      <c r="A3483" s="1" t="str">
        <f>IFERROR(__xludf.DUMMYFUNCTION("""COMPUTED_VALUE"""),"147512;INF767K01PZ9;INF767K01QA0;LIC MF Overnight Fund-Regular Plan-IDCW;1049.2243;27-Aug-2023")</f>
        <v>147512;INF767K01PZ9;INF767K01QA0;LIC MF Overnight Fund-Regular Plan-IDCW;1049.2243;27-Aug-2023</v>
      </c>
      <c r="B3483" s="1"/>
    </row>
    <row r="3484">
      <c r="A3484" s="1" t="str">
        <f>IFERROR(__xludf.DUMMYFUNCTION("""COMPUTED_VALUE"""),"147518;-;INF767K01QC6;LIC MF Overnight Fund-Regular Plan-Weekly IDCW;1046.3224;27-Aug-2023")</f>
        <v>147518;-;INF767K01QC6;LIC MF Overnight Fund-Regular Plan-Weekly IDCW;1046.3224;27-Aug-2023</v>
      </c>
      <c r="B3484" s="1"/>
    </row>
    <row r="3485">
      <c r="A3485" s="1"/>
      <c r="B3485" s="1"/>
    </row>
    <row r="3486">
      <c r="A3486" s="1" t="str">
        <f>IFERROR(__xludf.DUMMYFUNCTION("""COMPUTED_VALUE"""),"Mahindra Manulife Mutual Fund")</f>
        <v>Mahindra Manulife Mutual Fund</v>
      </c>
      <c r="B3486" s="1"/>
    </row>
    <row r="3487">
      <c r="A3487" s="1"/>
      <c r="B3487" s="1"/>
    </row>
    <row r="3488">
      <c r="A3488" s="1" t="str">
        <f>IFERROR(__xludf.DUMMYFUNCTION("""COMPUTED_VALUE"""),"147563;-;INF174V01846;Mahindra Manulife Overnight Fund - Direct Plan - Daily IDCW;1194.5365;27-Aug-2023")</f>
        <v>147563;-;INF174V01846;Mahindra Manulife Overnight Fund - Direct Plan - Daily IDCW;1194.5365;27-Aug-2023</v>
      </c>
      <c r="B3488" s="1"/>
    </row>
    <row r="3489">
      <c r="A3489" s="1" t="str">
        <f>IFERROR(__xludf.DUMMYFUNCTION("""COMPUTED_VALUE"""),"147564;INF174V01838;-;Mahindra Manulife Overnight Fund - Direct Plan -Growth;1191.4201;27-Aug-2023")</f>
        <v>147564;INF174V01838;-;Mahindra Manulife Overnight Fund - Direct Plan -Growth;1191.4201;27-Aug-2023</v>
      </c>
      <c r="B3489" s="1"/>
    </row>
    <row r="3490">
      <c r="A3490" s="1" t="str">
        <f>IFERROR(__xludf.DUMMYFUNCTION("""COMPUTED_VALUE"""),"147566;-;INF174V01820;Mahindra Manulife Overnight Fund - Regular Plan - Daily IDCW;1131.1206;27-Aug-2023")</f>
        <v>147566;-;INF174V01820;Mahindra Manulife Overnight Fund - Regular Plan - Daily IDCW;1131.1206;27-Aug-2023</v>
      </c>
      <c r="B3490" s="1"/>
    </row>
    <row r="3491">
      <c r="A3491" s="1" t="str">
        <f>IFERROR(__xludf.DUMMYFUNCTION("""COMPUTED_VALUE"""),"147565;INF174V01812;-;Mahindra Manulife Overnight Fund - Regular Plan - Growth;1186.4827;27-Aug-2023")</f>
        <v>147565;INF174V01812;-;Mahindra Manulife Overnight Fund - Regular Plan - Growth;1186.4827;27-Aug-2023</v>
      </c>
      <c r="B3491" s="1"/>
    </row>
    <row r="3492">
      <c r="A3492" s="1" t="str">
        <f>IFERROR(__xludf.DUMMYFUNCTION("""COMPUTED_VALUE"""),"149471;-;-;Mahindra Manulife Overnight Fund - Unclaimed Redemption/IDCW beyond 3 years;1000.0000;27-Aug-2023")</f>
        <v>149471;-;-;Mahindra Manulife Overnight Fund - Unclaimed Redemption/IDCW beyond 3 years;1000.0000;27-Aug-2023</v>
      </c>
      <c r="B3492" s="1"/>
    </row>
    <row r="3493">
      <c r="A3493" s="1" t="str">
        <f>IFERROR(__xludf.DUMMYFUNCTION("""COMPUTED_VALUE"""),"149470;-;-;Mahindra Manulife Overnight Fund - Unclaimed Redemption/IDCW upto 3 years;1092.5684;27-Aug-2023")</f>
        <v>149470;-;-;Mahindra Manulife Overnight Fund - Unclaimed Redemption/IDCW upto 3 years;1092.5684;27-Aug-2023</v>
      </c>
      <c r="B3493" s="1"/>
    </row>
    <row r="3494">
      <c r="A3494" s="1"/>
      <c r="B3494" s="1"/>
    </row>
    <row r="3495">
      <c r="A3495" s="1" t="str">
        <f>IFERROR(__xludf.DUMMYFUNCTION("""COMPUTED_VALUE"""),"Mirae Asset Mutual Fund")</f>
        <v>Mirae Asset Mutual Fund</v>
      </c>
      <c r="B3495" s="1"/>
    </row>
    <row r="3496">
      <c r="A3496" s="1"/>
      <c r="B3496" s="1"/>
    </row>
    <row r="3497">
      <c r="A3497" s="1" t="str">
        <f>IFERROR(__xludf.DUMMYFUNCTION("""COMPUTED_VALUE"""),"147737;-;INF769K01FJ0;Mirae Asset Overnight Fund Direct Daily IDCW;1000.0005;25-Aug-2023")</f>
        <v>147737;-;INF769K01FJ0;Mirae Asset Overnight Fund Direct Daily IDCW;1000.0005;25-Aug-2023</v>
      </c>
      <c r="B3497" s="1"/>
    </row>
    <row r="3498">
      <c r="A3498" s="1" t="str">
        <f>IFERROR(__xludf.DUMMYFUNCTION("""COMPUTED_VALUE"""),"147738;INF769K01FF8;INF769K01FI2;Mirae Asset Overnight Fund Direct Monthly IDCW;1000.1847;25-Aug-2023")</f>
        <v>147738;INF769K01FF8;INF769K01FI2;Mirae Asset Overnight Fund Direct Monthly IDCW;1000.1847;25-Aug-2023</v>
      </c>
      <c r="B3498" s="1"/>
    </row>
    <row r="3499">
      <c r="A3499" s="1" t="str">
        <f>IFERROR(__xludf.DUMMYFUNCTION("""COMPUTED_VALUE"""),"147736;INF769K01FG6;-;Mirae Asset Overnight Fund Direct Plan Growth;1179.5145;25-Aug-2023")</f>
        <v>147736;INF769K01FG6;-;Mirae Asset Overnight Fund Direct Plan Growth;1179.5145;25-Aug-2023</v>
      </c>
      <c r="B3499" s="1"/>
    </row>
    <row r="3500">
      <c r="A3500" s="1" t="str">
        <f>IFERROR(__xludf.DUMMYFUNCTION("""COMPUTED_VALUE"""),"147740;-;INF769K01FK8;Mirae Asset Overnight Fund Direct Weekly IDCW;1000.3703;25-Aug-2023")</f>
        <v>147740;-;INF769K01FK8;Mirae Asset Overnight Fund Direct Weekly IDCW;1000.3703;25-Aug-2023</v>
      </c>
      <c r="B3500" s="1"/>
    </row>
    <row r="3501">
      <c r="A3501" s="1" t="str">
        <f>IFERROR(__xludf.DUMMYFUNCTION("""COMPUTED_VALUE"""),"147743;-;INF769K01FL6;Mirae Asset Overnight Fund Regular Daily  IDCW ;1000.0006;25-Aug-2023")</f>
        <v>147743;-;INF769K01FL6;Mirae Asset Overnight Fund Regular Daily  IDCW ;1000.0006;25-Aug-2023</v>
      </c>
      <c r="B3501" s="1"/>
    </row>
    <row r="3502">
      <c r="A3502" s="1" t="str">
        <f>IFERROR(__xludf.DUMMYFUNCTION("""COMPUTED_VALUE"""),"147742;INF769K01FD3;INF769K01FH4;Mirae Asset Overnight Fund Regular Monthly IDCW;1000.1821;25-Aug-2023")</f>
        <v>147742;INF769K01FD3;INF769K01FH4;Mirae Asset Overnight Fund Regular Monthly IDCW;1000.1821;25-Aug-2023</v>
      </c>
      <c r="B3502" s="1"/>
    </row>
    <row r="3503">
      <c r="A3503" s="1" t="str">
        <f>IFERROR(__xludf.DUMMYFUNCTION("""COMPUTED_VALUE"""),"147739;INF769K01FE1;-;Mirae Asset Overnight Fund Regular Plan Growth;1175.1691;25-Aug-2023")</f>
        <v>147739;INF769K01FE1;-;Mirae Asset Overnight Fund Regular Plan Growth;1175.1691;25-Aug-2023</v>
      </c>
      <c r="B3503" s="1"/>
    </row>
    <row r="3504">
      <c r="A3504" s="1" t="str">
        <f>IFERROR(__xludf.DUMMYFUNCTION("""COMPUTED_VALUE"""),"147741;-;INF769K01FM4;Mirae Asset Overnight Fund Regular Weekly IDCW;1000.3637;25-Aug-2023")</f>
        <v>147741;-;INF769K01FM4;Mirae Asset Overnight Fund Regular Weekly IDCW;1000.3637;25-Aug-2023</v>
      </c>
      <c r="B3504" s="1"/>
    </row>
    <row r="3505">
      <c r="A3505" s="1"/>
      <c r="B3505" s="1"/>
    </row>
    <row r="3506">
      <c r="A3506" s="1" t="str">
        <f>IFERROR(__xludf.DUMMYFUNCTION("""COMPUTED_VALUE"""),"Navi Mutual Fund")</f>
        <v>Navi Mutual Fund</v>
      </c>
      <c r="B3506" s="1"/>
    </row>
    <row r="3507">
      <c r="A3507" s="1"/>
      <c r="B3507" s="1"/>
    </row>
    <row r="3508">
      <c r="A3508" s="1" t="str">
        <f>IFERROR(__xludf.DUMMYFUNCTION("""COMPUTED_VALUE"""),"151866;-;INF959L01GW6;NAVI Overnight Fund Direct Plan Daily IDCW Reinvestment;10.0129;27-Aug-2023")</f>
        <v>151866;-;INF959L01GW6;NAVI Overnight Fund Direct Plan Daily IDCW Reinvestment;10.0129;27-Aug-2023</v>
      </c>
      <c r="B3508" s="1"/>
    </row>
    <row r="3509">
      <c r="A3509" s="1" t="str">
        <f>IFERROR(__xludf.DUMMYFUNCTION("""COMPUTED_VALUE"""),"151875;INF959L01GV8;-;NAVI Overnight Fund Direct Plan Growth;10.0714;27-Aug-2023")</f>
        <v>151875;INF959L01GV8;-;NAVI Overnight Fund Direct Plan Growth;10.0714;27-Aug-2023</v>
      </c>
      <c r="B3509" s="1"/>
    </row>
    <row r="3510">
      <c r="A3510" s="1" t="str">
        <f>IFERROR(__xludf.DUMMYFUNCTION("""COMPUTED_VALUE"""),"151874;-;INF959L01GY2;NAVI Overnight Fund Direct Plan Monthly IDCW Reinvestment;10.0162;27-Aug-2023")</f>
        <v>151874;-;INF959L01GY2;NAVI Overnight Fund Direct Plan Monthly IDCW Reinvestment;10.0162;27-Aug-2023</v>
      </c>
      <c r="B3510" s="1"/>
    </row>
    <row r="3511">
      <c r="A3511" s="1" t="str">
        <f>IFERROR(__xludf.DUMMYFUNCTION("""COMPUTED_VALUE"""),"151876;-;INF959L01GX4;NAVI Overnight Fund Direct Plan Weekly IDCW Reinvestment;10.0151;27-Aug-2023")</f>
        <v>151876;-;INF959L01GX4;NAVI Overnight Fund Direct Plan Weekly IDCW Reinvestment;10.0151;27-Aug-2023</v>
      </c>
      <c r="B3511" s="1"/>
    </row>
    <row r="3512">
      <c r="A3512" s="1" t="str">
        <f>IFERROR(__xludf.DUMMYFUNCTION("""COMPUTED_VALUE"""),"151870;-;INF959L01HE2;NAVI Overnight Fund Regular Plan Daily IDCW Reinvestment;10.0129;27-Aug-2023")</f>
        <v>151870;-;INF959L01HE2;NAVI Overnight Fund Regular Plan Daily IDCW Reinvestment;10.0129;27-Aug-2023</v>
      </c>
      <c r="B3512" s="1"/>
    </row>
    <row r="3513">
      <c r="A3513" s="1" t="str">
        <f>IFERROR(__xludf.DUMMYFUNCTION("""COMPUTED_VALUE"""),"151868;INF959L01HB8;-;NAVI Overnight Fund Regular Plan Growth;10.0713;27-Aug-2023")</f>
        <v>151868;INF959L01HB8;-;NAVI Overnight Fund Regular Plan Growth;10.0713;27-Aug-2023</v>
      </c>
      <c r="B3513" s="1"/>
    </row>
    <row r="3514">
      <c r="A3514" s="1" t="str">
        <f>IFERROR(__xludf.DUMMYFUNCTION("""COMPUTED_VALUE"""),"151869;-;INF959L01HD4;NAVI Overnight Fund Regular Plan Monthly IDCW Reinvestment;10.0161;27-Aug-2023")</f>
        <v>151869;-;INF959L01HD4;NAVI Overnight Fund Regular Plan Monthly IDCW Reinvestment;10.0161;27-Aug-2023</v>
      </c>
      <c r="B3514" s="1"/>
    </row>
    <row r="3515">
      <c r="A3515" s="1" t="str">
        <f>IFERROR(__xludf.DUMMYFUNCTION("""COMPUTED_VALUE"""),"151873;-;INF959L01HC6;NAVI Overnight Fund Regular Plan Weekly IDCW Reinvestment;10.015;27-Aug-2023")</f>
        <v>151873;-;INF959L01HC6;NAVI Overnight Fund Regular Plan Weekly IDCW Reinvestment;10.015;27-Aug-2023</v>
      </c>
      <c r="B3515" s="1"/>
    </row>
    <row r="3516">
      <c r="A3516" s="1"/>
      <c r="B3516" s="1"/>
    </row>
    <row r="3517">
      <c r="A3517" s="1" t="str">
        <f>IFERROR(__xludf.DUMMYFUNCTION("""COMPUTED_VALUE"""),"Nippon India Mutual Fund")</f>
        <v>Nippon India Mutual Fund</v>
      </c>
      <c r="B3517" s="1"/>
    </row>
    <row r="3518">
      <c r="A3518" s="1"/>
      <c r="B3518" s="1"/>
    </row>
    <row r="3519">
      <c r="A3519" s="1" t="str">
        <f>IFERROR(__xludf.DUMMYFUNCTION("""COMPUTED_VALUE"""),"145830;-;INF204KB1Q73;NIPPON INDIA OVERNIGHT FUND - DAILY IDCW Option;100.0232;26-Aug-2023")</f>
        <v>145830;-;INF204KB1Q73;NIPPON INDIA OVERNIGHT FUND - DAILY IDCW Option;100.0232;26-Aug-2023</v>
      </c>
      <c r="B3519" s="1"/>
    </row>
    <row r="3520">
      <c r="A3520" s="1" t="str">
        <f>IFERROR(__xludf.DUMMYFUNCTION("""COMPUTED_VALUE"""),"145812;-;INF204KB1R49;NIPPON INDIA OVERNIGHT FUND - DIRECT Plan - DAILY IDCW Option;100.0234;26-Aug-2023")</f>
        <v>145812;-;INF204KB1R49;NIPPON INDIA OVERNIGHT FUND - DIRECT Plan - DAILY IDCW Option;100.0234;26-Aug-2023</v>
      </c>
      <c r="B3520" s="1"/>
    </row>
    <row r="3521">
      <c r="A3521" s="1" t="str">
        <f>IFERROR(__xludf.DUMMYFUNCTION("""COMPUTED_VALUE"""),"145810;INF204KB1R31;-;Nippon India Overnight Fund - Direct Plan - Growth Option;123.5623;26-Aug-2023")</f>
        <v>145810;INF204KB1R31;-;Nippon India Overnight Fund - Direct Plan - Growth Option;123.5623;26-Aug-2023</v>
      </c>
      <c r="B3521" s="1"/>
    </row>
    <row r="3522">
      <c r="A3522" s="1" t="str">
        <f>IFERROR(__xludf.DUMMYFUNCTION("""COMPUTED_VALUE"""),"145824;INF204KB1R64;INF204KB1R72;NIPPON INDIA OVERNIGHT FUND - DIRECT Plan - MONTHLY IDCW Option;100.1400;26-Aug-2023")</f>
        <v>145824;INF204KB1R64;INF204KB1R72;NIPPON INDIA OVERNIGHT FUND - DIRECT Plan - MONTHLY IDCW Option;100.1400;26-Aug-2023</v>
      </c>
      <c r="B3522" s="1"/>
    </row>
    <row r="3523">
      <c r="A3523" s="1" t="str">
        <f>IFERROR(__xludf.DUMMYFUNCTION("""COMPUTED_VALUE"""),"145825;INF204KB1R80;INF204KB1R98;NIPPON INDIA OVERNIGHT FUND - DIRECT Plan - QUARTERLY IDCW Option;101.5516;26-Aug-2023")</f>
        <v>145825;INF204KB1R80;INF204KB1R98;NIPPON INDIA OVERNIGHT FUND - DIRECT Plan - QUARTERLY IDCW Option;101.5516;26-Aug-2023</v>
      </c>
      <c r="B3523" s="1"/>
    </row>
    <row r="3524">
      <c r="A3524" s="1" t="str">
        <f>IFERROR(__xludf.DUMMYFUNCTION("""COMPUTED_VALUE"""),"145823;-;INF204KB1R56;NIPPON INDIA OVERNIGHT FUND - DIRECT Plan - WEEKLY IDCW Option;100.0234;26-Aug-2023")</f>
        <v>145823;-;INF204KB1R56;NIPPON INDIA OVERNIGHT FUND - DIRECT Plan - WEEKLY IDCW Option;100.0234;26-Aug-2023</v>
      </c>
      <c r="B3524" s="1"/>
    </row>
    <row r="3525">
      <c r="A3525" s="1" t="str">
        <f>IFERROR(__xludf.DUMMYFUNCTION("""COMPUTED_VALUE"""),"145827;INF204KB1Q99;INF204KB1R07;NIPPON INDIA OVERNIGHT FUND - MONTHLY IDCW Option;100.1308;26-Aug-2023")</f>
        <v>145827;INF204KB1Q99;INF204KB1R07;NIPPON INDIA OVERNIGHT FUND - MONTHLY IDCW Option;100.1308;26-Aug-2023</v>
      </c>
      <c r="B3525" s="1"/>
    </row>
    <row r="3526">
      <c r="A3526" s="1" t="str">
        <f>IFERROR(__xludf.DUMMYFUNCTION("""COMPUTED_VALUE"""),"145833;INF204KB1R15;INF204KB1R23;NIPPON INDIA OVERNIGHT FUND - QUARTERLY IDCW Option;101.5313;26-Aug-2023")</f>
        <v>145833;INF204KB1R15;INF204KB1R23;NIPPON INDIA OVERNIGHT FUND - QUARTERLY IDCW Option;101.5313;26-Aug-2023</v>
      </c>
      <c r="B3526" s="1"/>
    </row>
    <row r="3527">
      <c r="A3527" s="1" t="str">
        <f>IFERROR(__xludf.DUMMYFUNCTION("""COMPUTED_VALUE"""),"145811;INF204KB1Q65;-;Nippon India Overnight Fund - Regular Plan - Growth Option;123.0022;26-Aug-2023")</f>
        <v>145811;INF204KB1Q65;-;Nippon India Overnight Fund - Regular Plan - Growth Option;123.0022;26-Aug-2023</v>
      </c>
      <c r="B3527" s="1"/>
    </row>
    <row r="3528">
      <c r="A3528" s="1" t="str">
        <f>IFERROR(__xludf.DUMMYFUNCTION("""COMPUTED_VALUE"""),"145826;-;INF204KB1Q81;NIPPON INDIA OVERNIGHT FUND - WEEKLY IDCW Option;100.0232;26-Aug-2023")</f>
        <v>145826;-;INF204KB1Q81;NIPPON INDIA OVERNIGHT FUND - WEEKLY IDCW Option;100.0232;26-Aug-2023</v>
      </c>
      <c r="B3528" s="1"/>
    </row>
    <row r="3529">
      <c r="A3529" s="1"/>
      <c r="B3529" s="1"/>
    </row>
    <row r="3530">
      <c r="A3530" s="1" t="str">
        <f>IFERROR(__xludf.DUMMYFUNCTION("""COMPUTED_VALUE"""),"NJ Mutual Fund")</f>
        <v>NJ Mutual Fund</v>
      </c>
      <c r="B3530" s="1"/>
    </row>
    <row r="3531">
      <c r="A3531" s="1"/>
      <c r="B3531" s="1"/>
    </row>
    <row r="3532">
      <c r="A3532" s="1" t="str">
        <f>IFERROR(__xludf.DUMMYFUNCTION("""COMPUTED_VALUE"""),"150369;INF0J8L01081;-;NJ Overnight Fund - Direct Plan - Growth Option;1067.2005;27-Aug-2023")</f>
        <v>150369;INF0J8L01081;-;NJ Overnight Fund - Direct Plan - Growth Option;1067.2005;27-Aug-2023</v>
      </c>
      <c r="B3532" s="1"/>
    </row>
    <row r="3533">
      <c r="A3533" s="1" t="str">
        <f>IFERROR(__xludf.DUMMYFUNCTION("""COMPUTED_VALUE"""),"150368;INF0J8L01073;-;NJ Overnight Fund - Regular Plan - Growth Option;1066.0482;27-Aug-2023")</f>
        <v>150368;INF0J8L01073;-;NJ Overnight Fund - Regular Plan - Growth Option;1066.0482;27-Aug-2023</v>
      </c>
      <c r="B3533" s="1"/>
    </row>
    <row r="3534">
      <c r="A3534" s="1"/>
      <c r="B3534" s="1"/>
    </row>
    <row r="3535">
      <c r="A3535" s="1" t="str">
        <f>IFERROR(__xludf.DUMMYFUNCTION("""COMPUTED_VALUE"""),"PGIM India Mutual Fund")</f>
        <v>PGIM India Mutual Fund</v>
      </c>
      <c r="B3535" s="1"/>
    </row>
    <row r="3536">
      <c r="A3536" s="1"/>
      <c r="B3536" s="1"/>
    </row>
    <row r="3537">
      <c r="A3537" s="1" t="str">
        <f>IFERROR(__xludf.DUMMYFUNCTION("""COMPUTED_VALUE"""),"147605;-;INF663L01T35;PGIM India Overnight Fund - Direct Plan - Daily Dividend Option;1000.0064;26-Aug-2023")</f>
        <v>147605;-;INF663L01T35;PGIM India Overnight Fund - Direct Plan - Daily Dividend Option;1000.0064;26-Aug-2023</v>
      </c>
      <c r="B3537" s="1"/>
    </row>
    <row r="3538">
      <c r="A3538" s="1" t="str">
        <f>IFERROR(__xludf.DUMMYFUNCTION("""COMPUTED_VALUE"""),"147606;INF663L01T01;-;PGIM India Overnight Fund - Direct Plan - Growth Option;1187.662;26-Aug-2023")</f>
        <v>147606;INF663L01T01;-;PGIM India Overnight Fund - Direct Plan - Growth Option;1187.662;26-Aug-2023</v>
      </c>
      <c r="B3538" s="1"/>
    </row>
    <row r="3539">
      <c r="A3539" s="1" t="str">
        <f>IFERROR(__xludf.DUMMYFUNCTION("""COMPUTED_VALUE"""),"147608;INF663L01T19;INF663L01T27;PGIM India Overnight Fund - Direct Plan - Weekly Dividend Option;1000.2989;26-Aug-2023")</f>
        <v>147608;INF663L01T19;INF663L01T27;PGIM India Overnight Fund - Direct Plan - Weekly Dividend Option;1000.2989;26-Aug-2023</v>
      </c>
      <c r="B3539" s="1"/>
    </row>
    <row r="3540">
      <c r="A3540" s="1" t="str">
        <f>IFERROR(__xludf.DUMMYFUNCTION("""COMPUTED_VALUE"""),"147609;-;INF663L01T76;PGIM India Overnight Fund - Regular Plan - Daily Dividend Option;1000;26-Aug-2023")</f>
        <v>147609;-;INF663L01T76;PGIM India Overnight Fund - Regular Plan - Daily Dividend Option;1000;26-Aug-2023</v>
      </c>
      <c r="B3540" s="1"/>
    </row>
    <row r="3541">
      <c r="A3541" s="1" t="str">
        <f>IFERROR(__xludf.DUMMYFUNCTION("""COMPUTED_VALUE"""),"147607;INF663L01T50;INF663L01T68;PGIM India Overnight Fund - Regular Plan - Weekly Dividend Option;1000.1765;26-Aug-2023")</f>
        <v>147607;INF663L01T50;INF663L01T68;PGIM India Overnight Fund - Regular Plan - Weekly Dividend Option;1000.1765;26-Aug-2023</v>
      </c>
      <c r="B3541" s="1"/>
    </row>
    <row r="3542">
      <c r="A3542" s="1" t="str">
        <f>IFERROR(__xludf.DUMMYFUNCTION("""COMPUTED_VALUE"""),"147600;INF663L01T43;-;PGIM India Overnight Fund - Regular Plan- Growth Option;1183.7901;26-Aug-2023")</f>
        <v>147600;INF663L01T43;-;PGIM India Overnight Fund - Regular Plan- Growth Option;1183.7901;26-Aug-2023</v>
      </c>
      <c r="B3542" s="1"/>
    </row>
    <row r="3543">
      <c r="A3543" s="1"/>
      <c r="B3543" s="1"/>
    </row>
    <row r="3544">
      <c r="A3544" s="1" t="str">
        <f>IFERROR(__xludf.DUMMYFUNCTION("""COMPUTED_VALUE"""),"quant Mutual Fund")</f>
        <v>quant Mutual Fund</v>
      </c>
      <c r="B3544" s="1"/>
    </row>
    <row r="3545">
      <c r="A3545" s="1"/>
      <c r="B3545" s="1"/>
    </row>
    <row r="3546">
      <c r="A3546" s="1" t="str">
        <f>IFERROR(__xludf.DUMMYFUNCTION("""COMPUTED_VALUE"""),"151190;INF966L01AZ7;-;quant Overnight Fund - Growth Option - Direct Plan;10.4903;27-Aug-2023")</f>
        <v>151190;INF966L01AZ7;-;quant Overnight Fund - Growth Option - Direct Plan;10.4903;27-Aug-2023</v>
      </c>
      <c r="B3546" s="1"/>
    </row>
    <row r="3547">
      <c r="A3547" s="1" t="str">
        <f>IFERROR(__xludf.DUMMYFUNCTION("""COMPUTED_VALUE"""),"151195;INF966L01BC4;-;quant Overnight Fund - Growth Option - Regular Plan;10.4785;27-Aug-2023")</f>
        <v>151195;INF966L01BC4;-;quant Overnight Fund - Growth Option - Regular Plan;10.4785;27-Aug-2023</v>
      </c>
      <c r="B3547" s="1"/>
    </row>
    <row r="3548">
      <c r="A3548" s="1" t="str">
        <f>IFERROR(__xludf.DUMMYFUNCTION("""COMPUTED_VALUE"""),"151193;INF966L01BA8;INF966L01BB6;quant Overnight Fund - IDCW Option - Direct Plan;10.4911;27-Aug-2023")</f>
        <v>151193;INF966L01BA8;INF966L01BB6;quant Overnight Fund - IDCW Option - Direct Plan;10.4911;27-Aug-2023</v>
      </c>
      <c r="B3548" s="1"/>
    </row>
    <row r="3549">
      <c r="A3549" s="1" t="str">
        <f>IFERROR(__xludf.DUMMYFUNCTION("""COMPUTED_VALUE"""),"151191;INF966L01BD2;INF966L01BE0;quant Overnight Fund - IDCW Option - Regular Plan;10.4655;27-Aug-2023")</f>
        <v>151191;INF966L01BD2;INF966L01BE0;quant Overnight Fund - IDCW Option - Regular Plan;10.4655;27-Aug-2023</v>
      </c>
      <c r="B3549" s="1"/>
    </row>
    <row r="3550">
      <c r="A3550" s="1"/>
      <c r="B3550" s="1"/>
    </row>
    <row r="3551">
      <c r="A3551" s="1" t="str">
        <f>IFERROR(__xludf.DUMMYFUNCTION("""COMPUTED_VALUE"""),"Samco Mutual Fund")</f>
        <v>Samco Mutual Fund</v>
      </c>
      <c r="B3551" s="1"/>
    </row>
    <row r="3552">
      <c r="A3552" s="1"/>
      <c r="B3552" s="1"/>
    </row>
    <row r="3553">
      <c r="A3553" s="1" t="str">
        <f>IFERROR(__xludf.DUMMYFUNCTION("""COMPUTED_VALUE"""),"150631;INF0K1H01040;-;Samco Overnight Fund - Direct Plan - Growth Option;1056.8887;27-Aug-2023")</f>
        <v>150631;INF0K1H01040;-;Samco Overnight Fund - Direct Plan - Growth Option;1056.8887;27-Aug-2023</v>
      </c>
      <c r="B3553" s="1"/>
    </row>
    <row r="3554">
      <c r="A3554" s="1" t="str">
        <f>IFERROR(__xludf.DUMMYFUNCTION("""COMPUTED_VALUE"""),"150632;INF0K1H01032;-;Samco Overnight Fund - Regular Plan - Growth Option;1054.6095;27-Aug-2023")</f>
        <v>150632;INF0K1H01032;-;Samco Overnight Fund - Regular Plan - Growth Option;1054.6095;27-Aug-2023</v>
      </c>
      <c r="B3554" s="1"/>
    </row>
    <row r="3555">
      <c r="A3555" s="1"/>
      <c r="B3555" s="1"/>
    </row>
    <row r="3556">
      <c r="A3556" s="1" t="str">
        <f>IFERROR(__xludf.DUMMYFUNCTION("""COMPUTED_VALUE"""),"SBI Mutual Fund")</f>
        <v>SBI Mutual Fund</v>
      </c>
      <c r="B3556" s="1"/>
    </row>
    <row r="3557">
      <c r="A3557" s="1"/>
      <c r="B3557" s="1"/>
    </row>
    <row r="3558">
      <c r="A3558" s="1" t="str">
        <f>IFERROR(__xludf.DUMMYFUNCTION("""COMPUTED_VALUE"""),"119831;-;INF200K01TJ7;SBI Overnight Fund - Direct Plan - Daily Income Distribution cum Capital Withdrawal Option (IDCW);1162.2603;25-Aug-2023")</f>
        <v>119831;-;INF200K01TJ7;SBI Overnight Fund - Direct Plan - Daily Income Distribution cum Capital Withdrawal Option (IDCW);1162.2603;25-Aug-2023</v>
      </c>
      <c r="B3558" s="1"/>
    </row>
    <row r="3559">
      <c r="A3559" s="1" t="str">
        <f>IFERROR(__xludf.DUMMYFUNCTION("""COMPUTED_VALUE"""),"119833;INF200K01TK5;-;SBI OVERNIGHT FUND - DIRECT PLAN - GROWTH;3744.5545;25-Aug-2023")</f>
        <v>119833;INF200K01TK5;-;SBI OVERNIGHT FUND - DIRECT PLAN - GROWTH;3744.5545;25-Aug-2023</v>
      </c>
      <c r="B3559" s="1"/>
    </row>
    <row r="3560">
      <c r="A3560" s="1" t="str">
        <f>IFERROR(__xludf.DUMMYFUNCTION("""COMPUTED_VALUE"""),"119832;INF200K01TL3;INF200K01TM1;SBI Overnight Fund - Direct Plan - Weekly Income Distribution cum Capital Withdrawal Option (IDCW);1186.8382;25-Aug-2023")</f>
        <v>119832;INF200K01TL3;INF200K01TM1;SBI Overnight Fund - Direct Plan - Weekly Income Distribution cum Capital Withdrawal Option (IDCW);1186.8382;25-Aug-2023</v>
      </c>
      <c r="B3560" s="1"/>
    </row>
    <row r="3561">
      <c r="A3561" s="1" t="str">
        <f>IFERROR(__xludf.DUMMYFUNCTION("""COMPUTED_VALUE"""),"114297;-;INF200K01LN6;SBI Overnight Fund - Regular Plan - Daily Income Distribution cum Capital Withdrawal Option (IDCW);1159.2555;25-Aug-2023")</f>
        <v>114297;-;INF200K01LN6;SBI Overnight Fund - Regular Plan - Daily Income Distribution cum Capital Withdrawal Option (IDCW);1159.2555;25-Aug-2023</v>
      </c>
      <c r="B3561" s="1"/>
    </row>
    <row r="3562">
      <c r="A3562" s="1" t="str">
        <f>IFERROR(__xludf.DUMMYFUNCTION("""COMPUTED_VALUE"""),"101206;INF200K01LQ9;-;SBI OVERNIGHT FUND - REGULAR PLAN - GROWTH;3701.3692;25-Aug-2023")</f>
        <v>101206;INF200K01LQ9;-;SBI OVERNIGHT FUND - REGULAR PLAN - GROWTH;3701.3692;25-Aug-2023</v>
      </c>
      <c r="B3562" s="1"/>
    </row>
    <row r="3563">
      <c r="A3563" s="1" t="str">
        <f>IFERROR(__xludf.DUMMYFUNCTION("""COMPUTED_VALUE"""),"103140;INF200K01LO4;INF200K01LP1;SBI Overnight Fund - Regular Plan - Weekly Income Distribution cum Capital Withdrawal Option (IDCW);1183.6960;25-Aug-2023")</f>
        <v>103140;INF200K01LO4;INF200K01LP1;SBI Overnight Fund - Regular Plan - Weekly Income Distribution cum Capital Withdrawal Option (IDCW);1183.6960;25-Aug-2023</v>
      </c>
      <c r="B3563" s="1"/>
    </row>
    <row r="3564">
      <c r="A3564" s="1"/>
      <c r="B3564" s="1"/>
    </row>
    <row r="3565">
      <c r="A3565" s="1" t="str">
        <f>IFERROR(__xludf.DUMMYFUNCTION("""COMPUTED_VALUE"""),"Shriram Mutual Fund")</f>
        <v>Shriram Mutual Fund</v>
      </c>
      <c r="B3565" s="1"/>
    </row>
    <row r="3566">
      <c r="A3566" s="1"/>
      <c r="B3566" s="1"/>
    </row>
    <row r="3567">
      <c r="A3567" s="1" t="str">
        <f>IFERROR(__xludf.DUMMYFUNCTION("""COMPUTED_VALUE"""),"150562;INF680P01323;-;Shriram Overnight Fund -  Direct Growth;10.6476;27-Aug-2023")</f>
        <v>150562;INF680P01323;-;Shriram Overnight Fund -  Direct Growth;10.6476;27-Aug-2023</v>
      </c>
      <c r="B3567" s="1"/>
    </row>
    <row r="3568">
      <c r="A3568" s="1" t="str">
        <f>IFERROR(__xludf.DUMMYFUNCTION("""COMPUTED_VALUE"""),"150566;INF680P01281;INF680P01299;Shriram Overnight Fund -  Regular Fortnightly IDCW;10.0049;02-Feb-2023")</f>
        <v>150566;INF680P01281;INF680P01299;Shriram Overnight Fund -  Regular Fortnightly IDCW;10.0049;02-Feb-2023</v>
      </c>
      <c r="B3568" s="1"/>
    </row>
    <row r="3569">
      <c r="A3569" s="1" t="str">
        <f>IFERROR(__xludf.DUMMYFUNCTION("""COMPUTED_VALUE"""),"150561;-;INF680P01331;Shriram Overnight Fund - Direct Daily IDCW;10.0000;27-Aug-2023")</f>
        <v>150561;-;INF680P01331;Shriram Overnight Fund - Direct Daily IDCW;10.0000;27-Aug-2023</v>
      </c>
      <c r="B3569" s="1"/>
    </row>
    <row r="3570">
      <c r="A3570" s="1" t="str">
        <f>IFERROR(__xludf.DUMMYFUNCTION("""COMPUTED_VALUE"""),"150564;INF680P01364;INF680P01372;Shriram Overnight Fund - Direct Fortnightly IDCW;10.0046;22-Sep-2022")</f>
        <v>150564;INF680P01364;INF680P01372;Shriram Overnight Fund - Direct Fortnightly IDCW;10.0046;22-Sep-2022</v>
      </c>
      <c r="B3570" s="1"/>
    </row>
    <row r="3571">
      <c r="A3571" s="1" t="str">
        <f>IFERROR(__xludf.DUMMYFUNCTION("""COMPUTED_VALUE"""),"150558;-;INF680P01257;Shriram Overnight Fund - Regular Daily IDCW;10.0000;27-Aug-2023")</f>
        <v>150558;-;INF680P01257;Shriram Overnight Fund - Regular Daily IDCW;10.0000;27-Aug-2023</v>
      </c>
      <c r="B3571" s="1"/>
    </row>
    <row r="3572">
      <c r="A3572" s="1" t="str">
        <f>IFERROR(__xludf.DUMMYFUNCTION("""COMPUTED_VALUE"""),"150565;INF680P01232;-;Shriram Overnight Fund - Regular Growth;10.6371;27-Aug-2023")</f>
        <v>150565;INF680P01232;-;Shriram Overnight Fund - Regular Growth;10.6371;27-Aug-2023</v>
      </c>
      <c r="B3572" s="1"/>
    </row>
    <row r="3573">
      <c r="A3573" s="1" t="str">
        <f>IFERROR(__xludf.DUMMYFUNCTION("""COMPUTED_VALUE"""),"150560;INF680P01307;INF680P01315;Shriram Overnight Fund - Regular Monthly IDCW;10.0198;27-Aug-2023")</f>
        <v>150560;INF680P01307;INF680P01315;Shriram Overnight Fund - Regular Monthly IDCW;10.0198;27-Aug-2023</v>
      </c>
      <c r="B3573" s="1"/>
    </row>
    <row r="3574">
      <c r="A3574" s="1" t="str">
        <f>IFERROR(__xludf.DUMMYFUNCTION("""COMPUTED_VALUE"""),"150559;INF680P01265;INF680P01273;Shriram Overnight Fund - Regular Weekly IDCW;10.0108;27-Aug-2023")</f>
        <v>150559;INF680P01265;INF680P01273;Shriram Overnight Fund - Regular Weekly IDCW;10.0108;27-Aug-2023</v>
      </c>
      <c r="B3574" s="1"/>
    </row>
    <row r="3575">
      <c r="A3575" s="1"/>
      <c r="B3575" s="1"/>
    </row>
    <row r="3576">
      <c r="A3576" s="1" t="str">
        <f>IFERROR(__xludf.DUMMYFUNCTION("""COMPUTED_VALUE"""),"Sundaram Mutual Fund")</f>
        <v>Sundaram Mutual Fund</v>
      </c>
      <c r="B3576" s="1"/>
    </row>
    <row r="3577">
      <c r="A3577" s="1"/>
      <c r="B3577" s="1"/>
    </row>
    <row r="3578">
      <c r="A3578" s="1" t="str">
        <f>IFERROR(__xludf.DUMMYFUNCTION("""COMPUTED_VALUE"""),"146964;INF903JA1HJ9;-;Sundaram Overnight Fund Direct Plan - Daily Reinvestment of Income Distribution cum Capital Withdrawal (IDCW);1000.0300;25-Aug-2023")</f>
        <v>146964;INF903JA1HJ9;-;Sundaram Overnight Fund Direct Plan - Daily Reinvestment of Income Distribution cum Capital Withdrawal (IDCW);1000.0300;25-Aug-2023</v>
      </c>
      <c r="B3578" s="1"/>
    </row>
    <row r="3579">
      <c r="A3579" s="1" t="str">
        <f>IFERROR(__xludf.DUMMYFUNCTION("""COMPUTED_VALUE"""),"146956;INF903JA1HL5;-;Sundaram Overnight Fund Direct Plan - Fortnightly Reinvestment of Income Distribution cum Capital Withdrawal (IDCW);1066.2353;25-Aug-2023")</f>
        <v>146956;INF903JA1HL5;-;Sundaram Overnight Fund Direct Plan - Fortnightly Reinvestment of Income Distribution cum Capital Withdrawal (IDCW);1066.2353;25-Aug-2023</v>
      </c>
      <c r="B3579" s="1"/>
    </row>
    <row r="3580">
      <c r="A3580" s="1" t="str">
        <f>IFERROR(__xludf.DUMMYFUNCTION("""COMPUTED_VALUE"""),"146963;INF903JA1HG5;-;Sundaram Overnight Fund Direct Plan - Growth;1222.5527;25-Aug-2023")</f>
        <v>146963;INF903JA1HG5;-;Sundaram Overnight Fund Direct Plan - Growth;1222.5527;25-Aug-2023</v>
      </c>
      <c r="B3580" s="1"/>
    </row>
    <row r="3581">
      <c r="A3581" s="1" t="str">
        <f>IFERROR(__xludf.DUMMYFUNCTION("""COMPUTED_VALUE"""),"146962;INF903JA1HH3;-;Sundaram Overnight Fund Direct Plan - Monthly Payout of Income Distribution cum Capital Withdrawal (IDCW);1043.8333;25-Aug-2023")</f>
        <v>146962;INF903JA1HH3;-;Sundaram Overnight Fund Direct Plan - Monthly Payout of Income Distribution cum Capital Withdrawal (IDCW);1043.8333;25-Aug-2023</v>
      </c>
      <c r="B3581" s="1"/>
    </row>
    <row r="3582">
      <c r="A3582" s="1" t="str">
        <f>IFERROR(__xludf.DUMMYFUNCTION("""COMPUTED_VALUE"""),"146957;INF903JA1HM3;-;Sundaram Overnight Fund Direct Plan - Monthly Reinvestment of Income Distribution cum Capital Withdrawal (IDCW);1043.8333;25-Aug-2023")</f>
        <v>146957;INF903JA1HM3;-;Sundaram Overnight Fund Direct Plan - Monthly Reinvestment of Income Distribution cum Capital Withdrawal (IDCW);1043.8333;25-Aug-2023</v>
      </c>
      <c r="B3582" s="1"/>
    </row>
    <row r="3583">
      <c r="A3583" s="1" t="str">
        <f>IFERROR(__xludf.DUMMYFUNCTION("""COMPUTED_VALUE"""),"146955;INF903JA1HK7;-;Sundaram Overnight Fund Direct Plan - Weekly Reinvestment of Income Distribution cum Capital Withdrawal (IDCW);1049.6440;25-Aug-2023")</f>
        <v>146955;INF903JA1HK7;-;Sundaram Overnight Fund Direct Plan - Weekly Reinvestment of Income Distribution cum Capital Withdrawal (IDCW);1049.6440;25-Aug-2023</v>
      </c>
      <c r="B3583" s="1"/>
    </row>
    <row r="3584">
      <c r="A3584" s="1" t="str">
        <f>IFERROR(__xludf.DUMMYFUNCTION("""COMPUTED_VALUE"""),"146953;INF903JA1HC4;-;Sundaram Overnight Fund Regular Plan - Daily Reinvestment of Income Distribution cum Capital Withdrawal (IDCW);1000.0300;25-Aug-2023")</f>
        <v>146953;INF903JA1HC4;-;Sundaram Overnight Fund Regular Plan - Daily Reinvestment of Income Distribution cum Capital Withdrawal (IDCW);1000.0300;25-Aug-2023</v>
      </c>
      <c r="B3584" s="1"/>
    </row>
    <row r="3585">
      <c r="A3585" s="1" t="str">
        <f>IFERROR(__xludf.DUMMYFUNCTION("""COMPUTED_VALUE"""),"146958;INF903JA1HE0;-;Sundaram Overnight Fund Regular Plan - Fortnightly Reinvestment of Income Distribution cum Capital Withdrawal (IDCW);1067.6565;25-Aug-2023")</f>
        <v>146958;INF903JA1HE0;-;Sundaram Overnight Fund Regular Plan - Fortnightly Reinvestment of Income Distribution cum Capital Withdrawal (IDCW);1067.6565;25-Aug-2023</v>
      </c>
      <c r="B3585" s="1"/>
    </row>
    <row r="3586">
      <c r="A3586" s="1" t="str">
        <f>IFERROR(__xludf.DUMMYFUNCTION("""COMPUTED_VALUE"""),"146959;INF903JA1GZ7;-;Sundaram Overnight Fund Regular Plan - Growth;1217.2976;25-Aug-2023")</f>
        <v>146959;INF903JA1GZ7;-;Sundaram Overnight Fund Regular Plan - Growth;1217.2976;25-Aug-2023</v>
      </c>
      <c r="B3586" s="1"/>
    </row>
    <row r="3587">
      <c r="A3587" s="1" t="str">
        <f>IFERROR(__xludf.DUMMYFUNCTION("""COMPUTED_VALUE"""),"146960;INF903JA1HA8;-;Sundaram Overnight Fund Regular Plan - Monthly Payout of Income Distribution cum Capital Withdrawal (IDCW);1040.2698;25-Aug-2023")</f>
        <v>146960;INF903JA1HA8;-;Sundaram Overnight Fund Regular Plan - Monthly Payout of Income Distribution cum Capital Withdrawal (IDCW);1040.2698;25-Aug-2023</v>
      </c>
      <c r="B3587" s="1"/>
    </row>
    <row r="3588">
      <c r="A3588" s="1" t="str">
        <f>IFERROR(__xludf.DUMMYFUNCTION("""COMPUTED_VALUE"""),"146961;INF903JA1HF7;-;Sundaram Overnight Fund Regular Plan - Monthly Reinvestment of Income Distribution cum Capital Withdrawal (IDCW);1040.2698;25-Aug-2023")</f>
        <v>146961;INF903JA1HF7;-;Sundaram Overnight Fund Regular Plan - Monthly Reinvestment of Income Distribution cum Capital Withdrawal (IDCW);1040.2698;25-Aug-2023</v>
      </c>
      <c r="B3588" s="1"/>
    </row>
    <row r="3589">
      <c r="A3589" s="1" t="str">
        <f>IFERROR(__xludf.DUMMYFUNCTION("""COMPUTED_VALUE"""),"146954;INF903JA1HD2;-;Sundaram Overnight Fund Regular Plan - Weekly Payout of Income Distribution cum Capital Withdrawal (IDCW);1048.3939;25-Aug-2023")</f>
        <v>146954;INF903JA1HD2;-;Sundaram Overnight Fund Regular Plan - Weekly Payout of Income Distribution cum Capital Withdrawal (IDCW);1048.3939;25-Aug-2023</v>
      </c>
      <c r="B3589" s="1"/>
    </row>
    <row r="3590">
      <c r="A3590" s="1" t="str">
        <f>IFERROR(__xludf.DUMMYFUNCTION("""COMPUTED_VALUE"""),"149820;INF903JA1KX4;-;Sundaram Overnight Fund Unclaimed IDCW beyond three years;1000.0000;25-Aug-2023")</f>
        <v>149820;INF903JA1KX4;-;Sundaram Overnight Fund Unclaimed IDCW beyond three years;1000.0000;25-Aug-2023</v>
      </c>
      <c r="B3590" s="1"/>
    </row>
    <row r="3591">
      <c r="A3591" s="1" t="str">
        <f>IFERROR(__xludf.DUMMYFUNCTION("""COMPUTED_VALUE"""),"149821;INF903JA1KZ9;-;Sundaram Overnight Fund Unclaimed IDCW upto three years;1088.9331;25-Aug-2023")</f>
        <v>149821;INF903JA1KZ9;-;Sundaram Overnight Fund Unclaimed IDCW upto three years;1088.9331;25-Aug-2023</v>
      </c>
      <c r="B3591" s="1"/>
    </row>
    <row r="3592">
      <c r="A3592" s="1" t="str">
        <f>IFERROR(__xludf.DUMMYFUNCTION("""COMPUTED_VALUE"""),"149819;INF903JA1KY2;-;Sundaram Overnight Fund Unclaimed Redemption  beyond three years;1000.0000;25-Aug-2023")</f>
        <v>149819;INF903JA1KY2;-;Sundaram Overnight Fund Unclaimed Redemption  beyond three years;1000.0000;25-Aug-2023</v>
      </c>
      <c r="B3592" s="1"/>
    </row>
    <row r="3593">
      <c r="A3593" s="1" t="str">
        <f>IFERROR(__xludf.DUMMYFUNCTION("""COMPUTED_VALUE"""),"149818;INF903JA1LA0;-;Sundaram Overnight Fund Unclaimed Redemption upto three years;1088.9201;25-Aug-2023")</f>
        <v>149818;INF903JA1LA0;-;Sundaram Overnight Fund Unclaimed Redemption upto three years;1088.9201;25-Aug-2023</v>
      </c>
      <c r="B3593" s="1"/>
    </row>
    <row r="3594">
      <c r="A3594" s="1"/>
      <c r="B3594" s="1"/>
    </row>
    <row r="3595">
      <c r="A3595" s="1" t="str">
        <f>IFERROR(__xludf.DUMMYFUNCTION("""COMPUTED_VALUE"""),"Tata Mutual Fund")</f>
        <v>Tata Mutual Fund</v>
      </c>
      <c r="B3595" s="1"/>
    </row>
    <row r="3596">
      <c r="A3596" s="1"/>
      <c r="B3596" s="1"/>
    </row>
    <row r="3597">
      <c r="A3597" s="1" t="str">
        <f>IFERROR(__xludf.DUMMYFUNCTION("""COMPUTED_VALUE"""),"146978;-;INF277K019T3;TATA Overnight Fund Direct Plan - Daily Reinvestment of Income Distribution cum capital withdrawal option   ;1000.0000;27-Aug-2023")</f>
        <v>146978;-;INF277K019T3;TATA Overnight Fund Direct Plan - Daily Reinvestment of Income Distribution cum capital withdrawal option   ;1000.0000;27-Aug-2023</v>
      </c>
      <c r="B3597" s="1"/>
    </row>
    <row r="3598">
      <c r="A3598" s="1" t="str">
        <f>IFERROR(__xludf.DUMMYFUNCTION("""COMPUTED_VALUE"""),"146979;-;INF277K017T7;TATA Overnight Fund Regular Plan - Daily Reinvestment of Income Distribution cum capital withdrawal option   ;1000.0000;27-Aug-2023")</f>
        <v>146979;-;INF277K017T7;TATA Overnight Fund Regular Plan - Daily Reinvestment of Income Distribution cum capital withdrawal option   ;1000.0000;27-Aug-2023</v>
      </c>
      <c r="B3598" s="1"/>
    </row>
    <row r="3599">
      <c r="A3599" s="1" t="str">
        <f>IFERROR(__xludf.DUMMYFUNCTION("""COMPUTED_VALUE"""),"146980;INF277K018T5;-;Tata Overnight Fund-Direct Plan-Growth;1214.1155;27-Aug-2023")</f>
        <v>146980;INF277K018T5;-;Tata Overnight Fund-Direct Plan-Growth;1214.1155;27-Aug-2023</v>
      </c>
      <c r="B3599" s="1"/>
    </row>
    <row r="3600">
      <c r="A3600" s="1" t="str">
        <f>IFERROR(__xludf.DUMMYFUNCTION("""COMPUTED_VALUE"""),"146977;INF277K016T9;-;Tata Overnight Fund-Regular Plan-Growth;1208.3357;27-Aug-2023")</f>
        <v>146977;INF277K016T9;-;Tata Overnight Fund-Regular Plan-Growth;1208.3357;27-Aug-2023</v>
      </c>
      <c r="B3600" s="1"/>
    </row>
    <row r="3601">
      <c r="A3601" s="1"/>
      <c r="B3601" s="1"/>
    </row>
    <row r="3602">
      <c r="A3602" s="1" t="str">
        <f>IFERROR(__xludf.DUMMYFUNCTION("""COMPUTED_VALUE"""),"Trust Mutual Fund")</f>
        <v>Trust Mutual Fund</v>
      </c>
      <c r="B3602" s="1"/>
    </row>
    <row r="3603">
      <c r="A3603" s="1"/>
      <c r="B3603" s="1"/>
    </row>
    <row r="3604">
      <c r="A3604" s="1" t="str">
        <f>IFERROR(__xludf.DUMMYFUNCTION("""COMPUTED_VALUE"""),"149796;-;INF0GCD01461;TRUST MF OVERNIGHT FUND-DIRECT PLAN-DAILY IDCW REINVESTMENT;1089.992;27-Aug-2023")</f>
        <v>149796;-;INF0GCD01461;TRUST MF OVERNIGHT FUND-DIRECT PLAN-DAILY IDCW REINVESTMENT;1089.992;27-Aug-2023</v>
      </c>
      <c r="B3604" s="1"/>
    </row>
    <row r="3605">
      <c r="A3605" s="1" t="str">
        <f>IFERROR(__xludf.DUMMYFUNCTION("""COMPUTED_VALUE"""),"149797;INF0GCD01453;-;TRUST MF OVERNIGHT FUND-DIRECT PLAN-GROWTH;1089.9812;27-Aug-2023")</f>
        <v>149797;INF0GCD01453;-;TRUST MF OVERNIGHT FUND-DIRECT PLAN-GROWTH;1089.9812;27-Aug-2023</v>
      </c>
      <c r="B3605" s="1"/>
    </row>
    <row r="3606">
      <c r="A3606" s="1" t="str">
        <f>IFERROR(__xludf.DUMMYFUNCTION("""COMPUTED_VALUE"""),"149798;-;INF0GCD01446;TRUST MF OVERNIGHT FUND-REGULAR PLAN-DAILY IDCW REINVESTMENT;1089.398;27-Aug-2023")</f>
        <v>149798;-;INF0GCD01446;TRUST MF OVERNIGHT FUND-REGULAR PLAN-DAILY IDCW REINVESTMENT;1089.398;27-Aug-2023</v>
      </c>
      <c r="B3606" s="1"/>
    </row>
    <row r="3607">
      <c r="A3607" s="1" t="str">
        <f>IFERROR(__xludf.DUMMYFUNCTION("""COMPUTED_VALUE"""),"149795;INF0GCD01438;-;TRUST MF OVERNIGHT FUND-REGULAR-GROWTH;1089.1041;27-Aug-2023")</f>
        <v>149795;INF0GCD01438;-;TRUST MF OVERNIGHT FUND-REGULAR-GROWTH;1089.1041;27-Aug-2023</v>
      </c>
      <c r="B3607" s="1"/>
    </row>
    <row r="3608">
      <c r="A3608" s="1"/>
      <c r="B3608" s="1"/>
    </row>
    <row r="3609">
      <c r="A3609" s="1" t="str">
        <f>IFERROR(__xludf.DUMMYFUNCTION("""COMPUTED_VALUE"""),"Union Mutual Fund")</f>
        <v>Union Mutual Fund</v>
      </c>
      <c r="B3609" s="1"/>
    </row>
    <row r="3610">
      <c r="A3610" s="1"/>
      <c r="B3610" s="1"/>
    </row>
    <row r="3611">
      <c r="A3611" s="1" t="str">
        <f>IFERROR(__xludf.DUMMYFUNCTION("""COMPUTED_VALUE"""),"147002;-;INF582M01FB0;Union Overnight Fund - Direct Plan - Daily IDCW Option;1000.7630;27-Aug-2023")</f>
        <v>147002;-;INF582M01FB0;Union Overnight Fund - Direct Plan - Daily IDCW Option;1000.7630;27-Aug-2023</v>
      </c>
      <c r="B3611" s="1"/>
    </row>
    <row r="3612">
      <c r="A3612" s="1" t="str">
        <f>IFERROR(__xludf.DUMMYFUNCTION("""COMPUTED_VALUE"""),"147003;INF582M01FA2;-;Union Overnight Fund - Direct Plan - Growth Option;1211.6854;27-Aug-2023")</f>
        <v>147003;INF582M01FA2;-;Union Overnight Fund - Direct Plan - Growth Option;1211.6854;27-Aug-2023</v>
      </c>
      <c r="B3612" s="1"/>
    </row>
    <row r="3613">
      <c r="A3613" s="1" t="str">
        <f>IFERROR(__xludf.DUMMYFUNCTION("""COMPUTED_VALUE"""),"147006;INF582M01FG9;INF582M01FE4;Union Overnight Fund - Direct Plan - Monthly IDCW Option;1000.9615;27-Aug-2023")</f>
        <v>147006;INF582M01FG9;INF582M01FE4;Union Overnight Fund - Direct Plan - Monthly IDCW Option;1000.9615;27-Aug-2023</v>
      </c>
      <c r="B3613" s="1"/>
    </row>
    <row r="3614">
      <c r="A3614" s="1" t="str">
        <f>IFERROR(__xludf.DUMMYFUNCTION("""COMPUTED_VALUE"""),"146998;-;INF582M01FK1;Union Overnight Fund - Regular Plan - Daily IDCW Option;1001.2517;27-Aug-2023")</f>
        <v>146998;-;INF582M01FK1;Union Overnight Fund - Regular Plan - Daily IDCW Option;1001.2517;27-Aug-2023</v>
      </c>
      <c r="B3614" s="1"/>
    </row>
    <row r="3615">
      <c r="A3615" s="1" t="str">
        <f>IFERROR(__xludf.DUMMYFUNCTION("""COMPUTED_VALUE"""),"146997;INF582M01FJ3;-;Union Overnight Fund - Regular Plan - Growth Option;1206.4276;27-Aug-2023")</f>
        <v>146997;INF582M01FJ3;-;Union Overnight Fund - Regular Plan - Growth Option;1206.4276;27-Aug-2023</v>
      </c>
      <c r="B3615" s="1"/>
    </row>
    <row r="3616">
      <c r="A3616" s="1" t="str">
        <f>IFERROR(__xludf.DUMMYFUNCTION("""COMPUTED_VALUE"""),"147000;INF582M01FP0;INF582M01FN5;Union Overnight Fund - Regular Plan - Monthly IDCW Option;1000.9650;27-Aug-2023")</f>
        <v>147000;INF582M01FP0;INF582M01FN5;Union Overnight Fund - Regular Plan - Monthly IDCW Option;1000.9650;27-Aug-2023</v>
      </c>
      <c r="B3616" s="1"/>
    </row>
    <row r="3617">
      <c r="A3617" s="1" t="str">
        <f>IFERROR(__xludf.DUMMYFUNCTION("""COMPUTED_VALUE"""),"149451;-;-;Union Overnight Fund - Unclaimed Amounts Plan - IDCW Beyond 3 years;1000.0000;27-Aug-2023")</f>
        <v>149451;-;-;Union Overnight Fund - Unclaimed Amounts Plan - IDCW Beyond 3 years;1000.0000;27-Aug-2023</v>
      </c>
      <c r="B3617" s="1"/>
    </row>
    <row r="3618">
      <c r="A3618" s="1" t="str">
        <f>IFERROR(__xludf.DUMMYFUNCTION("""COMPUTED_VALUE"""),"149452;-;-;Union Overnight Fund - Unclaimed Amounts Plan - IDCW Upto 3 years;1092.4005;27-Aug-2023")</f>
        <v>149452;-;-;Union Overnight Fund - Unclaimed Amounts Plan - IDCW Upto 3 years;1092.4005;27-Aug-2023</v>
      </c>
      <c r="B3618" s="1"/>
    </row>
    <row r="3619">
      <c r="A3619" s="1" t="str">
        <f>IFERROR(__xludf.DUMMYFUNCTION("""COMPUTED_VALUE"""),"149453;-;-;Union Overnight Fund - Unclaimed Amounts Plan - Redemption Beyond 3 years;1000.0000;27-Aug-2023")</f>
        <v>149453;-;-;Union Overnight Fund - Unclaimed Amounts Plan - Redemption Beyond 3 years;1000.0000;27-Aug-2023</v>
      </c>
      <c r="B3619" s="1"/>
    </row>
    <row r="3620">
      <c r="A3620" s="1" t="str">
        <f>IFERROR(__xludf.DUMMYFUNCTION("""COMPUTED_VALUE"""),"149454;-;-;Union Overnight Fund - Unclaimed Amounts Plan - Redemption Upto 3 years;1092.3874;27-Aug-2023")</f>
        <v>149454;-;-;Union Overnight Fund - Unclaimed Amounts Plan - Redemption Upto 3 years;1092.3874;27-Aug-2023</v>
      </c>
      <c r="B3620" s="1"/>
    </row>
    <row r="3621">
      <c r="A3621" s="1"/>
      <c r="B3621" s="1"/>
    </row>
    <row r="3622">
      <c r="A3622" s="1" t="str">
        <f>IFERROR(__xludf.DUMMYFUNCTION("""COMPUTED_VALUE"""),"UTI Mutual Fund")</f>
        <v>UTI Mutual Fund</v>
      </c>
      <c r="B3622" s="1"/>
    </row>
    <row r="3623">
      <c r="A3623" s="1"/>
      <c r="B3623" s="1"/>
    </row>
    <row r="3624">
      <c r="A3624" s="1" t="str">
        <f>IFERROR(__xludf.DUMMYFUNCTION("""COMPUTED_VALUE"""),"100814;INF789F01604;-;UTI - Overnight  Fund - Regular Plan - Growth Option;3119.3563;27-Aug-2023")</f>
        <v>100814;INF789F01604;-;UTI - Overnight  Fund - Regular Plan - Growth Option;3119.3563;27-Aug-2023</v>
      </c>
      <c r="B3624" s="1"/>
    </row>
    <row r="3625">
      <c r="A3625" s="1" t="str">
        <f>IFERROR(__xludf.DUMMYFUNCTION("""COMPUTED_VALUE"""),"120785;INF789FB1S71;-;UTI - Overnight Fund - Direct Plan - Growth Option;3150.2921;27-Aug-2023")</f>
        <v>120785;INF789FB1S71;-;UTI - Overnight Fund - Direct Plan - Growth Option;3150.2921;27-Aug-2023</v>
      </c>
      <c r="B3625" s="1"/>
    </row>
    <row r="3626">
      <c r="A3626" s="1" t="str">
        <f>IFERROR(__xludf.DUMMYFUNCTION("""COMPUTED_VALUE"""),"124266;-;INF789FB1S89;UTI Overnight Fund - Direct Plan - Daily IDCW;1371.6621;27-Aug-2023")</f>
        <v>124266;-;INF789FB1S89;UTI Overnight Fund - Direct Plan - Daily IDCW;1371.6621;27-Aug-2023</v>
      </c>
      <c r="B3626" s="1"/>
    </row>
    <row r="3627">
      <c r="A3627" s="1" t="str">
        <f>IFERROR(__xludf.DUMMYFUNCTION("""COMPUTED_VALUE"""),"120786;INF789FB1T05;INF789FB1S97;UTI Overnight Fund - Direct Plan - Periodic IDCW;1653.3138;27-Aug-2023")</f>
        <v>120786;INF789FB1T05;INF789FB1S97;UTI Overnight Fund - Direct Plan - Periodic IDCW;1653.3138;27-Aug-2023</v>
      </c>
      <c r="B3627" s="1"/>
    </row>
    <row r="3628">
      <c r="A3628" s="1" t="str">
        <f>IFERROR(__xludf.DUMMYFUNCTION("""COMPUTED_VALUE"""),"124265;-;INF789FB1T13;UTI Overnight Fund - Regular Plan - Daily IDCW;1370.8617;27-Aug-2023")</f>
        <v>124265;-;INF789FB1T13;UTI Overnight Fund - Regular Plan - Daily IDCW;1370.8617;27-Aug-2023</v>
      </c>
      <c r="B3628" s="1"/>
    </row>
    <row r="3629">
      <c r="A3629" s="1" t="str">
        <f>IFERROR(__xludf.DUMMYFUNCTION("""COMPUTED_VALUE"""),"100813;INF789F01588;INF789F01596;UTI Overnight Fund - Regular Plan - Periodic IDCW;1606.9831;27-Aug-2023")</f>
        <v>100813;INF789F01588;INF789F01596;UTI Overnight Fund - Regular Plan - Periodic IDCW;1606.9831;27-Aug-2023</v>
      </c>
      <c r="B3629" s="1"/>
    </row>
    <row r="3630">
      <c r="A3630" s="1"/>
      <c r="B3630" s="1"/>
    </row>
    <row r="3631">
      <c r="A3631" s="1" t="str">
        <f>IFERROR(__xludf.DUMMYFUNCTION("""COMPUTED_VALUE"""),"Open Ended Schemes(Debt Scheme - Short Duration Fund)")</f>
        <v>Open Ended Schemes(Debt Scheme - Short Duration Fund)</v>
      </c>
      <c r="B3631" s="1"/>
    </row>
    <row r="3632">
      <c r="A3632" s="1"/>
      <c r="B3632" s="1"/>
    </row>
    <row r="3633">
      <c r="A3633" s="1" t="str">
        <f>IFERROR(__xludf.DUMMYFUNCTION("""COMPUTED_VALUE"""),"Aditya Birla Sun Life Mutual Fund")</f>
        <v>Aditya Birla Sun Life Mutual Fund</v>
      </c>
      <c r="B3633" s="1"/>
    </row>
    <row r="3634">
      <c r="A3634" s="1"/>
      <c r="B3634" s="1"/>
    </row>
    <row r="3635">
      <c r="A3635" s="1" t="str">
        <f>IFERROR(__xludf.DUMMYFUNCTION("""COMPUTED_VALUE"""),"119496;INF209KA1KQ6;INF209K01XL6;Aditya Birla Sun Life Short Term Fund - DIRECT - IDCW;12.3377;25-Aug-2023")</f>
        <v>119496;INF209KA1KQ6;INF209K01XL6;Aditya Birla Sun Life Short Term Fund - DIRECT - IDCW;12.3377;25-Aug-2023</v>
      </c>
      <c r="B3635" s="1"/>
    </row>
    <row r="3636">
      <c r="A3636" s="1" t="str">
        <f>IFERROR(__xludf.DUMMYFUNCTION("""COMPUTED_VALUE"""),"119498;INF209K01XK8;-;Aditya Birla Sun Life Short Term Fund - Growth - Direct Plan;44.1157;25-Aug-2023")</f>
        <v>119498;INF209K01XK8;-;Aditya Birla Sun Life Short Term Fund - Growth - Direct Plan;44.1157;25-Aug-2023</v>
      </c>
      <c r="B3636" s="1"/>
    </row>
    <row r="3637">
      <c r="A3637" s="1" t="str">
        <f>IFERROR(__xludf.DUMMYFUNCTION("""COMPUTED_VALUE"""),"101844;INF209K01942;-;Aditya Birla Sun Life Short Term Fund - Growth - Regular Plan;41.2486;25-Aug-2023")</f>
        <v>101844;INF209K01942;-;Aditya Birla Sun Life Short Term Fund - Growth - Regular Plan;41.2486;25-Aug-2023</v>
      </c>
      <c r="B3637" s="1"/>
    </row>
    <row r="3638">
      <c r="A3638" s="1" t="str">
        <f>IFERROR(__xludf.DUMMYFUNCTION("""COMPUTED_VALUE"""),"101843;INF209K01975;INF209K01DK0;Aditya Birla Sun Life Short Term Fund - REGULAR - IDCW;17.1459;25-Aug-2023")</f>
        <v>101843;INF209K01975;INF209K01DK0;Aditya Birla Sun Life Short Term Fund - REGULAR - IDCW;17.1459;25-Aug-2023</v>
      </c>
      <c r="B3638" s="1"/>
    </row>
    <row r="3639">
      <c r="A3639" s="1" t="str">
        <f>IFERROR(__xludf.DUMMYFUNCTION("""COMPUTED_VALUE"""),"112356;INF209K01BU3;-;Aditya Birla Sun Life Short Term Fund - REGULAR - Quarterly IDCW;10.6431;25-Aug-2023")</f>
        <v>112356;INF209K01BU3;-;Aditya Birla Sun Life Short Term Fund - REGULAR - Quarterly IDCW;10.6431;25-Aug-2023</v>
      </c>
      <c r="B3639" s="1"/>
    </row>
    <row r="3640">
      <c r="A3640" s="1" t="str">
        <f>IFERROR(__xludf.DUMMYFUNCTION("""COMPUTED_VALUE"""),"119497;INF209K01R96;INF209KA1KR4;Aditya Birla Sun Life Short Term Fund-Quarterly-IDCW-Direct;11.1589;25-Aug-2023")</f>
        <v>119497;INF209K01R96;INF209KA1KR4;Aditya Birla Sun Life Short Term Fund-Quarterly-IDCW-Direct;11.1589;25-Aug-2023</v>
      </c>
      <c r="B3640" s="1"/>
    </row>
    <row r="3641">
      <c r="A3641" s="1"/>
      <c r="B3641" s="1"/>
    </row>
    <row r="3642">
      <c r="A3642" s="1" t="str">
        <f>IFERROR(__xludf.DUMMYFUNCTION("""COMPUTED_VALUE"""),"Axis Mutual Fund")</f>
        <v>Axis Mutual Fund</v>
      </c>
      <c r="B3642" s="1"/>
    </row>
    <row r="3643">
      <c r="A3643" s="1"/>
      <c r="B3643" s="1"/>
    </row>
    <row r="3644">
      <c r="A3644" s="1" t="str">
        <f>IFERROR(__xludf.DUMMYFUNCTION("""COMPUTED_VALUE"""),"120510;INF846K01EI1;-;Axis Short Term Fund - Direct Plan - Growth Option;28.8728;25-Aug-2023")</f>
        <v>120510;INF846K01EI1;-;Axis Short Term Fund - Direct Plan - Growth Option;28.8728;25-Aug-2023</v>
      </c>
      <c r="B3644" s="1"/>
    </row>
    <row r="3645">
      <c r="A3645" s="1" t="str">
        <f>IFERROR(__xludf.DUMMYFUNCTION("""COMPUTED_VALUE"""),"120511;INF846K01EJ9;INF846K01EK7;Axis Short Term Fund - Direct Plan - Monthly IDCW;10.0101;25-Aug-2023")</f>
        <v>120511;INF846K01EJ9;INF846K01EK7;Axis Short Term Fund - Direct Plan - Monthly IDCW;10.0101;25-Aug-2023</v>
      </c>
      <c r="B3645" s="1"/>
    </row>
    <row r="3646">
      <c r="A3646" s="1" t="str">
        <f>IFERROR(__xludf.DUMMYFUNCTION("""COMPUTED_VALUE"""),"133894;INF846K01RH5;INF846K01RI3;Axis Short Term Fund - Direct Plan - Regular IDCW;17.6662;25-Aug-2023")</f>
        <v>133894;INF846K01RH5;INF846K01RI3;Axis Short Term Fund - Direct Plan - Regular IDCW;17.6662;25-Aug-2023</v>
      </c>
      <c r="B3646" s="1"/>
    </row>
    <row r="3647">
      <c r="A3647" s="1" t="str">
        <f>IFERROR(__xludf.DUMMYFUNCTION("""COMPUTED_VALUE"""),"120512;INF846K01EL5;INF846K01EM3;Axis Short Term Fund - Direct Plan - Weekly IDCW;10.2573;25-Aug-2023")</f>
        <v>120512;INF846K01EL5;INF846K01EM3;Axis Short Term Fund - Direct Plan - Weekly IDCW;10.2573;25-Aug-2023</v>
      </c>
      <c r="B3647" s="1"/>
    </row>
    <row r="3648">
      <c r="A3648" s="1" t="str">
        <f>IFERROR(__xludf.DUMMYFUNCTION("""COMPUTED_VALUE"""),"128950;INF846K01NS1;-;Axis Short Term Fund - Regular Plan - Bonus Option;22.3737;04-May-2020")</f>
        <v>128950;INF846K01NS1;-;Axis Short Term Fund - Regular Plan - Bonus Option;22.3737;04-May-2020</v>
      </c>
      <c r="B3648" s="1"/>
    </row>
    <row r="3649">
      <c r="A3649" s="1" t="str">
        <f>IFERROR(__xludf.DUMMYFUNCTION("""COMPUTED_VALUE"""),"112354;INF846K01644;-;Axis Short Term Fund - Regular Plan - Growth Option;26.7270;25-Aug-2023")</f>
        <v>112354;INF846K01644;-;Axis Short Term Fund - Regular Plan - Growth Option;26.7270;25-Aug-2023</v>
      </c>
      <c r="B3649" s="1"/>
    </row>
    <row r="3650">
      <c r="A3650" s="1" t="str">
        <f>IFERROR(__xludf.DUMMYFUNCTION("""COMPUTED_VALUE"""),"112355;INF846K01651;INF846K01669;Axis Short Term Fund - Regular Plan - Monthly IDCW;10.1931;25-Aug-2023")</f>
        <v>112355;INF846K01651;INF846K01669;Axis Short Term Fund - Regular Plan - Monthly IDCW;10.1931;25-Aug-2023</v>
      </c>
      <c r="B3650" s="1"/>
    </row>
    <row r="3651">
      <c r="A3651" s="1" t="str">
        <f>IFERROR(__xludf.DUMMYFUNCTION("""COMPUTED_VALUE"""),"133895;INF846K01RJ1;INF846K01RK9;Axis Short Term Fund - Regular Plan - Regular IDCW;17.8799;25-Aug-2023")</f>
        <v>133895;INF846K01RJ1;INF846K01RK9;Axis Short Term Fund - Regular Plan - Regular IDCW;17.8799;25-Aug-2023</v>
      </c>
      <c r="B3651" s="1"/>
    </row>
    <row r="3652">
      <c r="A3652" s="1" t="str">
        <f>IFERROR(__xludf.DUMMYFUNCTION("""COMPUTED_VALUE"""),"112369;INF846K01677;INF846K01685;Axis Short Term Fund - Regular Plan - Weekly IDCW;10.4086;25-Aug-2023")</f>
        <v>112369;INF846K01677;INF846K01685;Axis Short Term Fund - Regular Plan - Weekly IDCW;10.4086;25-Aug-2023</v>
      </c>
      <c r="B3652" s="1"/>
    </row>
    <row r="3653">
      <c r="A3653" s="1" t="str">
        <f>IFERROR(__xludf.DUMMYFUNCTION("""COMPUTED_VALUE"""),"112721;INF846K01594;-;Axis Short Term Fund - Retail Plan - Growth Option;26.4269;25-Aug-2023")</f>
        <v>112721;INF846K01594;-;Axis Short Term Fund - Retail Plan - Growth Option;26.4269;25-Aug-2023</v>
      </c>
      <c r="B3653" s="1"/>
    </row>
    <row r="3654">
      <c r="A3654" s="1" t="str">
        <f>IFERROR(__xludf.DUMMYFUNCTION("""COMPUTED_VALUE"""),"112723;INF846K01602;INF846K01610;Axis Short Term Fund - Retail Plan - Monthly IDCW;10.0087;25-Aug-2023")</f>
        <v>112723;INF846K01602;INF846K01610;Axis Short Term Fund - Retail Plan - Monthly IDCW;10.0087;25-Aug-2023</v>
      </c>
      <c r="B3654" s="1"/>
    </row>
    <row r="3655">
      <c r="A3655" s="1" t="str">
        <f>IFERROR(__xludf.DUMMYFUNCTION("""COMPUTED_VALUE"""),"112722;INF846K01628;INF846K01636;Axis Short Term Fund - Retail Plan - Weekly IDCW;10.2387;25-Aug-2023")</f>
        <v>112722;INF846K01628;INF846K01636;Axis Short Term Fund - Retail Plan - Weekly IDCW;10.2387;25-Aug-2023</v>
      </c>
      <c r="B3655" s="1"/>
    </row>
    <row r="3656">
      <c r="A3656" s="1"/>
      <c r="B3656" s="1"/>
    </row>
    <row r="3657">
      <c r="A3657" s="1" t="str">
        <f>IFERROR(__xludf.DUMMYFUNCTION("""COMPUTED_VALUE"""),"Bandhan Mutual Fund")</f>
        <v>Bandhan Mutual Fund</v>
      </c>
      <c r="B3657" s="1"/>
    </row>
    <row r="3658">
      <c r="A3658" s="1"/>
      <c r="B3658" s="1"/>
    </row>
    <row r="3659">
      <c r="A3659" s="1" t="str">
        <f>IFERROR(__xludf.DUMMYFUNCTION("""COMPUTED_VALUE"""),"143369;INF194KA11L7;INF194KA12L5;BANDHAN Bond Fund - Short Term - Direct Plan - Annual IDCW;10.9811;25-Aug-2023")</f>
        <v>143369;INF194KA11L7;INF194KA12L5;BANDHAN Bond Fund - Short Term - Direct Plan - Annual IDCW;10.9811;25-Aug-2023</v>
      </c>
      <c r="B3659" s="1"/>
    </row>
    <row r="3660">
      <c r="A3660" s="1" t="str">
        <f>IFERROR(__xludf.DUMMYFUNCTION("""COMPUTED_VALUE"""),"143367;INF194KA18K4;INF194KA19K2;BANDHAN Bond Fund - Short Term - Direct Plan - Quarterly IDCW;10.5069;25-Aug-2023")</f>
        <v>143367;INF194KA18K4;INF194KA19K2;BANDHAN Bond Fund - Short Term - Direct Plan - Quarterly IDCW;10.5069;25-Aug-2023</v>
      </c>
      <c r="B3660" s="1"/>
    </row>
    <row r="3661">
      <c r="A3661" s="1" t="str">
        <f>IFERROR(__xludf.DUMMYFUNCTION("""COMPUTED_VALUE"""),"143368;INF194KA15K0;INF194KA16K8;BANDHAN Bond Fund - Short Term - Regular Plan - Annual IDCW;10.7584;25-Aug-2023")</f>
        <v>143368;INF194KA15K0;INF194KA16K8;BANDHAN Bond Fund - Short Term - Regular Plan - Annual IDCW;10.7584;25-Aug-2023</v>
      </c>
      <c r="B3661" s="1"/>
    </row>
    <row r="3662">
      <c r="A3662" s="1" t="str">
        <f>IFERROR(__xludf.DUMMYFUNCTION("""COMPUTED_VALUE"""),"108713;INF194K01HK5;INF194K01HJ7;BANDHAN Bond Fund - Short Term - Regular Plan - Fortnightly IDCW;10.4316;25-Aug-2023")</f>
        <v>108713;INF194K01HK5;INF194K01HJ7;BANDHAN Bond Fund - Short Term - Regular Plan - Fortnightly IDCW;10.4316;25-Aug-2023</v>
      </c>
      <c r="B3662" s="1"/>
    </row>
    <row r="3663">
      <c r="A3663" s="1" t="str">
        <f>IFERROR(__xludf.DUMMYFUNCTION("""COMPUTED_VALUE"""),"131383;INF194KA1SO1;INF194KA1SP8;BANDHAN Bond Fund - Short Term - Regular Plan - Periodic IDCW;18.3353;25-Aug-2023")</f>
        <v>131383;INF194KA1SO1;INF194KA1SP8;BANDHAN Bond Fund - Short Term - Regular Plan - Periodic IDCW;18.3353;25-Aug-2023</v>
      </c>
      <c r="B3663" s="1"/>
    </row>
    <row r="3664">
      <c r="A3664" s="1" t="str">
        <f>IFERROR(__xludf.DUMMYFUNCTION("""COMPUTED_VALUE"""),"143366;INF194KA12K7;INF194KA13K5;BANDHAN Bond Fund - Short Term - Regular Plan - Quarterly IDCW;10.5904;25-Aug-2023")</f>
        <v>143366;INF194KA12K7;INF194KA13K5;BANDHAN Bond Fund - Short Term - Regular Plan - Quarterly IDCW;10.5904;25-Aug-2023</v>
      </c>
      <c r="B3664" s="1"/>
    </row>
    <row r="3665">
      <c r="A3665" s="1" t="str">
        <f>IFERROR(__xludf.DUMMYFUNCTION("""COMPUTED_VALUE"""),"108716;INF194K01HR0;INF194K01HQ2;BANDHAN Bond Fund - Short Term Plan - Plan B - Fortnightly Dividend;14.25207048;17-Feb-2017")</f>
        <v>108716;INF194K01HR0;INF194K01HQ2;BANDHAN Bond Fund - Short Term Plan - Plan B - Fortnightly Dividend;14.25207048;17-Feb-2017</v>
      </c>
      <c r="B3665" s="1"/>
    </row>
    <row r="3666">
      <c r="A3666" s="1" t="str">
        <f>IFERROR(__xludf.DUMMYFUNCTION("""COMPUTED_VALUE"""),"108714;INF194K01HV2;INF194K01HU4;BANDHAN Bond Fund - Short Term Plan - Plan C  - Fortnightly Dividend;11.21885202;17-Feb-2017")</f>
        <v>108714;INF194K01HV2;INF194K01HU4;BANDHAN Bond Fund - Short Term Plan - Plan C  - Fortnightly Dividend;11.21885202;17-Feb-2017</v>
      </c>
      <c r="B3666" s="1"/>
    </row>
    <row r="3667">
      <c r="A3667" s="1" t="str">
        <f>IFERROR(__xludf.DUMMYFUNCTION("""COMPUTED_VALUE"""),"108717;INF194K01HT6;-;BANDHAN Bond Fund - Short Term Plan - Plan C  - Growth;18.70210837;17-Feb-2017")</f>
        <v>108717;INF194K01HT6;-;BANDHAN Bond Fund - Short Term Plan - Plan C  - Growth;18.70210837;17-Feb-2017</v>
      </c>
      <c r="B3667" s="1"/>
    </row>
    <row r="3668">
      <c r="A3668" s="1" t="str">
        <f>IFERROR(__xludf.DUMMYFUNCTION("""COMPUTED_VALUE"""),"108718;INF194K01HY6;INF194K01HX8;BANDHAN Bond Fund - Short Term Plan - Plan C  - Monthly Dividend;14.74155325;17-Feb-2017")</f>
        <v>108718;INF194K01HY6;INF194K01HX8;BANDHAN Bond Fund - Short Term Plan - Plan C  - Monthly Dividend;14.74155325;17-Feb-2017</v>
      </c>
      <c r="B3668" s="1"/>
    </row>
    <row r="3669">
      <c r="A3669" s="1" t="str">
        <f>IFERROR(__xludf.DUMMYFUNCTION("""COMPUTED_VALUE"""),"108719;INF194K01IA4;-;BANDHAN Bond Fund - Short Term Plan - Plan D - Growth;22.16392015;17-Feb-2017")</f>
        <v>108719;INF194K01IA4;-;BANDHAN Bond Fund - Short Term Plan - Plan D - Growth;22.16392015;17-Feb-2017</v>
      </c>
      <c r="B3669" s="1"/>
    </row>
    <row r="3670">
      <c r="A3670" s="1" t="str">
        <f>IFERROR(__xludf.DUMMYFUNCTION("""COMPUTED_VALUE"""),"108720;INF194K01IF3;INF194K01IE6;BANDHAN Bond Fund - Short Term Plan - Plan D - Monthly Dividend;17.71169997;17-Feb-2017")</f>
        <v>108720;INF194K01IF3;INF194K01IE6;BANDHAN Bond Fund - Short Term Plan - Plan D - Monthly Dividend;17.71169997;17-Feb-2017</v>
      </c>
      <c r="B3670" s="1"/>
    </row>
    <row r="3671">
      <c r="A3671" s="1" t="str">
        <f>IFERROR(__xludf.DUMMYFUNCTION("""COMPUTED_VALUE"""),"108715;INF194K01IC0;INF194K01IB2;BANDHAN Bond Fund - Short Term Plan - Plan D- Fortnightly Dividend;12.03375677;17-Feb-2017")</f>
        <v>108715;INF194K01IC0;INF194K01IB2;BANDHAN Bond Fund - Short Term Plan - Plan D- Fortnightly Dividend;12.03375677;17-Feb-2017</v>
      </c>
      <c r="B3671" s="1"/>
    </row>
    <row r="3672">
      <c r="A3672" s="1" t="str">
        <f>IFERROR(__xludf.DUMMYFUNCTION("""COMPUTED_VALUE"""),"118405;INF194K01U56;INF194K01U49;BANDHAN Bond Fund - Short Term-Direct Plan-Fortnightly IDCW;10.3895;25-Aug-2023")</f>
        <v>118405;INF194K01U56;INF194K01U49;BANDHAN Bond Fund - Short Term-Direct Plan-Fortnightly IDCW;10.3895;25-Aug-2023</v>
      </c>
      <c r="B3672" s="1"/>
    </row>
    <row r="3673">
      <c r="A3673" s="1" t="str">
        <f>IFERROR(__xludf.DUMMYFUNCTION("""COMPUTED_VALUE"""),"118407;INF194K01U07;-;BANDHAN Bond Fund - Short Term-Direct Plan-Growth;52.4457;25-Aug-2023")</f>
        <v>118407;INF194K01U07;-;BANDHAN Bond Fund - Short Term-Direct Plan-Growth;52.4457;25-Aug-2023</v>
      </c>
      <c r="B3673" s="1"/>
    </row>
    <row r="3674">
      <c r="A3674" s="1" t="str">
        <f>IFERROR(__xludf.DUMMYFUNCTION("""COMPUTED_VALUE"""),"118406;INF194K01U23;INF194K01U15;BANDHAN Bond Fund - Short Term-Direct Plan-Monthly IDCW;10.4054;25-Aug-2023")</f>
        <v>118406;INF194K01U23;INF194K01U15;BANDHAN Bond Fund - Short Term-Direct Plan-Monthly IDCW;10.4054;25-Aug-2023</v>
      </c>
      <c r="B3674" s="1"/>
    </row>
    <row r="3675">
      <c r="A3675" s="1" t="str">
        <f>IFERROR(__xludf.DUMMYFUNCTION("""COMPUTED_VALUE"""),"131382;INF194KA1SR4;INF194KA1SS2;BANDHAN Bond Fund - Short Term-Direct Plan-Periodic IDCW;18.9332;25-Aug-2023")</f>
        <v>131382;INF194KA1SR4;INF194KA1SS2;BANDHAN Bond Fund - Short Term-Direct Plan-Periodic IDCW;18.9332;25-Aug-2023</v>
      </c>
      <c r="B3675" s="1"/>
    </row>
    <row r="3676">
      <c r="A3676" s="1"/>
      <c r="B3676" s="1"/>
    </row>
    <row r="3677">
      <c r="A3677" s="1" t="str">
        <f>IFERROR(__xludf.DUMMYFUNCTION("""COMPUTED_VALUE"""),"Bank of India Mutual Fund")</f>
        <v>Bank of India Mutual Fund</v>
      </c>
      <c r="B3677" s="1"/>
    </row>
    <row r="3678">
      <c r="A3678" s="1"/>
      <c r="B3678" s="1"/>
    </row>
    <row r="3679">
      <c r="A3679" s="1" t="str">
        <f>IFERROR(__xludf.DUMMYFUNCTION("""COMPUTED_VALUE"""),"119382;INF761K01736;-;BANK OF INDIA Short Term Income Fund-Direct Plan- Growth;24.8232;25-Aug-2023")</f>
        <v>119382;INF761K01736;-;BANK OF INDIA Short Term Income Fund-Direct Plan- Growth;24.8232;25-Aug-2023</v>
      </c>
      <c r="B3679" s="1"/>
    </row>
    <row r="3680">
      <c r="A3680" s="1" t="str">
        <f>IFERROR(__xludf.DUMMYFUNCTION("""COMPUTED_VALUE"""),"119383;INF761K01751;INF761K01744;BANK OF INDIA Short Term Income Fund-Direct Plan- Monthly IDCW;12.0702;25-Aug-2023")</f>
        <v>119383;INF761K01751;INF761K01744;BANK OF INDIA Short Term Income Fund-Direct Plan- Monthly IDCW;12.0702;25-Aug-2023</v>
      </c>
      <c r="B3680" s="1"/>
    </row>
    <row r="3681">
      <c r="A3681" s="1" t="str">
        <f>IFERROR(__xludf.DUMMYFUNCTION("""COMPUTED_VALUE"""),"119384;INF761K01777;INF761K01769;BANK OF INDIA Short Term Income Fund-Direct Plan- Quarterly IDCW;11.4447;25-Aug-2023")</f>
        <v>119384;INF761K01777;INF761K01769;BANK OF INDIA Short Term Income Fund-Direct Plan- Quarterly IDCW;11.4447;25-Aug-2023</v>
      </c>
      <c r="B3681" s="1"/>
    </row>
    <row r="3682">
      <c r="A3682" s="1" t="str">
        <f>IFERROR(__xludf.DUMMYFUNCTION("""COMPUTED_VALUE"""),"111585;INF761K01579;-;BANK OF INDIA Short Term Income Fund-Regular Plan- Growth;23.0636;25-Aug-2023")</f>
        <v>111585;INF761K01579;-;BANK OF INDIA Short Term Income Fund-Regular Plan- Growth;23.0636;25-Aug-2023</v>
      </c>
      <c r="B3682" s="1"/>
    </row>
    <row r="3683">
      <c r="A3683" s="1" t="str">
        <f>IFERROR(__xludf.DUMMYFUNCTION("""COMPUTED_VALUE"""),"111589;INF761K01595;INF761K01587;BANK OF INDIA Short Term Income Fund-Regular Plan- Monthly IDCW;11.8346;25-Aug-2023")</f>
        <v>111589;INF761K01595;INF761K01587;BANK OF INDIA Short Term Income Fund-Regular Plan- Monthly IDCW;11.8346;25-Aug-2023</v>
      </c>
      <c r="B3683" s="1"/>
    </row>
    <row r="3684">
      <c r="A3684" s="1" t="str">
        <f>IFERROR(__xludf.DUMMYFUNCTION("""COMPUTED_VALUE"""),"111590;INF761K01611;INF761K01603;BANK OF INDIA Short Term Income Fund-Regular Plan- Quarterly IDCW;11.6625;25-Aug-2023")</f>
        <v>111590;INF761K01611;INF761K01603;BANK OF INDIA Short Term Income Fund-Regular Plan- Quarterly IDCW;11.6625;25-Aug-2023</v>
      </c>
      <c r="B3684" s="1"/>
    </row>
    <row r="3685">
      <c r="A3685" s="1"/>
      <c r="B3685" s="1"/>
    </row>
    <row r="3686">
      <c r="A3686" s="1" t="str">
        <f>IFERROR(__xludf.DUMMYFUNCTION("""COMPUTED_VALUE"""),"Baroda BNP Paribas Mutual Fund")</f>
        <v>Baroda BNP Paribas Mutual Fund</v>
      </c>
      <c r="B3686" s="1"/>
    </row>
    <row r="3687">
      <c r="A3687" s="1"/>
      <c r="B3687" s="1"/>
    </row>
    <row r="3688">
      <c r="A3688" s="1" t="str">
        <f>IFERROR(__xludf.DUMMYFUNCTION("""COMPUTED_VALUE"""),"119400;INF955L01BD5;-;Baroda BNP Paribas Short Duration Fund - Direct Plan - Growth Option;27.2421;25-Aug-2023")</f>
        <v>119400;INF955L01BD5;-;Baroda BNP Paribas Short Duration Fund - Direct Plan - Growth Option;27.2421;25-Aug-2023</v>
      </c>
      <c r="B3688" s="1"/>
    </row>
    <row r="3689">
      <c r="A3689" s="1" t="str">
        <f>IFERROR(__xludf.DUMMYFUNCTION("""COMPUTED_VALUE"""),"119399;INF955L01BB9;-;Baroda BNP Paribas Short Duration Fund - Direct Plan - Monthly IDCW Option;10.2633;25-Aug-2023")</f>
        <v>119399;INF955L01BB9;-;Baroda BNP Paribas Short Duration Fund - Direct Plan - Monthly IDCW Option;10.2633;25-Aug-2023</v>
      </c>
      <c r="B3689" s="1"/>
    </row>
    <row r="3690">
      <c r="A3690" s="1" t="str">
        <f>IFERROR(__xludf.DUMMYFUNCTION("""COMPUTED_VALUE"""),"140463;INF955L01GU8;-;Baroda BNP Paribas Short Duration Fund - Direct Plan - Quarterly IDCW;11.0710;25-Aug-2023")</f>
        <v>140463;INF955L01GU8;-;Baroda BNP Paribas Short Duration Fund - Direct Plan - Quarterly IDCW;11.0710;25-Aug-2023</v>
      </c>
      <c r="B3690" s="1"/>
    </row>
    <row r="3691">
      <c r="A3691" s="1" t="str">
        <f>IFERROR(__xludf.DUMMYFUNCTION("""COMPUTED_VALUE"""),"113036;INF955L01153;-;Baroda BNP Paribas Short Duration Fund - Regular Plan - Growth Option;25.4124;25-Aug-2023")</f>
        <v>113036;INF955L01153;-;Baroda BNP Paribas Short Duration Fund - Regular Plan - Growth Option;25.4124;25-Aug-2023</v>
      </c>
      <c r="B3691" s="1"/>
    </row>
    <row r="3692">
      <c r="A3692" s="1" t="str">
        <f>IFERROR(__xludf.DUMMYFUNCTION("""COMPUTED_VALUE"""),"113037;INF955L01138;INF955L01146;Baroda BNP Paribas Short Duration Fund - Regular Plan - Monthly IDCW Option;10.2028;25-Aug-2023")</f>
        <v>113037;INF955L01138;INF955L01146;Baroda BNP Paribas Short Duration Fund - Regular Plan - Monthly IDCW Option;10.2028;25-Aug-2023</v>
      </c>
      <c r="B3692" s="1"/>
    </row>
    <row r="3693">
      <c r="A3693" s="1" t="str">
        <f>IFERROR(__xludf.DUMMYFUNCTION("""COMPUTED_VALUE"""),"140465;INF955L01GS2;-;Baroda BNP Paribas Short Duration Fund - Regular Plan - Quarterly IDCW;10.6350;25-Aug-2023")</f>
        <v>140465;INF955L01GS2;-;Baroda BNP Paribas Short Duration Fund - Regular Plan - Quarterly IDCW;10.6350;25-Aug-2023</v>
      </c>
      <c r="B3693" s="1"/>
    </row>
    <row r="3694">
      <c r="A3694" s="1"/>
      <c r="B3694" s="1"/>
    </row>
    <row r="3695">
      <c r="A3695" s="1" t="str">
        <f>IFERROR(__xludf.DUMMYFUNCTION("""COMPUTED_VALUE"""),"Canara Robeco Mutual Fund")</f>
        <v>Canara Robeco Mutual Fund</v>
      </c>
      <c r="B3695" s="1"/>
    </row>
    <row r="3696">
      <c r="A3696" s="1"/>
      <c r="B3696" s="1"/>
    </row>
    <row r="3697">
      <c r="A3697" s="1" t="str">
        <f>IFERROR(__xludf.DUMMYFUNCTION("""COMPUTED_VALUE"""),"118320;INF760K01DX5;-;CANARA ROBECO SHORT DURATION FUND - DIRECT PLAN - GROWTH OPTION;24.0339;25-Aug-2023")</f>
        <v>118320;INF760K01DX5;-;CANARA ROBECO SHORT DURATION FUND - DIRECT PLAN - GROWTH OPTION;24.0339;25-Aug-2023</v>
      </c>
      <c r="B3697" s="1"/>
    </row>
    <row r="3698">
      <c r="A3698" s="1" t="str">
        <f>IFERROR(__xludf.DUMMYFUNCTION("""COMPUTED_VALUE"""),"118321;INF760K01DV9;INF760K01DW7;CANARA ROBECO SHORT DURATION FUND - DIRECT PLAN - MONTHLY IDCW (Payout/Reinvestment);17.0103;25-Aug-2023")</f>
        <v>118321;INF760K01DV9;INF760K01DW7;CANARA ROBECO SHORT DURATION FUND - DIRECT PLAN - MONTHLY IDCW (Payout/Reinvestment);17.0103;25-Aug-2023</v>
      </c>
      <c r="B3698" s="1"/>
    </row>
    <row r="3699">
      <c r="A3699" s="1" t="str">
        <f>IFERROR(__xludf.DUMMYFUNCTION("""COMPUTED_VALUE"""),"118322;INF760K01DY3;INF760K01DZ0;CANARA ROBECO SHORT DURATION FUND - DIRECT PLAN - QUARTERLY IDCW (Payout/Reinvestment);16.4148;25-Aug-2023")</f>
        <v>118322;INF760K01DY3;INF760K01DZ0;CANARA ROBECO SHORT DURATION FUND - DIRECT PLAN - QUARTERLY IDCW (Payout/Reinvestment);16.4148;25-Aug-2023</v>
      </c>
      <c r="B3699" s="1"/>
    </row>
    <row r="3700">
      <c r="A3700" s="1" t="str">
        <f>IFERROR(__xludf.DUMMYFUNCTION("""COMPUTED_VALUE"""),"115077;INF760K01BM2;-;CANARA ROBECO SHORT DURATION FUND - REGULAR PLAN - GROWTH OPTION;22.2798;25-Aug-2023")</f>
        <v>115077;INF760K01BM2;-;CANARA ROBECO SHORT DURATION FUND - REGULAR PLAN - GROWTH OPTION;22.2798;25-Aug-2023</v>
      </c>
      <c r="B3700" s="1"/>
    </row>
    <row r="3701">
      <c r="A3701" s="1" t="str">
        <f>IFERROR(__xludf.DUMMYFUNCTION("""COMPUTED_VALUE"""),"115078;INF760K01BO8;INF760K01BN0;CANARA ROBECO SHORT DURATION FUND - REGULAR PLAN - MONTHLY IDCW (Payout/Reinvestment);15.0745;25-Aug-2023")</f>
        <v>115078;INF760K01BO8;INF760K01BN0;CANARA ROBECO SHORT DURATION FUND - REGULAR PLAN - MONTHLY IDCW (Payout/Reinvestment);15.0745;25-Aug-2023</v>
      </c>
      <c r="B3701" s="1"/>
    </row>
    <row r="3702">
      <c r="A3702" s="1" t="str">
        <f>IFERROR(__xludf.DUMMYFUNCTION("""COMPUTED_VALUE"""),"115079;INF760K01BQ3;INF760K01BP5;CANARA ROBECO SHORT DURATION FUND - REGULAR PLAN - QUARTERLY IDCW (Payout/Reinvestment);14.9183;25-Aug-2023")</f>
        <v>115079;INF760K01BQ3;INF760K01BP5;CANARA ROBECO SHORT DURATION FUND - REGULAR PLAN - QUARTERLY IDCW (Payout/Reinvestment);14.9183;25-Aug-2023</v>
      </c>
      <c r="B3702" s="1"/>
    </row>
    <row r="3703">
      <c r="A3703" s="1"/>
      <c r="B3703" s="1"/>
    </row>
    <row r="3704">
      <c r="A3704" s="1" t="str">
        <f>IFERROR(__xludf.DUMMYFUNCTION("""COMPUTED_VALUE"""),"DSP Mutual Fund")</f>
        <v>DSP Mutual Fund</v>
      </c>
      <c r="B3704" s="1"/>
    </row>
    <row r="3705">
      <c r="A3705" s="1"/>
      <c r="B3705" s="1"/>
    </row>
    <row r="3706">
      <c r="A3706" s="1" t="str">
        <f>IFERROR(__xludf.DUMMYFUNCTION("""COMPUTED_VALUE"""),"119226;INF740K01NJ5;-;DSP Short Term Fund - Direct Plan - Growth;43.6174;25-Aug-2023")</f>
        <v>119226;INF740K01NJ5;-;DSP Short Term Fund - Direct Plan - Growth;43.6174;25-Aug-2023</v>
      </c>
      <c r="B3706" s="1"/>
    </row>
    <row r="3707">
      <c r="A3707" s="1" t="str">
        <f>IFERROR(__xludf.DUMMYFUNCTION("""COMPUTED_VALUE"""),"119222;INF740K01NK3;INF740K01NN7;DSP Short Term Fund - Direct Plan - IDCW;12.2527;25-Aug-2023")</f>
        <v>119222;INF740K01NK3;INF740K01NN7;DSP Short Term Fund - Direct Plan - IDCW;12.2527;25-Aug-2023</v>
      </c>
      <c r="B3707" s="1"/>
    </row>
    <row r="3708">
      <c r="A3708" s="1" t="str">
        <f>IFERROR(__xludf.DUMMYFUNCTION("""COMPUTED_VALUE"""),"119224;INF740K01NL1;INF740K01NM9;DSP Short Term Fund - Direct Plan - IDCW - Monthly;11.5805;25-Aug-2023")</f>
        <v>119224;INF740K01NL1;INF740K01NM9;DSP Short Term Fund - Direct Plan - IDCW - Monthly;11.5805;25-Aug-2023</v>
      </c>
      <c r="B3708" s="1"/>
    </row>
    <row r="3709">
      <c r="A3709" s="1" t="str">
        <f>IFERROR(__xludf.DUMMYFUNCTION("""COMPUTED_VALUE"""),"119223;INF740KA1PD9;INF740KA1PE7;DSP Short Term Fund - Direct Plan - IDCW - Weekly;10.1930;25-Aug-2023")</f>
        <v>119223;INF740KA1PD9;INF740KA1PE7;DSP Short Term Fund - Direct Plan - IDCW - Weekly;10.1930;25-Aug-2023</v>
      </c>
      <c r="B3709" s="1"/>
    </row>
    <row r="3710">
      <c r="A3710" s="1" t="str">
        <f>IFERROR(__xludf.DUMMYFUNCTION("""COMPUTED_VALUE"""),"101306;INF740K01664;INF740K01AG8;DSP Short Term Fund - IDCW - Monthly;11.4905;25-Aug-2023")</f>
        <v>101306;INF740K01664;INF740K01AG8;DSP Short Term Fund - IDCW - Monthly;11.4905;25-Aug-2023</v>
      </c>
      <c r="B3710" s="1"/>
    </row>
    <row r="3711">
      <c r="A3711" s="1" t="str">
        <f>IFERROR(__xludf.DUMMYFUNCTION("""COMPUTED_VALUE"""),"101304;INF740K01656;-;DSP Short Term Fund - Regular Plan - Growth;40.6005;25-Aug-2023")</f>
        <v>101304;INF740K01656;-;DSP Short Term Fund - Regular Plan - Growth;40.6005;25-Aug-2023</v>
      </c>
      <c r="B3711" s="1"/>
    </row>
    <row r="3712">
      <c r="A3712" s="1" t="str">
        <f>IFERROR(__xludf.DUMMYFUNCTION("""COMPUTED_VALUE"""),"101305;INF740K01649;INF740K01AF0;DSP Short Term Fund - Regular Plan - IDCW;12.2738;25-Aug-2023")</f>
        <v>101305;INF740K01649;INF740K01AF0;DSP Short Term Fund - Regular Plan - IDCW;12.2738;25-Aug-2023</v>
      </c>
      <c r="B3712" s="1"/>
    </row>
    <row r="3713">
      <c r="A3713" s="1" t="str">
        <f>IFERROR(__xludf.DUMMYFUNCTION("""COMPUTED_VALUE"""),"101303;INF740KA1PF4;-;DSP Short Term Fund - Regular Plan - Regular Plan - IDCW - Weekly;10.1928;25-Aug-2023")</f>
        <v>101303;INF740KA1PF4;-;DSP Short Term Fund - Regular Plan - Regular Plan - IDCW - Weekly;10.1928;25-Aug-2023</v>
      </c>
      <c r="B3713" s="1"/>
    </row>
    <row r="3714">
      <c r="A3714" s="1"/>
      <c r="B3714" s="1"/>
    </row>
    <row r="3715">
      <c r="A3715" s="1" t="str">
        <f>IFERROR(__xludf.DUMMYFUNCTION("""COMPUTED_VALUE"""),"Franklin Templeton Mutual Fund")</f>
        <v>Franklin Templeton Mutual Fund</v>
      </c>
      <c r="B3715" s="1"/>
    </row>
    <row r="3716">
      <c r="A3716" s="1"/>
      <c r="B3716" s="1"/>
    </row>
    <row r="3717">
      <c r="A3717" s="1" t="str">
        <f>IFERROR(__xludf.DUMMYFUNCTION("""COMPUTED_VALUE"""),"148313;-;-;Franklin India Short Tem Income Plan - Segregated Portfolio 3 (9.50% Yes Bank Ltd CO 23Dec21) - Direct Retail Plan Growth Option;0.0000;25-Aug-2023")</f>
        <v>148313;-;-;Franklin India Short Tem Income Plan - Segregated Portfolio 3 (9.50% Yes Bank Ltd CO 23Dec21) - Direct Retail Plan Growth Option;0.0000;25-Aug-2023</v>
      </c>
      <c r="B3717" s="1"/>
    </row>
    <row r="3718">
      <c r="A3718" s="1" t="str">
        <f>IFERROR(__xludf.DUMMYFUNCTION("""COMPUTED_VALUE"""),"118567;INF090I01GN5;INF090I01GO3;Franklin India Short Term Income Plan -  Retail Plan - Direct - Monthly - IDCW;1465.7500;25-Aug-2023")</f>
        <v>118567;INF090I01GN5;INF090I01GO3;Franklin India Short Term Income Plan -  Retail Plan - Direct - Monthly - IDCW;1465.7500;25-Aug-2023</v>
      </c>
      <c r="B3718" s="1"/>
    </row>
    <row r="3719">
      <c r="A3719" s="1" t="str">
        <f>IFERROR(__xludf.DUMMYFUNCTION("""COMPUTED_VALUE"""),"118566;INF090I01GL9;INF090I01GM7;Franklin India Short Term Income Plan -  Retail Plan - Direct - Quarterly - IDCW;1526.9039;25-Aug-2023")</f>
        <v>118566;INF090I01GL9;INF090I01GM7;Franklin India Short Term Income Plan -  Retail Plan - Direct - Quarterly - IDCW;1526.9039;25-Aug-2023</v>
      </c>
      <c r="B3719" s="1"/>
    </row>
    <row r="3720">
      <c r="A3720" s="1" t="str">
        <f>IFERROR(__xludf.DUMMYFUNCTION("""COMPUTED_VALUE"""),"118568;-;INF090I01GP0;Franklin India Short Term Income Plan -  Retail Plan - Direct - Weekly - IDCW;1240.3343;25-Aug-2023")</f>
        <v>118568;-;INF090I01GP0;Franklin India Short Term Income Plan -  Retail Plan - Direct - Weekly - IDCW;1240.3343;25-Aug-2023</v>
      </c>
      <c r="B3720" s="1"/>
    </row>
    <row r="3721">
      <c r="A3721" s="1" t="str">
        <f>IFERROR(__xludf.DUMMYFUNCTION("""COMPUTED_VALUE"""),"101236;INF090I01338;INF090I01346;Franklin India Short Term Income Plan -  Retail Plan - Monthly - IDCW;1436.9029;25-Aug-2023")</f>
        <v>101236;INF090I01338;INF090I01346;Franklin India Short Term Income Plan -  Retail Plan - Monthly - IDCW;1436.9029;25-Aug-2023</v>
      </c>
      <c r="B3721" s="1"/>
    </row>
    <row r="3722">
      <c r="A3722" s="1" t="str">
        <f>IFERROR(__xludf.DUMMYFUNCTION("""COMPUTED_VALUE"""),"101238;INF090I01312;INF090I01320;Franklin India Short Term Income Plan -  Retail Plan - Quarterly - IDCW;1494.8231;25-Aug-2023")</f>
        <v>101238;INF090I01312;INF090I01320;Franklin India Short Term Income Plan -  Retail Plan - Quarterly - IDCW;1494.8231;25-Aug-2023</v>
      </c>
      <c r="B3722" s="1"/>
    </row>
    <row r="3723">
      <c r="A3723" s="1" t="str">
        <f>IFERROR(__xludf.DUMMYFUNCTION("""COMPUTED_VALUE"""),"101242;-;INF090I01353;Franklin India Short Term Income Plan -  Retail Plan - Weekly - IDCW;1301.4839;25-Aug-2023")</f>
        <v>101242;-;INF090I01353;Franklin India Short Term Income Plan -  Retail Plan - Weekly - IDCW;1301.4839;25-Aug-2023</v>
      </c>
      <c r="B3723" s="1"/>
    </row>
    <row r="3724">
      <c r="A3724" s="1" t="str">
        <f>IFERROR(__xludf.DUMMYFUNCTION("""COMPUTED_VALUE"""),"118565;INF090I01GK1;-;Franklin India SHORT TERM INCOME PLAN - Direct - GROWTH;5168.6698;25-Aug-2023")</f>
        <v>118565;INF090I01GK1;-;Franklin India SHORT TERM INCOME PLAN - Direct - GROWTH;5168.6698;25-Aug-2023</v>
      </c>
      <c r="B3724" s="1"/>
    </row>
    <row r="3725">
      <c r="A3725" s="1" t="str">
        <f>IFERROR(__xludf.DUMMYFUNCTION("""COMPUTED_VALUE"""),"148314;INF090I01VR5;-;Franklin India Short Term Income Plan - Segregated Portfolio 3 (9.50% Yes Bank Ltd CO 23Dec21) - Institutional Plan Growth Option;0.0000;25-Aug-2023")</f>
        <v>148314;INF090I01VR5;-;Franklin India Short Term Income Plan - Segregated Portfolio 3 (9.50% Yes Bank Ltd CO 23Dec21) - Institutional Plan Growth Option;0.0000;25-Aug-2023</v>
      </c>
      <c r="B3725" s="1"/>
    </row>
    <row r="3726">
      <c r="A3726" s="1" t="str">
        <f>IFERROR(__xludf.DUMMYFUNCTION("""COMPUTED_VALUE"""),"148318;INF090I01VN4;-;Franklin India Short Term Income Plan - Segregated Portfolio 3 (9.50% Yes Bank Ltd CO 23Dec21) - Retail Plan Growth Option;0.0000;25-Aug-2023")</f>
        <v>148318;INF090I01VN4;-;Franklin India Short Term Income Plan - Segregated Portfolio 3 (9.50% Yes Bank Ltd CO 23Dec21) - Retail Plan Growth Option;0.0000;25-Aug-2023</v>
      </c>
      <c r="B3726" s="1"/>
    </row>
    <row r="3727">
      <c r="A3727" s="1" t="str">
        <f>IFERROR(__xludf.DUMMYFUNCTION("""COMPUTED_VALUE"""),"148013;INF090I01UX5;-;Franklin India Short term Income Plan- Institutional Plan- Segregated Portfolio 2- 10.90% Vodafone Idea Ltd 02Sep2023-Growth Option;81.6554;25-Aug-2023")</f>
        <v>148013;INF090I01UX5;-;Franklin India Short term Income Plan- Institutional Plan- Segregated Portfolio 2- 10.90% Vodafone Idea Ltd 02Sep2023-Growth Option;81.6554;25-Aug-2023</v>
      </c>
      <c r="B3727" s="1"/>
    </row>
    <row r="3728">
      <c r="A3728" s="1" t="str">
        <f>IFERROR(__xludf.DUMMYFUNCTION("""COMPUTED_VALUE"""),"148015;INF090I01UY3;-;Franklin India Short term Income Plan- Retail Plan- Segregated Portfolio 2- 10.90% Vodafone Idea Ltd 02Sep2023-Direct-Growth Option;104.1961;25-Aug-2023")</f>
        <v>148015;INF090I01UY3;-;Franklin India Short term Income Plan- Retail Plan- Segregated Portfolio 2- 10.90% Vodafone Idea Ltd 02Sep2023-Direct-Growth Option;104.1961;25-Aug-2023</v>
      </c>
      <c r="B3728" s="1"/>
    </row>
    <row r="3729">
      <c r="A3729" s="1" t="str">
        <f>IFERROR(__xludf.DUMMYFUNCTION("""COMPUTED_VALUE"""),"148010;INF090I01UT3;-;Franklin India Short term Income Plan- Retail Plan- Segregated Portfolio 2- 10.90% Vodafone Idea Ltd 02Sep2023-Growth Option;98.6581;25-Aug-2023")</f>
        <v>148010;INF090I01UT3;-;Franklin India Short term Income Plan- Retail Plan- Segregated Portfolio 2- 10.90% Vodafone Idea Ltd 02Sep2023-Growth Option;98.6581;25-Aug-2023</v>
      </c>
      <c r="B3729" s="1"/>
    </row>
    <row r="3730">
      <c r="A3730" s="1" t="str">
        <f>IFERROR(__xludf.DUMMYFUNCTION("""COMPUTED_VALUE"""),"148004;INF090I01UR7;-;Franklin India Short term Income Plan- Retail Plan-Segregated Portfolio 1- 8.25% Vodafone Idea Ltd-10JUL20-Direct- Monthly Dividend Option;0.0000;20-Jul-2020")</f>
        <v>148004;INF090I01UR7;-;Franklin India Short term Income Plan- Retail Plan-Segregated Portfolio 1- 8.25% Vodafone Idea Ltd-10JUL20-Direct- Monthly Dividend Option;0.0000;20-Jul-2020</v>
      </c>
      <c r="B3730" s="1"/>
    </row>
    <row r="3731">
      <c r="A3731" s="1" t="str">
        <f>IFERROR(__xludf.DUMMYFUNCTION("""COMPUTED_VALUE"""),"148009;INF090I01UQ9;-;Franklin India Short term Income Plan- Retail Plan-Segregated Portfolio 1- 8.25% Vodafone Idea Ltd-10JUL20-Direct- Quarterly Dividend Option;0.0000;20-Jul-2020")</f>
        <v>148009;INF090I01UQ9;-;Franklin India Short term Income Plan- Retail Plan-Segregated Portfolio 1- 8.25% Vodafone Idea Ltd-10JUL20-Direct- Quarterly Dividend Option;0.0000;20-Jul-2020</v>
      </c>
      <c r="B3731" s="1"/>
    </row>
    <row r="3732">
      <c r="A3732" s="1" t="str">
        <f>IFERROR(__xludf.DUMMYFUNCTION("""COMPUTED_VALUE"""),"148003;INF090I01UM8;-;Franklin India Short Term Income Plan- Retail Plan-Segregated Portfolio 1- 8.25% Vodafone Idea Ltd-10JUL20-Monthly Dividend Option;0.0000;20-Jul-2020")</f>
        <v>148003;INF090I01UM8;-;Franklin India Short Term Income Plan- Retail Plan-Segregated Portfolio 1- 8.25% Vodafone Idea Ltd-10JUL20-Monthly Dividend Option;0.0000;20-Jul-2020</v>
      </c>
      <c r="B3732" s="1"/>
    </row>
    <row r="3733">
      <c r="A3733" s="1" t="str">
        <f>IFERROR(__xludf.DUMMYFUNCTION("""COMPUTED_VALUE"""),"148007;INF090I01UL0;-;Franklin India Short term Income Plan- Retail Plan-Segregated Portfolio 1- 8.25% Vodafone Idea Ltd-10JUL20-Quarterly Dividend Option;0.0000;20-Jul-2020")</f>
        <v>148007;INF090I01UL0;-;Franklin India Short term Income Plan- Retail Plan-Segregated Portfolio 1- 8.25% Vodafone Idea Ltd-10JUL20-Quarterly Dividend Option;0.0000;20-Jul-2020</v>
      </c>
      <c r="B3733" s="1"/>
    </row>
    <row r="3734">
      <c r="A3734" s="1" t="str">
        <f>IFERROR(__xludf.DUMMYFUNCTION("""COMPUTED_VALUE"""),"148017;INF090I01VA1;-;Franklin India Short term Income Plan- Retail Plan-Segregated Portfolio 2 - 10.90% Vodafone Idea Ltd (02-Sep-2023) - Direct Monthly - IDCW;30.2675;25-Aug-2023")</f>
        <v>148017;INF090I01VA1;-;Franklin India Short term Income Plan- Retail Plan-Segregated Portfolio 2 - 10.90% Vodafone Idea Ltd (02-Sep-2023) - Direct Monthly - IDCW;30.2675;25-Aug-2023</v>
      </c>
      <c r="B3734" s="1"/>
    </row>
    <row r="3735">
      <c r="A3735" s="1" t="str">
        <f>IFERROR(__xludf.DUMMYFUNCTION("""COMPUTED_VALUE"""),"148018;INF090I01UZ0;-;Franklin India Short term Income Plan- Retail Plan-Segregated Portfolio 2 - 10.90% Vodafone Idea Ltd (02-Sep-2023) - Direct Quarterly - IDCW;31.3862;25-Aug-2023")</f>
        <v>148018;INF090I01UZ0;-;Franklin India Short term Income Plan- Retail Plan-Segregated Portfolio 2 - 10.90% Vodafone Idea Ltd (02-Sep-2023) - Direct Quarterly - IDCW;31.3862;25-Aug-2023</v>
      </c>
      <c r="B3735" s="1"/>
    </row>
    <row r="3736">
      <c r="A3736" s="1" t="str">
        <f>IFERROR(__xludf.DUMMYFUNCTION("""COMPUTED_VALUE"""),"148016;INF090I01VB9;-;Franklin India Short term Income Plan- Retail Plan-Segregated Portfolio 2 - 10.90% Vodafone Idea Ltd (02-Sep-2023) - Direct Weekly - IDCW;25.4188;25-Aug-2023")</f>
        <v>148016;INF090I01VB9;-;Franklin India Short term Income Plan- Retail Plan-Segregated Portfolio 2 - 10.90% Vodafone Idea Ltd (02-Sep-2023) - Direct Weekly - IDCW;25.4188;25-Aug-2023</v>
      </c>
      <c r="B3736" s="1"/>
    </row>
    <row r="3737">
      <c r="A3737" s="1" t="str">
        <f>IFERROR(__xludf.DUMMYFUNCTION("""COMPUTED_VALUE"""),"148011;INF090I01UV9;-;Franklin India Short term Income Plan- Retail Plan-Segregated Portfolio 2 - 10.90% Vodafone Idea Ltd (02-Sep-2023) - Monthly - IDCW;28.2473;25-Aug-2023")</f>
        <v>148011;INF090I01UV9;-;Franklin India Short term Income Plan- Retail Plan-Segregated Portfolio 2 - 10.90% Vodafone Idea Ltd (02-Sep-2023) - Monthly - IDCW;28.2473;25-Aug-2023</v>
      </c>
      <c r="B3737" s="1"/>
    </row>
    <row r="3738">
      <c r="A3738" s="1" t="str">
        <f>IFERROR(__xludf.DUMMYFUNCTION("""COMPUTED_VALUE"""),"148012;INF090I01UU1;-;Franklin India Short term Income Plan- Retail Plan-Segregated Portfolio 2 - 10.90% Vodafone Idea Ltd (02-Sep-2023) - Quarterly - IDCW;29.2191;25-Aug-2023")</f>
        <v>148012;INF090I01UU1;-;Franklin India Short term Income Plan- Retail Plan-Segregated Portfolio 2 - 10.90% Vodafone Idea Ltd (02-Sep-2023) - Quarterly - IDCW;29.2191;25-Aug-2023</v>
      </c>
      <c r="B3738" s="1"/>
    </row>
    <row r="3739">
      <c r="A3739" s="1" t="str">
        <f>IFERROR(__xludf.DUMMYFUNCTION("""COMPUTED_VALUE"""),"148014;INF090I01UW7;-;Franklin India Short term Income Plan- Retail Plan-Segregated Portfolio 2 - 10.90% Vodafone Idea Ltd (02-Sep-2023) - Weekly - IDCW;25.3290;25-Aug-2023")</f>
        <v>148014;INF090I01UW7;-;Franklin India Short term Income Plan- Retail Plan-Segregated Portfolio 2 - 10.90% Vodafone Idea Ltd (02-Sep-2023) - Weekly - IDCW;25.3290;25-Aug-2023</v>
      </c>
      <c r="B3739" s="1"/>
    </row>
    <row r="3740">
      <c r="A3740" s="1" t="str">
        <f>IFERROR(__xludf.DUMMYFUNCTION("""COMPUTED_VALUE"""),"148312;INF090I01VU9;-;Franklin India Short term Income Plan- Retail Plan-Segregated Portfolio 3 (9.50% Yes Bank Ltd CO 23Dec21) - Direct Monthly - IDCW;0.0000;25-Aug-2023")</f>
        <v>148312;INF090I01VU9;-;Franklin India Short term Income Plan- Retail Plan-Segregated Portfolio 3 (9.50% Yes Bank Ltd CO 23Dec21) - Direct Monthly - IDCW;0.0000;25-Aug-2023</v>
      </c>
      <c r="B3740" s="1"/>
    </row>
    <row r="3741">
      <c r="A3741" s="1" t="str">
        <f>IFERROR(__xludf.DUMMYFUNCTION("""COMPUTED_VALUE"""),"148311;INF090I01VT1;-;Franklin India Short term Income Plan- Retail Plan-Segregated Portfolio 3 (9.50% Yes Bank Ltd CO 23Dec21) - Direct Quarterly - IDCW;0.0000;25-Aug-2023")</f>
        <v>148311;INF090I01VT1;-;Franklin India Short term Income Plan- Retail Plan-Segregated Portfolio 3 (9.50% Yes Bank Ltd CO 23Dec21) - Direct Quarterly - IDCW;0.0000;25-Aug-2023</v>
      </c>
      <c r="B3741" s="1"/>
    </row>
    <row r="3742">
      <c r="A3742" s="1" t="str">
        <f>IFERROR(__xludf.DUMMYFUNCTION("""COMPUTED_VALUE"""),"148319;INF090I01VP9;-;Franklin India Short Term Income Plan- Retail Plan-Segregated Portfolio 3 (9.50% Yes Bank Ltd CO 23Dec21) - Monthly - IDCW;0.0000;25-Aug-2023")</f>
        <v>148319;INF090I01VP9;-;Franklin India Short Term Income Plan- Retail Plan-Segregated Portfolio 3 (9.50% Yes Bank Ltd CO 23Dec21) - Monthly - IDCW;0.0000;25-Aug-2023</v>
      </c>
      <c r="B3742" s="1"/>
    </row>
    <row r="3743">
      <c r="A3743" s="1" t="str">
        <f>IFERROR(__xludf.DUMMYFUNCTION("""COMPUTED_VALUE"""),"148317;INF090I01VO2;-;Franklin India Short term Income Plan- Retail Plan-Segregated Portfolio 3 (9.50% Yes Bank Ltd CO 23Dec21) - Quarterly - IDCW;0.0000;25-Aug-2023")</f>
        <v>148317;INF090I01VO2;-;Franklin India Short term Income Plan- Retail Plan-Segregated Portfolio 3 (9.50% Yes Bank Ltd CO 23Dec21) - Quarterly - IDCW;0.0000;25-Aug-2023</v>
      </c>
      <c r="B3743" s="1"/>
    </row>
    <row r="3744">
      <c r="A3744" s="1" t="str">
        <f>IFERROR(__xludf.DUMMYFUNCTION("""COMPUTED_VALUE"""),"148008;INF090I01UO4;-;Franklin India Short term Income Plan-Institutional Plan- Segregated Portfolio 1- 8.25% Vodafone Idea Ltd-10JUL20-Growth Option;0.0000;13-Jul-2020")</f>
        <v>148008;INF090I01UO4;-;Franklin India Short term Income Plan-Institutional Plan- Segregated Portfolio 1- 8.25% Vodafone Idea Ltd-10JUL20-Growth Option;0.0000;13-Jul-2020</v>
      </c>
      <c r="B3744" s="1"/>
    </row>
    <row r="3745">
      <c r="A3745" s="1" t="str">
        <f>IFERROR(__xludf.DUMMYFUNCTION("""COMPUTED_VALUE"""),"148002;INF090I01UP1;-;Franklin India Short-term Income Plan- Retail Plan - Segregated Portfolio 1- 8.25% Vodafone Idea Ltd-10JUL20-Direct- Growth Option;0.0000;20-Jul-2020")</f>
        <v>148002;INF090I01UP1;-;Franklin India Short-term Income Plan- Retail Plan - Segregated Portfolio 1- 8.25% Vodafone Idea Ltd-10JUL20-Direct- Growth Option;0.0000;20-Jul-2020</v>
      </c>
      <c r="B3745" s="1"/>
    </row>
    <row r="3746">
      <c r="A3746" s="1" t="str">
        <f>IFERROR(__xludf.DUMMYFUNCTION("""COMPUTED_VALUE"""),"148001;INF090I01UK2;-;Franklin India Short-Term Income Plan- Retail Plan-Segregated Portfolio 1- 8.25% Vodafone Idea Ltd-10JUL20-Growth Option;0.0000;20-Jul-2020")</f>
        <v>148001;INF090I01UK2;-;Franklin India Short-Term Income Plan- Retail Plan-Segregated Portfolio 1- 8.25% Vodafone Idea Ltd-10JUL20-Growth Option;0.0000;20-Jul-2020</v>
      </c>
      <c r="B3746" s="1"/>
    </row>
    <row r="3747">
      <c r="A3747" s="1" t="str">
        <f>IFERROR(__xludf.DUMMYFUNCTION("""COMPUTED_VALUE"""),"148005;INF090I01UN6;-;Franklin India Short-term Income Plan- Retail Plan-Segregated Portfolio 1- 8.25% Vodafone Idea Ltd-10JUL20-Weekly Dividend Option;0.0000;20-Jul-2020")</f>
        <v>148005;INF090I01UN6;-;Franklin India Short-term Income Plan- Retail Plan-Segregated Portfolio 1- 8.25% Vodafone Idea Ltd-10JUL20-Weekly Dividend Option;0.0000;20-Jul-2020</v>
      </c>
      <c r="B3747" s="1"/>
    </row>
    <row r="3748">
      <c r="A3748" s="1" t="str">
        <f>IFERROR(__xludf.DUMMYFUNCTION("""COMPUTED_VALUE"""),"148315;INF090I01VQ7;-;Franklin India Short-term Income Plan- Retail Plan-Segregated Portfolio 3 (9.50% Yes Bank Ltd CO 23Dec21) - Weekly - IDCW;0.0000;25-Aug-2023")</f>
        <v>148315;INF090I01VQ7;-;Franklin India Short-term Income Plan- Retail Plan-Segregated Portfolio 3 (9.50% Yes Bank Ltd CO 23Dec21) - Weekly - IDCW;0.0000;25-Aug-2023</v>
      </c>
      <c r="B3748" s="1"/>
    </row>
    <row r="3749">
      <c r="A3749" s="1" t="str">
        <f>IFERROR(__xludf.DUMMYFUNCTION("""COMPUTED_VALUE"""),"101232;INF090I01304;-;Franklin India Short-Term Income Plan-Growth;5149.4099;25-Aug-2023")</f>
        <v>101232;INF090I01304;-;Franklin India Short-Term Income Plan-Growth;5149.4099;25-Aug-2023</v>
      </c>
      <c r="B3749" s="1"/>
    </row>
    <row r="3750">
      <c r="A3750" s="1" t="str">
        <f>IFERROR(__xludf.DUMMYFUNCTION("""COMPUTED_VALUE"""),"101244;INF090I01361;-;Franklin India Short-Term Income Plan-Institutional Plan - Growth;4256.4773;25-Aug-2023")</f>
        <v>101244;INF090I01361;-;Franklin India Short-Term Income Plan-Institutional Plan - Growth;4256.4773;25-Aug-2023</v>
      </c>
      <c r="B3750" s="1"/>
    </row>
    <row r="3751">
      <c r="A3751" s="1" t="str">
        <f>IFERROR(__xludf.DUMMYFUNCTION("""COMPUTED_VALUE"""),"101246;INF090I01387;INF090I01395;Franklin India Short-Term Income Plan-Institutional Plan - Monthly Dividend;0.0000;27-Apr-2018")</f>
        <v>101246;INF090I01387;INF090I01395;Franklin India Short-Term Income Plan-Institutional Plan - Monthly Dividend;0.0000;27-Apr-2018</v>
      </c>
      <c r="B3751" s="1"/>
    </row>
    <row r="3752">
      <c r="A3752" s="1" t="str">
        <f>IFERROR(__xludf.DUMMYFUNCTION("""COMPUTED_VALUE"""),"148006;INF090I01US5;-;Franklin India Short-term Income Plan-Retail Plan- Segregated Portfolio 1- 8.25% Vodafone Idea Ltd-10JUL20-Direct-Weekly Dividend Option;0.0000;13-Jul-2020")</f>
        <v>148006;INF090I01US5;-;Franklin India Short-term Income Plan-Retail Plan- Segregated Portfolio 1- 8.25% Vodafone Idea Ltd-10JUL20-Direct-Weekly Dividend Option;0.0000;13-Jul-2020</v>
      </c>
      <c r="B3752" s="1"/>
    </row>
    <row r="3753">
      <c r="A3753" s="1" t="str">
        <f>IFERROR(__xludf.DUMMYFUNCTION("""COMPUTED_VALUE"""),"148316;INF090I01VV7;-;Franklin India Short-term Income Plan-Retail Plan-Segregated Portfolio 3 (9.50% Yes Bank Ltd CO 23Dec21) - Direct Weekly - IDCW;0.0000;25-Aug-2023")</f>
        <v>148316;INF090I01VV7;-;Franklin India Short-term Income Plan-Retail Plan-Segregated Portfolio 3 (9.50% Yes Bank Ltd CO 23Dec21) - Direct Weekly - IDCW;0.0000;25-Aug-2023</v>
      </c>
      <c r="B3753" s="1"/>
    </row>
    <row r="3754">
      <c r="A3754" s="1" t="str">
        <f>IFERROR(__xludf.DUMMYFUNCTION("""COMPUTED_VALUE"""),"101237;INF090I01DY9;-;Franklin India Short-Term Income Plan-Weekly Bonus;0.0000;08-Jun-2015")</f>
        <v>101237;INF090I01DY9;-;Franklin India Short-Term Income Plan-Weekly Bonus;0.0000;08-Jun-2015</v>
      </c>
      <c r="B3754" s="1"/>
    </row>
    <row r="3755">
      <c r="A3755" s="1"/>
      <c r="B3755" s="1"/>
    </row>
    <row r="3756">
      <c r="A3756" s="1" t="str">
        <f>IFERROR(__xludf.DUMMYFUNCTION("""COMPUTED_VALUE"""),"Groww Mutual Fund")</f>
        <v>Groww Mutual Fund</v>
      </c>
      <c r="B3756" s="1"/>
    </row>
    <row r="3757">
      <c r="A3757" s="1"/>
      <c r="B3757" s="1"/>
    </row>
    <row r="3758">
      <c r="A3758" s="1" t="str">
        <f>IFERROR(__xludf.DUMMYFUNCTION("""COMPUTED_VALUE"""),"123708;INF666M01AJ5;-;Groww Short Duration Fund (formerly known as Indiabulls Short Term Fund )- Regular Plan - Growth Option;1825.2571;25-Aug-2023")</f>
        <v>123708;INF666M01AJ5;-;Groww Short Duration Fund (formerly known as Indiabulls Short Term Fund )- Regular Plan - Growth Option;1825.2571;25-Aug-2023</v>
      </c>
      <c r="B3758" s="1"/>
    </row>
    <row r="3759">
      <c r="A3759" s="1" t="str">
        <f>IFERROR(__xludf.DUMMYFUNCTION("""COMPUTED_VALUE"""),"123704;INF666M01AC0;-;Groww Short Duration Fund (formerly known as Indiabulls Short Term Fund) - Direct Plan - Growth Option;2053.2498;25-Aug-2023")</f>
        <v>123704;INF666M01AC0;-;Groww Short Duration Fund (formerly known as Indiabulls Short Term Fund) - Direct Plan - Growth Option;2053.2498;25-Aug-2023</v>
      </c>
      <c r="B3759" s="1"/>
    </row>
    <row r="3760">
      <c r="A3760" s="1" t="str">
        <f>IFERROR(__xludf.DUMMYFUNCTION("""COMPUTED_VALUE"""),"123706;INF666M01AH9;INF666M01AE6;Groww Short Duration Fund (formerly known as Indiabulls Short Term Fund)- Direct Plan- Fortnightly - Income Distribution cum capital withdrawal Option (Payout &amp; Reinvestment);1016.4563;25-Aug-2023")</f>
        <v>123706;INF666M01AH9;INF666M01AE6;Groww Short Duration Fund (formerly known as Indiabulls Short Term Fund)- Direct Plan- Fortnightly - Income Distribution cum capital withdrawal Option (Payout &amp; Reinvestment);1016.4563;25-Aug-2023</v>
      </c>
      <c r="B3760" s="1"/>
    </row>
    <row r="3761">
      <c r="A3761" s="1" t="str">
        <f>IFERROR(__xludf.DUMMYFUNCTION("""COMPUTED_VALUE"""),"123707;INF666M01AI7;INF666M01AF3;Groww Short Duration Fund (formerly known as Indiabulls Short Term Fund)- Direct Plan- Monthly - Income Distribution cum capital withdrawal Option (Payout &amp; Reinvestment);1016.5542;25-Aug-2023")</f>
        <v>123707;INF666M01AI7;INF666M01AF3;Groww Short Duration Fund (formerly known as Indiabulls Short Term Fund)- Direct Plan- Monthly - Income Distribution cum capital withdrawal Option (Payout &amp; Reinvestment);1016.5542;25-Aug-2023</v>
      </c>
      <c r="B3761" s="1"/>
    </row>
    <row r="3762">
      <c r="A3762" s="1" t="str">
        <f>IFERROR(__xludf.DUMMYFUNCTION("""COMPUTED_VALUE"""),"123705;INF666M01AG1;INF666M01AD8;Groww Short Duration Fund (formerly known as Indiabulls Short Term Fund)- Direct Plan- Weekly - Income Distribution cum capital withdrawal Option (Payout &amp; Reinvestment);1014.1909;25-Aug-2023")</f>
        <v>123705;INF666M01AG1;INF666M01AD8;Groww Short Duration Fund (formerly known as Indiabulls Short Term Fund)- Direct Plan- Weekly - Income Distribution cum capital withdrawal Option (Payout &amp; Reinvestment);1014.1909;25-Aug-2023</v>
      </c>
      <c r="B3762" s="1"/>
    </row>
    <row r="3763">
      <c r="A3763" s="1" t="str">
        <f>IFERROR(__xludf.DUMMYFUNCTION("""COMPUTED_VALUE"""),"123710;INF666M01AO5;INF666M01AL1;Groww Short Duration Fund (formerly known as Indiabulls Short Term Fund)- Regular Plan- Fortnightly - Income Distribution cum capital withdrawal Option (Payout &amp; Reinvestment);1017.641;25-Aug-2023")</f>
        <v>123710;INF666M01AO5;INF666M01AL1;Groww Short Duration Fund (formerly known as Indiabulls Short Term Fund)- Regular Plan- Fortnightly - Income Distribution cum capital withdrawal Option (Payout &amp; Reinvestment);1017.641;25-Aug-2023</v>
      </c>
      <c r="B3763" s="1"/>
    </row>
    <row r="3764">
      <c r="A3764" s="1" t="str">
        <f>IFERROR(__xludf.DUMMYFUNCTION("""COMPUTED_VALUE"""),"123711;INF666M01AP2;INF666M01AM9;Groww Short Duration Fund (formerly known as Indiabulls Short Term Fund)- Regular Plan- Monthly - Income Distribution cum capital withdrawal Option (Payout &amp; Reinvestment);1021.8053;25-Aug-2023")</f>
        <v>123711;INF666M01AP2;INF666M01AM9;Groww Short Duration Fund (formerly known as Indiabulls Short Term Fund)- Regular Plan- Monthly - Income Distribution cum capital withdrawal Option (Payout &amp; Reinvestment);1021.8053;25-Aug-2023</v>
      </c>
      <c r="B3764" s="1"/>
    </row>
    <row r="3765">
      <c r="A3765" s="1" t="str">
        <f>IFERROR(__xludf.DUMMYFUNCTION("""COMPUTED_VALUE"""),"123709;INF666M01AN7;INF666M01AK3;Groww Short Duration Fund (formerly known as Indiabulls Short Term Fund)- Regular Plan- Weekly - Income Distribution cum capital withdrawal Option (Payout &amp; Reinvestment);1014.1655;25-Aug-2023")</f>
        <v>123709;INF666M01AN7;INF666M01AK3;Groww Short Duration Fund (formerly known as Indiabulls Short Term Fund)- Regular Plan- Weekly - Income Distribution cum capital withdrawal Option (Payout &amp; Reinvestment);1014.1655;25-Aug-2023</v>
      </c>
      <c r="B3765" s="1"/>
    </row>
    <row r="3766">
      <c r="A3766" s="1"/>
      <c r="B3766" s="1"/>
    </row>
    <row r="3767">
      <c r="A3767" s="1" t="str">
        <f>IFERROR(__xludf.DUMMYFUNCTION("""COMPUTED_VALUE"""),"HDFC Mutual Fund")</f>
        <v>HDFC Mutual Fund</v>
      </c>
      <c r="B3767" s="1"/>
    </row>
    <row r="3768">
      <c r="A3768" s="1"/>
      <c r="B3768" s="1"/>
    </row>
    <row r="3769">
      <c r="A3769" s="1" t="str">
        <f>IFERROR(__xludf.DUMMYFUNCTION("""COMPUTED_VALUE"""),"119015;-;-;HDFC Short Term  Debt Fund - Fortnightly IDCW - Direct Plan;10.3313;25-Aug-2023")</f>
        <v>119015;-;-;HDFC Short Term  Debt Fund - Fortnightly IDCW - Direct Plan;10.3313;25-Aug-2023</v>
      </c>
      <c r="B3769" s="1"/>
    </row>
    <row r="3770">
      <c r="A3770" s="1" t="str">
        <f>IFERROR(__xludf.DUMMYFUNCTION("""COMPUTED_VALUE"""),"113048;INF179K01CV4;INF179K01CW2;HDFC Short Term  Debt Fund - Fortnightly IDCW Option;10.223;25-Aug-2023")</f>
        <v>113048;INF179K01CV4;INF179K01CW2;HDFC Short Term  Debt Fund - Fortnightly IDCW Option;10.223;25-Aug-2023</v>
      </c>
      <c r="B3770" s="1"/>
    </row>
    <row r="3771">
      <c r="A3771" s="1" t="str">
        <f>IFERROR(__xludf.DUMMYFUNCTION("""COMPUTED_VALUE"""),"113047;INF179K01CU6;-;HDFC Short Term  Debt Fund - Growth Option;27.6445;25-Aug-2023")</f>
        <v>113047;INF179K01CU6;-;HDFC Short Term  Debt Fund - Growth Option;27.6445;25-Aug-2023</v>
      </c>
      <c r="B3771" s="1"/>
    </row>
    <row r="3772">
      <c r="A3772" s="1" t="str">
        <f>IFERROR(__xludf.DUMMYFUNCTION("""COMPUTED_VALUE"""),"119016;INF179K01YM7;-;HDFC Short Term  Debt Fund - Growth Option - Direct Plan;28.384;25-Aug-2023")</f>
        <v>119016;INF179K01YM7;-;HDFC Short Term  Debt Fund - Growth Option - Direct Plan;28.384;25-Aug-2023</v>
      </c>
      <c r="B3772" s="1"/>
    </row>
    <row r="3773">
      <c r="A3773" s="1" t="str">
        <f>IFERROR(__xludf.DUMMYFUNCTION("""COMPUTED_VALUE"""),"133367;INF179KA1Q53;-;HDFC Short Term  Debt Fund - Normal IDCW - Direct Plan;18.0879;25-Aug-2023")</f>
        <v>133367;INF179KA1Q53;-;HDFC Short Term  Debt Fund - Normal IDCW - Direct Plan;18.0879;25-Aug-2023</v>
      </c>
      <c r="B3773" s="1"/>
    </row>
    <row r="3774">
      <c r="A3774" s="1" t="str">
        <f>IFERROR(__xludf.DUMMYFUNCTION("""COMPUTED_VALUE"""),"133368;INF179KA1Q79;-;HDFC Short Term  Debt Fund - Normal IDCW Option;17.6997;25-Aug-2023")</f>
        <v>133368;INF179KA1Q79;-;HDFC Short Term  Debt Fund - Normal IDCW Option;17.6997;25-Aug-2023</v>
      </c>
      <c r="B3774" s="1"/>
    </row>
    <row r="3775">
      <c r="A3775" s="1"/>
      <c r="B3775" s="1"/>
    </row>
    <row r="3776">
      <c r="A3776" s="1" t="str">
        <f>IFERROR(__xludf.DUMMYFUNCTION("""COMPUTED_VALUE"""),"HSBC Mutual Fund")</f>
        <v>HSBC Mutual Fund</v>
      </c>
      <c r="B3776" s="1"/>
    </row>
    <row r="3777">
      <c r="A3777" s="1"/>
      <c r="B3777" s="1"/>
    </row>
    <row r="3778">
      <c r="A3778" s="1" t="str">
        <f>IFERROR(__xludf.DUMMYFUNCTION("""COMPUTED_VALUE"""),"151063;INF917K01CH6;INF917K01CI4;HSBC Short Duration Fund -  Regular Plan - Monthly IDCW;11.0842;25-Aug-2023")</f>
        <v>151063;INF917K01CH6;INF917K01CI4;HSBC Short Duration Fund -  Regular Plan - Monthly IDCW;11.0842;25-Aug-2023</v>
      </c>
      <c r="B3778" s="1"/>
    </row>
    <row r="3779">
      <c r="A3779" s="1" t="str">
        <f>IFERROR(__xludf.DUMMYFUNCTION("""COMPUTED_VALUE"""),"151062;INF917K01CM6;-;HSBC Short Duration Fund - Bonus;22.9915;25-Aug-2023")</f>
        <v>151062;INF917K01CM6;-;HSBC Short Duration Fund - Bonus;22.9915;25-Aug-2023</v>
      </c>
      <c r="B3779" s="1"/>
    </row>
    <row r="3780">
      <c r="A3780" s="1" t="str">
        <f>IFERROR(__xludf.DUMMYFUNCTION("""COMPUTED_VALUE"""),"151070;INF917K01VR5;INF917K01VQ7;HSBC Short Duration Fund - Direct Annual IDCW;12.5555;25-Aug-2023")</f>
        <v>151070;INF917K01VR5;INF917K01VQ7;HSBC Short Duration Fund - Direct Annual IDCW;12.5555;25-Aug-2023</v>
      </c>
      <c r="B3780" s="1"/>
    </row>
    <row r="3781">
      <c r="A3781" s="1" t="str">
        <f>IFERROR(__xludf.DUMMYFUNCTION("""COMPUTED_VALUE"""),"151067;INF917K01IQ4;-;HSBC Short Duration Fund - Direct Growth;24.163;25-Aug-2023")</f>
        <v>151067;INF917K01IQ4;-;HSBC Short Duration Fund - Direct Growth;24.163;25-Aug-2023</v>
      </c>
      <c r="B3781" s="1"/>
    </row>
    <row r="3782">
      <c r="A3782" s="1" t="str">
        <f>IFERROR(__xludf.DUMMYFUNCTION("""COMPUTED_VALUE"""),"151068;INF917K01IP6;INF917K01IO9;HSBC Short Duration Fund - Direct Plan -  Monthly IDCW;11.7601;25-Aug-2023")</f>
        <v>151068;INF917K01IP6;INF917K01IO9;HSBC Short Duration Fund - Direct Plan -  Monthly IDCW;11.7601;25-Aug-2023</v>
      </c>
      <c r="B3782" s="1"/>
    </row>
    <row r="3783">
      <c r="A3783" s="1" t="str">
        <f>IFERROR(__xludf.DUMMYFUNCTION("""COMPUTED_VALUE"""),"151069;INF917K01IS0;INF917K01IR2;HSBC Short Duration Fund - Direct Quarterly IDCW;11.4317;25-Aug-2023")</f>
        <v>151069;INF917K01IS0;INF917K01IR2;HSBC Short Duration Fund - Direct Quarterly IDCW;11.4317;25-Aug-2023</v>
      </c>
      <c r="B3783" s="1"/>
    </row>
    <row r="3784">
      <c r="A3784" s="1" t="str">
        <f>IFERROR(__xludf.DUMMYFUNCTION("""COMPUTED_VALUE"""),"151071;INF917K01VT1;INF917K01VS3;HSBC Short Duration Fund - Regular Annual IDCW;12.082;25-Aug-2023")</f>
        <v>151071;INF917K01VT1;INF917K01VS3;HSBC Short Duration Fund - Regular Annual IDCW;12.082;25-Aug-2023</v>
      </c>
      <c r="B3784" s="1"/>
    </row>
    <row r="3785">
      <c r="A3785" s="1" t="str">
        <f>IFERROR(__xludf.DUMMYFUNCTION("""COMPUTED_VALUE"""),"151065;INF917K01CL8;-;HSBC Short Duration Fund - Regular Growth;22.9923;25-Aug-2023")</f>
        <v>151065;INF917K01CL8;-;HSBC Short Duration Fund - Regular Growth;22.9923;25-Aug-2023</v>
      </c>
      <c r="B3785" s="1"/>
    </row>
    <row r="3786">
      <c r="A3786" s="1" t="str">
        <f>IFERROR(__xludf.DUMMYFUNCTION("""COMPUTED_VALUE"""),"151064;INF917K01CJ2;INF917K01CK0;HSBC Short Duration Fund - Regular Quarterly IDCW;10.6518;25-Aug-2023")</f>
        <v>151064;INF917K01CJ2;INF917K01CK0;HSBC Short Duration Fund - Regular Quarterly IDCW;10.6518;25-Aug-2023</v>
      </c>
      <c r="B3786" s="1"/>
    </row>
    <row r="3787">
      <c r="A3787" s="1"/>
      <c r="B3787" s="1"/>
    </row>
    <row r="3788">
      <c r="A3788" s="1" t="str">
        <f>IFERROR(__xludf.DUMMYFUNCTION("""COMPUTED_VALUE"""),"ICICI Prudential Mutual Fund")</f>
        <v>ICICI Prudential Mutual Fund</v>
      </c>
      <c r="B3788" s="1"/>
    </row>
    <row r="3789">
      <c r="A3789" s="1"/>
      <c r="B3789" s="1"/>
    </row>
    <row r="3790">
      <c r="A3790" s="1" t="str">
        <f>IFERROR(__xludf.DUMMYFUNCTION("""COMPUTED_VALUE"""),"122674;INF109KA1376;-;ICICI Prudential Short Term Fund - Bonus;42.3355;24-Apr-2020")</f>
        <v>122674;INF109KA1376;-;ICICI Prudential Short Term Fund - Bonus;42.3355;24-Apr-2020</v>
      </c>
      <c r="B3790" s="1"/>
    </row>
    <row r="3791">
      <c r="A3791" s="1" t="str">
        <f>IFERROR(__xludf.DUMMYFUNCTION("""COMPUTED_VALUE"""),"122909;INF109KA1368;-;ICICI Prudential Short Term Fund - Direct Plan - Bonus;40.9620;28-May-2019")</f>
        <v>122909;INF109KA1368;-;ICICI Prudential Short Term Fund - Direct Plan - Bonus;40.9620;28-May-2019</v>
      </c>
      <c r="B3791" s="1"/>
    </row>
    <row r="3792">
      <c r="A3792" s="1" t="str">
        <f>IFERROR(__xludf.DUMMYFUNCTION("""COMPUTED_VALUE"""),"120754;INF109K013N3;-;ICICI Prudential Short Term Fund - Direct Plan - Growth Option;56.2310;25-Aug-2023")</f>
        <v>120754;INF109K013N3;-;ICICI Prudential Short Term Fund - Direct Plan - Growth Option;56.2310;25-Aug-2023</v>
      </c>
      <c r="B3792" s="1"/>
    </row>
    <row r="3793">
      <c r="A3793" s="1" t="str">
        <f>IFERROR(__xludf.DUMMYFUNCTION("""COMPUTED_VALUE"""),"131478;INF109KA1X36;INF109KA1X28;ICICI Prudential Short Term Fund - Direct Plan - Half Yearly IDCW;13.7741;16-Sep-2022")</f>
        <v>131478;INF109KA1X36;INF109KA1X28;ICICI Prudential Short Term Fund - Direct Plan - Half Yearly IDCW;13.7741;16-Sep-2022</v>
      </c>
      <c r="B3793" s="1"/>
    </row>
    <row r="3794">
      <c r="A3794" s="1" t="str">
        <f>IFERROR(__xludf.DUMMYFUNCTION("""COMPUTED_VALUE"""),"120755;INF109K014N1;INF109K015N8;ICICI Prudential Short Term Fund - Direct Plan - Monthly IDCW;12.7396;25-Aug-2023")</f>
        <v>120755;INF109K014N1;INF109K015N8;ICICI Prudential Short Term Fund - Direct Plan - Monthly IDCW;12.7396;25-Aug-2023</v>
      </c>
      <c r="B3794" s="1"/>
    </row>
    <row r="3795">
      <c r="A3795" s="1" t="str">
        <f>IFERROR(__xludf.DUMMYFUNCTION("""COMPUTED_VALUE"""),"120753;INF109K012N5;-;ICICI Prudential Short Term Fund - Direct Plan - Reinvestment of IDCW Fortnightly;12.8230;16-Sep-2022")</f>
        <v>120753;INF109K012N5;-;ICICI Prudential Short Term Fund - Direct Plan - Reinvestment of IDCW Fortnightly;12.8230;16-Sep-2022</v>
      </c>
      <c r="B3795" s="1"/>
    </row>
    <row r="3796">
      <c r="A3796" s="1" t="str">
        <f>IFERROR(__xludf.DUMMYFUNCTION("""COMPUTED_VALUE"""),"101758;INF109K01654;-;ICICI Prudential Short Term Fund - Growth Option;52.1203;25-Aug-2023")</f>
        <v>101758;INF109K01654;-;ICICI Prudential Short Term Fund - Growth Option;52.1203;25-Aug-2023</v>
      </c>
      <c r="B3796" s="1"/>
    </row>
    <row r="3797">
      <c r="A3797" s="1" t="str">
        <f>IFERROR(__xludf.DUMMYFUNCTION("""COMPUTED_VALUE"""),"131479;INF109KA1X10;INF109KA1X02;ICICI Prudential Short Term Fund - Half Yearly IDCW;13.4958;16-Sep-2022")</f>
        <v>131479;INF109KA1X10;INF109KA1X02;ICICI Prudential Short Term Fund - Half Yearly IDCW;13.4958;16-Sep-2022</v>
      </c>
      <c r="B3797" s="1"/>
    </row>
    <row r="3798">
      <c r="A3798" s="1" t="str">
        <f>IFERROR(__xludf.DUMMYFUNCTION("""COMPUTED_VALUE"""),"101759;INF109KB12M9;INF109K01662;ICICI Prudential Short Term Fund - Reinvestment of IDCW Fortnightly;12.2409;16-Sep-2022")</f>
        <v>101759;INF109KB12M9;INF109K01662;ICICI Prudential Short Term Fund - Reinvestment of IDCW Fortnightly;12.2409;16-Sep-2022</v>
      </c>
      <c r="B3798" s="1"/>
    </row>
    <row r="3799">
      <c r="A3799" s="1" t="str">
        <f>IFERROR(__xludf.DUMMYFUNCTION("""COMPUTED_VALUE"""),"101165;INF109K01WL0;INF109K01647;ICICI Prudential Short Term Fund - Monthly IDCW;12.1190;25-Aug-2023")</f>
        <v>101165;INF109K01WL0;INF109K01647;ICICI Prudential Short Term Fund - Monthly IDCW;12.1190;25-Aug-2023</v>
      </c>
      <c r="B3799" s="1"/>
    </row>
    <row r="3800">
      <c r="A3800" s="1" t="str">
        <f>IFERROR(__xludf.DUMMYFUNCTION("""COMPUTED_VALUE"""),"101229;INF109K01WK2;INF109K01670;ICICI Prudential Short Term Fund - Institutional Plan - Dividend Monthly;12.6927;03-Jul-2019")</f>
        <v>101229;INF109K01WK2;INF109K01670;ICICI Prudential Short Term Fund - Institutional Plan - Dividend Monthly;12.6927;03-Jul-2019</v>
      </c>
      <c r="B3800" s="1"/>
    </row>
    <row r="3801">
      <c r="A3801" s="1" t="str">
        <f>IFERROR(__xludf.DUMMYFUNCTION("""COMPUTED_VALUE"""),"101231;INF109K01696;-;ICICI Prudential Short Term Fund-Institutional Growth;43.8071;24-Apr-2020")</f>
        <v>101231;INF109K01696;-;ICICI Prudential Short Term Fund-Institutional Growth;43.8071;24-Apr-2020</v>
      </c>
      <c r="B3801" s="1"/>
    </row>
    <row r="3802">
      <c r="A3802" s="1" t="str">
        <f>IFERROR(__xludf.DUMMYFUNCTION("""COMPUTED_VALUE"""),"101230;INF109K01688;-;ICICI Prudential Short Term Fund-Institutional Plan-Dividend Fortnightly;12.8807;24-Apr-2020")</f>
        <v>101230;INF109K01688;-;ICICI Prudential Short Term Fund-Institutional Plan-Dividend Fortnightly;12.8807;24-Apr-2020</v>
      </c>
      <c r="B3802" s="1"/>
    </row>
    <row r="3803">
      <c r="A3803" s="1"/>
      <c r="B3803" s="1"/>
    </row>
    <row r="3804">
      <c r="A3804" s="1" t="str">
        <f>IFERROR(__xludf.DUMMYFUNCTION("""COMPUTED_VALUE"""),"Invesco Mutual Fund")</f>
        <v>Invesco Mutual Fund</v>
      </c>
      <c r="B3804" s="1"/>
    </row>
    <row r="3805">
      <c r="A3805" s="1"/>
      <c r="B3805" s="1"/>
    </row>
    <row r="3806">
      <c r="A3806" s="1" t="str">
        <f>IFERROR(__xludf.DUMMYFUNCTION("""COMPUTED_VALUE"""),"117973;-;INF205K01UD7;Invesco India Short Term Fund - Daily IDCW (Reinvestment);1036.8661;25-Aug-2023")</f>
        <v>117973;-;INF205K01UD7;Invesco India Short Term Fund - Daily IDCW (Reinvestment);1036.8661;25-Aug-2023</v>
      </c>
      <c r="B3806" s="1"/>
    </row>
    <row r="3807">
      <c r="A3807" s="1" t="str">
        <f>IFERROR(__xludf.DUMMYFUNCTION("""COMPUTED_VALUE"""),"120559;-;INF205K01UE5;Invesco India Short Term Fund - Direct Plan - Daily IDCW (Reinvestment);1023.5517;25-Aug-2023")</f>
        <v>120559;-;INF205K01UE5;Invesco India Short Term Fund - Direct Plan - Daily IDCW (Reinvestment);1023.5517;25-Aug-2023</v>
      </c>
      <c r="B3807" s="1"/>
    </row>
    <row r="3808">
      <c r="A3808" s="1" t="str">
        <f>IFERROR(__xludf.DUMMYFUNCTION("""COMPUTED_VALUE"""),"120560;INF205K01UH8;-;Invesco India Short Term Fund - Direct Plan - Growth;3386.7213;25-Aug-2023")</f>
        <v>120560;INF205K01UH8;-;Invesco India Short Term Fund - Direct Plan - Growth;3386.7213;25-Aug-2023</v>
      </c>
      <c r="B3808" s="1"/>
    </row>
    <row r="3809">
      <c r="A3809" s="1" t="str">
        <f>IFERROR(__xludf.DUMMYFUNCTION("""COMPUTED_VALUE"""),"120561;INF205K01UI6;INF205K01UJ4;Invesco India Short Term Fund - Direct Plan - Monthly IDCW (Payout / Reinvestment);2228.6073;25-Aug-2023")</f>
        <v>120561;INF205K01UI6;INF205K01UJ4;Invesco India Short Term Fund - Direct Plan - Monthly IDCW (Payout / Reinvestment);2228.6073;25-Aug-2023</v>
      </c>
      <c r="B3809" s="1"/>
    </row>
    <row r="3810">
      <c r="A3810" s="1" t="str">
        <f>IFERROR(__xludf.DUMMYFUNCTION("""COMPUTED_VALUE"""),"120563;INF205K01UF2;INF205K01UG0;Invesco India Short Term Fund - Direct Plan -Discretionary IDCW (Payout / Reinvestment);2389.3716;25-Aug-2023")</f>
        <v>120563;INF205K01UF2;INF205K01UG0;Invesco India Short Term Fund - Direct Plan -Discretionary IDCW (Payout / Reinvestment);2389.3716;25-Aug-2023</v>
      </c>
      <c r="B3810" s="1"/>
    </row>
    <row r="3811">
      <c r="A3811" s="1" t="str">
        <f>IFERROR(__xludf.DUMMYFUNCTION("""COMPUTED_VALUE"""),"120562;-;INF205K01UK2;Invesco India Short Term Fund - Direct Plan -Weekly IDCW (Reinvestment);1020.4139;25-Aug-2023")</f>
        <v>120562;-;INF205K01UK2;Invesco India Short Term Fund - Direct Plan -Weekly IDCW (Reinvestment);1020.4139;25-Aug-2023</v>
      </c>
      <c r="B3811" s="1"/>
    </row>
    <row r="3812">
      <c r="A3812" s="1" t="str">
        <f>IFERROR(__xludf.DUMMYFUNCTION("""COMPUTED_VALUE"""),"105185;INF205K01UN6;-;Invesco India Short Term Fund - Growth;3094.6239;25-Aug-2023")</f>
        <v>105185;INF205K01UN6;-;Invesco India Short Term Fund - Growth;3094.6239;25-Aug-2023</v>
      </c>
      <c r="B3812" s="1"/>
    </row>
    <row r="3813">
      <c r="A3813" s="1" t="str">
        <f>IFERROR(__xludf.DUMMYFUNCTION("""COMPUTED_VALUE"""),"105191;INF205K01UO4;INF205K01UP1;Invesco India Short Term Fund - Monthly IDCW (Payout / Reinvestment);1051.0899;25-Aug-2023")</f>
        <v>105191;INF205K01UO4;INF205K01UP1;Invesco India Short Term Fund - Monthly IDCW (Payout / Reinvestment);1051.0899;25-Aug-2023</v>
      </c>
      <c r="B3813" s="1"/>
    </row>
    <row r="3814">
      <c r="A3814" s="1" t="str">
        <f>IFERROR(__xludf.DUMMYFUNCTION("""COMPUTED_VALUE"""),"105189;INF205K01UR7;-;Invesco India Short Term Fund - Plan B - Growth;3083.8591;25-Aug-2023")</f>
        <v>105189;INF205K01UR7;-;Invesco India Short Term Fund - Plan B - Growth;3083.8591;25-Aug-2023</v>
      </c>
      <c r="B3814" s="1"/>
    </row>
    <row r="3815">
      <c r="A3815" s="1" t="str">
        <f>IFERROR(__xludf.DUMMYFUNCTION("""COMPUTED_VALUE"""),"105187;INF205K01US5;INF205K01UT3;Invesco India Short Term Fund - Plan B - Monthly IDCW (Payout / Reinvestment);2023.3094;25-Aug-2023")</f>
        <v>105187;INF205K01US5;INF205K01UT3;Invesco India Short Term Fund - Plan B - Monthly IDCW (Payout / Reinvestment);2023.3094;25-Aug-2023</v>
      </c>
      <c r="B3815" s="1"/>
    </row>
    <row r="3816">
      <c r="A3816" s="1" t="str">
        <f>IFERROR(__xludf.DUMMYFUNCTION("""COMPUTED_VALUE"""),"105192;-;INF205K01UU1;Invesco India Short Term Fund - Plan B - Weekly IDCW (Reinvestment);1016.8201;25-Aug-2023")</f>
        <v>105192;-;INF205K01UU1;Invesco India Short Term Fund - Plan B - Weekly IDCW (Reinvestment);1016.8201;25-Aug-2023</v>
      </c>
      <c r="B3816" s="1"/>
    </row>
    <row r="3817">
      <c r="A3817" s="1" t="str">
        <f>IFERROR(__xludf.DUMMYFUNCTION("""COMPUTED_VALUE"""),"105190;-;INF205K01UV9;Invesco India Short Term Fund - Weekly IDCW (Reinvestment);1020.315;25-Aug-2023")</f>
        <v>105190;-;INF205K01UV9;Invesco India Short Term Fund - Weekly IDCW (Reinvestment);1020.315;25-Aug-2023</v>
      </c>
      <c r="B3817" s="1"/>
    </row>
    <row r="3818">
      <c r="A3818" s="1" t="str">
        <f>IFERROR(__xludf.DUMMYFUNCTION("""COMPUTED_VALUE"""),"116110;INF205K01UL0;INF205K01UM8;Invesco India Short Term Fund- Discretionary IDCW (Payout / Reinvestment);2308.4234;25-Aug-2023")</f>
        <v>116110;INF205K01UL0;INF205K01UM8;Invesco India Short Term Fund- Discretionary IDCW (Payout / Reinvestment);2308.4234;25-Aug-2023</v>
      </c>
      <c r="B3818" s="1"/>
    </row>
    <row r="3819">
      <c r="A3819" s="1"/>
      <c r="B3819" s="1"/>
    </row>
    <row r="3820">
      <c r="A3820" s="1" t="str">
        <f>IFERROR(__xludf.DUMMYFUNCTION("""COMPUTED_VALUE"""),"JM Financial Mutual Fund")</f>
        <v>JM Financial Mutual Fund</v>
      </c>
      <c r="B3820" s="1"/>
    </row>
    <row r="3821">
      <c r="A3821" s="1"/>
      <c r="B3821" s="1"/>
    </row>
    <row r="3822">
      <c r="A3822" s="1" t="str">
        <f>IFERROR(__xludf.DUMMYFUNCTION("""COMPUTED_VALUE"""),"150545;INF192K01MP8;-;JM Short Duration Fund (Direct) - Growth;10.6388;25-Aug-2023")</f>
        <v>150545;INF192K01MP8;-;JM Short Duration Fund (Direct) - Growth;10.6388;25-Aug-2023</v>
      </c>
      <c r="B3822" s="1"/>
    </row>
    <row r="3823">
      <c r="A3823" s="1" t="str">
        <f>IFERROR(__xludf.DUMMYFUNCTION("""COMPUTED_VALUE"""),"150544;INF192K01MQ6;INF192K01MR4;JM Short Duration Fund (Direct) - IDCW;10.6388;25-Aug-2023")</f>
        <v>150544;INF192K01MQ6;INF192K01MR4;JM Short Duration Fund (Direct) - IDCW;10.6388;25-Aug-2023</v>
      </c>
      <c r="B3823" s="1"/>
    </row>
    <row r="3824">
      <c r="A3824" s="1" t="str">
        <f>IFERROR(__xludf.DUMMYFUNCTION("""COMPUTED_VALUE"""),"150542;INF192K01MM5;-;JM Short Duration Fund (Regular) - Growth;10.5475;25-Aug-2023")</f>
        <v>150542;INF192K01MM5;-;JM Short Duration Fund (Regular) - Growth;10.5475;25-Aug-2023</v>
      </c>
      <c r="B3824" s="1"/>
    </row>
    <row r="3825">
      <c r="A3825" s="1" t="str">
        <f>IFERROR(__xludf.DUMMYFUNCTION("""COMPUTED_VALUE"""),"150543;INF192K01MN3;INF192K01MO1;JM Short Duration Fund (Regular) - IDCW;10.5476;25-Aug-2023")</f>
        <v>150543;INF192K01MN3;INF192K01MO1;JM Short Duration Fund (Regular) - IDCW;10.5476;25-Aug-2023</v>
      </c>
      <c r="B3825" s="1"/>
    </row>
    <row r="3826">
      <c r="A3826" s="1" t="str">
        <f>IFERROR(__xludf.DUMMYFUNCTION("""COMPUTED_VALUE"""),"120469;-;INF192K01DZ6;JM Short Term Fund (Direct) - Daily Dividend Option;14.6036;25-Sep-2020")</f>
        <v>120469;-;INF192K01DZ6;JM Short Term Fund (Direct) - Daily Dividend Option;14.6036;25-Sep-2020</v>
      </c>
      <c r="B3826" s="1"/>
    </row>
    <row r="3827">
      <c r="A3827" s="1" t="str">
        <f>IFERROR(__xludf.DUMMYFUNCTION("""COMPUTED_VALUE"""),"120470;INF192K01DX1;INF192K01DY9;JM Short Term Fund (Direct) - Dividend Option;10.6757;25-Sep-2020")</f>
        <v>120470;INF192K01DX1;INF192K01DY9;JM Short Term Fund (Direct) - Dividend Option;10.6757;25-Sep-2020</v>
      </c>
      <c r="B3827" s="1"/>
    </row>
    <row r="3828">
      <c r="A3828" s="1" t="str">
        <f>IFERROR(__xludf.DUMMYFUNCTION("""COMPUTED_VALUE"""),"120471;INF192K01EA7;-;JM Short Term Fund (Direct) - Growth Option;26.9629;25-Sep-2020")</f>
        <v>120471;INF192K01EA7;-;JM Short Term Fund (Direct) - Growth Option;26.9629;25-Sep-2020</v>
      </c>
      <c r="B3828" s="1"/>
    </row>
    <row r="3829">
      <c r="A3829" s="1" t="str">
        <f>IFERROR(__xludf.DUMMYFUNCTION("""COMPUTED_VALUE"""),"115103;-;INF192K01BD7;JM Short Term Fund - Daily Dividend Option;14.0738;25-Sep-2020")</f>
        <v>115103;-;INF192K01BD7;JM Short Term Fund - Daily Dividend Option;14.0738;25-Sep-2020</v>
      </c>
      <c r="B3829" s="1"/>
    </row>
    <row r="3830">
      <c r="A3830" s="1" t="str">
        <f>IFERROR(__xludf.DUMMYFUNCTION("""COMPUTED_VALUE"""),"101524;INF192K01BE5;INF192K01BF2;JM Short Term Fund - Dividend Option;10.6037;25-Sep-2020")</f>
        <v>101524;INF192K01BE5;INF192K01BF2;JM Short Term Fund - Dividend Option;10.6037;25-Sep-2020</v>
      </c>
      <c r="B3830" s="1"/>
    </row>
    <row r="3831">
      <c r="A3831" s="1" t="str">
        <f>IFERROR(__xludf.DUMMYFUNCTION("""COMPUTED_VALUE"""),"101521;INF192K01BG0;-;JM Short Term Fund - Growth Option;26.4425;25-Sep-2020")</f>
        <v>101521;INF192K01BG0;-;JM Short Term Fund - Growth Option;26.4425;25-Sep-2020</v>
      </c>
      <c r="B3831" s="1"/>
    </row>
    <row r="3832">
      <c r="A3832" s="1" t="str">
        <f>IFERROR(__xludf.DUMMYFUNCTION("""COMPUTED_VALUE"""),"115090;-;INF192K01AZ2;JM Short Term Fund - Regular Plan - Daily Dividend Option;13.9335;25-Sep-2020")</f>
        <v>115090;-;INF192K01AZ2;JM Short Term Fund - Regular Plan - Daily Dividend Option;13.9335;25-Sep-2020</v>
      </c>
      <c r="B3832" s="1"/>
    </row>
    <row r="3833">
      <c r="A3833" s="1" t="str">
        <f>IFERROR(__xludf.DUMMYFUNCTION("""COMPUTED_VALUE"""),"101519;INF192K01BA3;INF192K01BB1;JM Short Term Fund - Regular Plan - Dividend Option;11.6715;25-Sep-2020")</f>
        <v>101519;INF192K01BA3;INF192K01BB1;JM Short Term Fund - Regular Plan - Dividend Option;11.6715;25-Sep-2020</v>
      </c>
      <c r="B3833" s="1"/>
    </row>
    <row r="3834">
      <c r="A3834" s="1" t="str">
        <f>IFERROR(__xludf.DUMMYFUNCTION("""COMPUTED_VALUE"""),"101520;INF192K01BC9;-;JM Short Term Fund - Regular Plan - Growth Option;36.0763;25-Sep-2020")</f>
        <v>101520;INF192K01BC9;-;JM Short Term Fund - Regular Plan - Growth Option;36.0763;25-Sep-2020</v>
      </c>
      <c r="B3834" s="1"/>
    </row>
    <row r="3835">
      <c r="A3835" s="1"/>
      <c r="B3835" s="1"/>
    </row>
    <row r="3836">
      <c r="A3836" s="1" t="str">
        <f>IFERROR(__xludf.DUMMYFUNCTION("""COMPUTED_VALUE"""),"Kotak Mahindra Mutual Fund")</f>
        <v>Kotak Mahindra Mutual Fund</v>
      </c>
      <c r="B3836" s="1"/>
    </row>
    <row r="3837">
      <c r="A3837" s="1"/>
      <c r="B3837" s="1"/>
    </row>
    <row r="3838">
      <c r="A3838" s="1" t="str">
        <f>IFERROR(__xludf.DUMMYFUNCTION("""COMPUTED_VALUE"""),"135500;INF174K01Z14;INF174K01Z22;Kotak Bond Short Term Plan - Direct - Standard Income Distribution cum capital withdrawal option;13.9386;25-Aug-2023")</f>
        <v>135500;INF174K01Z14;INF174K01Z22;Kotak Bond Short Term Plan - Direct - Standard Income Distribution cum capital withdrawal option;13.9386;25-Aug-2023</v>
      </c>
      <c r="B3838" s="1"/>
    </row>
    <row r="3839">
      <c r="A3839" s="1" t="str">
        <f>IFERROR(__xludf.DUMMYFUNCTION("""COMPUTED_VALUE"""),"135501;INF174K01Y98;INF174K01Z06;Kotak Bond Short Term Plan - Regular Plan - Normal Dividend;10.7479;25-Aug-2023")</f>
        <v>135501;INF174K01Y98;INF174K01Z06;Kotak Bond Short Term Plan - Regular Plan - Normal Dividend;10.7479;25-Aug-2023</v>
      </c>
      <c r="B3839" s="1"/>
    </row>
    <row r="3840">
      <c r="A3840" s="1" t="str">
        <f>IFERROR(__xludf.DUMMYFUNCTION("""COMPUTED_VALUE"""),"101373;INF174K01ES7;-;Kotak Bond Short Term Plan-(Growth);45.3898;25-Aug-2023")</f>
        <v>101373;INF174K01ES7;-;Kotak Bond Short Term Plan-(Growth);45.3898;25-Aug-2023</v>
      </c>
      <c r="B3840" s="1"/>
    </row>
    <row r="3841">
      <c r="A3841" s="1" t="str">
        <f>IFERROR(__xludf.DUMMYFUNCTION("""COMPUTED_VALUE"""),"119739;INF174K01JI7;-;Kotak Bond Short Term Plan-(Growth) - Direct;49.2612;25-Aug-2023")</f>
        <v>119739;INF174K01JI7;-;Kotak Bond Short Term Plan-(Growth) - Direct;49.2612;25-Aug-2023</v>
      </c>
      <c r="B3841" s="1"/>
    </row>
    <row r="3842">
      <c r="A3842" s="1" t="str">
        <f>IFERROR(__xludf.DUMMYFUNCTION("""COMPUTED_VALUE"""),"101372;INF174K01EU3;INF174K01ET5;Kotak Bond Short Term Plan-(Payout of Income Distribution cum capital withdrawal option);10.0545;17-Sep-2021")</f>
        <v>101372;INF174K01EU3;INF174K01ET5;Kotak Bond Short Term Plan-(Payout of Income Distribution cum capital withdrawal option);10.0545;17-Sep-2021</v>
      </c>
      <c r="B3842" s="1"/>
    </row>
    <row r="3843">
      <c r="A3843" s="1"/>
      <c r="B3843" s="1"/>
    </row>
    <row r="3844">
      <c r="A3844" s="1" t="str">
        <f>IFERROR(__xludf.DUMMYFUNCTION("""COMPUTED_VALUE"""),"LIC Mutual Fund")</f>
        <v>LIC Mutual Fund</v>
      </c>
      <c r="B3844" s="1"/>
    </row>
    <row r="3845">
      <c r="A3845" s="1"/>
      <c r="B3845" s="1"/>
    </row>
    <row r="3846">
      <c r="A3846" s="1" t="str">
        <f>IFERROR(__xludf.DUMMYFUNCTION("""COMPUTED_VALUE"""),"145954;INF767K01PW6;-;LIC MF Short Duration Fund-Direct Plan-Growth;13.3604;25-Aug-2023")</f>
        <v>145954;INF767K01PW6;-;LIC MF Short Duration Fund-Direct Plan-Growth;13.3604;25-Aug-2023</v>
      </c>
      <c r="B3846" s="1"/>
    </row>
    <row r="3847">
      <c r="A3847" s="1" t="str">
        <f>IFERROR(__xludf.DUMMYFUNCTION("""COMPUTED_VALUE"""),"145953;INF767K01PX4;INF767K01PY2;LIC MF Short Duration Fund-Direct Plan-IDCW;13.3604;25-Aug-2023")</f>
        <v>145953;INF767K01PX4;INF767K01PY2;LIC MF Short Duration Fund-Direct Plan-IDCW;13.3604;25-Aug-2023</v>
      </c>
      <c r="B3847" s="1"/>
    </row>
    <row r="3848">
      <c r="A3848" s="1" t="str">
        <f>IFERROR(__xludf.DUMMYFUNCTION("""COMPUTED_VALUE"""),"151959;INF397L01BH1;INF397L01BI9;LIC MF Short Duration Fund-Direct Plan-Monthly IDCW;13.3603;25-Aug-2023")</f>
        <v>151959;INF397L01BH1;INF397L01BI9;LIC MF Short Duration Fund-Direct Plan-Monthly IDCW;13.3603;25-Aug-2023</v>
      </c>
      <c r="B3848" s="1"/>
    </row>
    <row r="3849">
      <c r="A3849" s="1" t="str">
        <f>IFERROR(__xludf.DUMMYFUNCTION("""COMPUTED_VALUE"""),"151960;INF397L01BK5;INF397L01BL3;LIC MF Short Duration Fund-Direct Plan-Weekly IDCW;13.3603;25-Aug-2023")</f>
        <v>151960;INF397L01BK5;INF397L01BL3;LIC MF Short Duration Fund-Direct Plan-Weekly IDCW;13.3603;25-Aug-2023</v>
      </c>
      <c r="B3849" s="1"/>
    </row>
    <row r="3850">
      <c r="A3850" s="1" t="str">
        <f>IFERROR(__xludf.DUMMYFUNCTION("""COMPUTED_VALUE"""),"145952;INF767K01PT2;-;LIC MF Short Duration Fund-Regular Plan-Growth;12.7337;25-Aug-2023")</f>
        <v>145952;INF767K01PT2;-;LIC MF Short Duration Fund-Regular Plan-Growth;12.7337;25-Aug-2023</v>
      </c>
      <c r="B3850" s="1"/>
    </row>
    <row r="3851">
      <c r="A3851" s="1" t="str">
        <f>IFERROR(__xludf.DUMMYFUNCTION("""COMPUTED_VALUE"""),"145951;INF767K01PU0;INF767K01PV8;LIC MF Short Duration Fund-Regular Plan-IDCW;12.7337;25-Aug-2023")</f>
        <v>145951;INF767K01PU0;INF767K01PV8;LIC MF Short Duration Fund-Regular Plan-IDCW;12.7337;25-Aug-2023</v>
      </c>
      <c r="B3851" s="1"/>
    </row>
    <row r="3852">
      <c r="A3852" s="1" t="str">
        <f>IFERROR(__xludf.DUMMYFUNCTION("""COMPUTED_VALUE"""),"151955;INF397L01406;INF397L01414;LIC MF Short Duration Fund-Regular Plan-Monthly IDCW;12.7337;25-Aug-2023")</f>
        <v>151955;INF397L01406;INF397L01414;LIC MF Short Duration Fund-Regular Plan-Monthly IDCW;12.7337;25-Aug-2023</v>
      </c>
      <c r="B3852" s="1"/>
    </row>
    <row r="3853">
      <c r="A3853" s="1" t="str">
        <f>IFERROR(__xludf.DUMMYFUNCTION("""COMPUTED_VALUE"""),"151956;INF397L01430;INF397L01448;LIC MF Short Duration Fund-Regular Plan-Weekly IDCW;12.693;25-Aug-2023")</f>
        <v>151956;INF397L01430;INF397L01448;LIC MF Short Duration Fund-Regular Plan-Weekly IDCW;12.693;25-Aug-2023</v>
      </c>
      <c r="B3853" s="1"/>
    </row>
    <row r="3854">
      <c r="A3854" s="1"/>
      <c r="B3854" s="1"/>
    </row>
    <row r="3855">
      <c r="A3855" s="1" t="str">
        <f>IFERROR(__xludf.DUMMYFUNCTION("""COMPUTED_VALUE"""),"Mahindra Manulife Mutual Fund")</f>
        <v>Mahindra Manulife Mutual Fund</v>
      </c>
      <c r="B3855" s="1"/>
    </row>
    <row r="3856">
      <c r="A3856" s="1"/>
      <c r="B3856" s="1"/>
    </row>
    <row r="3857">
      <c r="A3857" s="1" t="str">
        <f>IFERROR(__xludf.DUMMYFUNCTION("""COMPUTED_VALUE"""),"148730;INF174V01AO1;INF174V01AN3;Mahindra Manulife Short Duration Fund - Direct Plan - IDCW;10.9622;25-Aug-2023")</f>
        <v>148730;INF174V01AO1;INF174V01AN3;Mahindra Manulife Short Duration Fund - Direct Plan - IDCW;10.9622;25-Aug-2023</v>
      </c>
      <c r="B3857" s="1"/>
    </row>
    <row r="3858">
      <c r="A3858" s="1" t="str">
        <f>IFERROR(__xludf.DUMMYFUNCTION("""COMPUTED_VALUE"""),"148729;INF174V01AM5;-;Mahindra Manulife Short Duration Fund - Direct Plan -Growth;11.3776;25-Aug-2023")</f>
        <v>148729;INF174V01AM5;-;Mahindra Manulife Short Duration Fund - Direct Plan -Growth;11.3776;25-Aug-2023</v>
      </c>
      <c r="B3858" s="1"/>
    </row>
    <row r="3859">
      <c r="A3859" s="1" t="str">
        <f>IFERROR(__xludf.DUMMYFUNCTION("""COMPUTED_VALUE"""),"148727;INF174V01AJ1;-;Mahindra Manulife Short Duration Fund - Regular Plan - Growth;11.1074;25-Aug-2023")</f>
        <v>148727;INF174V01AJ1;-;Mahindra Manulife Short Duration Fund - Regular Plan - Growth;11.1074;25-Aug-2023</v>
      </c>
      <c r="B3859" s="1"/>
    </row>
    <row r="3860">
      <c r="A3860" s="1" t="str">
        <f>IFERROR(__xludf.DUMMYFUNCTION("""COMPUTED_VALUE"""),"148728;INF174V01AL7;INF174V01AK9;Mahindra Manulife Short Duration Fund - Regular Plan - IDCW;10.6928;25-Aug-2023")</f>
        <v>148728;INF174V01AL7;INF174V01AK9;Mahindra Manulife Short Duration Fund - Regular Plan - IDCW;10.6928;25-Aug-2023</v>
      </c>
      <c r="B3860" s="1"/>
    </row>
    <row r="3861">
      <c r="A3861" s="1"/>
      <c r="B3861" s="1"/>
    </row>
    <row r="3862">
      <c r="A3862" s="1" t="str">
        <f>IFERROR(__xludf.DUMMYFUNCTION("""COMPUTED_VALUE"""),"Mirae Asset Mutual Fund")</f>
        <v>Mirae Asset Mutual Fund</v>
      </c>
      <c r="B3862" s="1"/>
    </row>
    <row r="3863">
      <c r="A3863" s="1"/>
      <c r="B3863" s="1"/>
    </row>
    <row r="3864">
      <c r="A3864" s="1" t="str">
        <f>IFERROR(__xludf.DUMMYFUNCTION("""COMPUTED_VALUE"""),"142641;INF769K01DX6;-;Mirae Asset Short Term Fund -Direct Plan- Growth;14.3354;25-Aug-2023")</f>
        <v>142641;INF769K01DX6;-;Mirae Asset Short Term Fund -Direct Plan- Growth;14.3354;25-Aug-2023</v>
      </c>
      <c r="B3864" s="1"/>
    </row>
    <row r="3865">
      <c r="A3865" s="1" t="str">
        <f>IFERROR(__xludf.DUMMYFUNCTION("""COMPUTED_VALUE"""),"142640;INF769K01DY4;INF769K01DZ1;Mirae Asset Short Term Fund Direct IDCW;14.3144;25-Aug-2023")</f>
        <v>142640;INF769K01DY4;INF769K01DZ1;Mirae Asset Short Term Fund Direct IDCW;14.3144;25-Aug-2023</v>
      </c>
      <c r="B3865" s="1"/>
    </row>
    <row r="3866">
      <c r="A3866" s="1" t="str">
        <f>IFERROR(__xludf.DUMMYFUNCTION("""COMPUTED_VALUE"""),"142643;INF769K01DV0;INF769K01DW8;Mirae Asset Short Term Fund Regular IDCW;13.7284;25-Aug-2023")</f>
        <v>142643;INF769K01DV0;INF769K01DW8;Mirae Asset Short Term Fund Regular IDCW;13.7284;25-Aug-2023</v>
      </c>
      <c r="B3866" s="1"/>
    </row>
    <row r="3867">
      <c r="A3867" s="1" t="str">
        <f>IFERROR(__xludf.DUMMYFUNCTION("""COMPUTED_VALUE"""),"142642;INF769K01DU2;-;Mirae Asset Short Term Fund- Regular Plan -Growth;13.7255;25-Aug-2023")</f>
        <v>142642;INF769K01DU2;-;Mirae Asset Short Term Fund- Regular Plan -Growth;13.7255;25-Aug-2023</v>
      </c>
      <c r="B3867" s="1"/>
    </row>
    <row r="3868">
      <c r="A3868" s="1"/>
      <c r="B3868" s="1"/>
    </row>
    <row r="3869">
      <c r="A3869" s="1" t="str">
        <f>IFERROR(__xludf.DUMMYFUNCTION("""COMPUTED_VALUE"""),"Nippon India Mutual Fund")</f>
        <v>Nippon India Mutual Fund</v>
      </c>
      <c r="B3869" s="1"/>
    </row>
    <row r="3870">
      <c r="A3870" s="1"/>
      <c r="B3870" s="1"/>
    </row>
    <row r="3871">
      <c r="A3871" s="1" t="str">
        <f>IFERROR(__xludf.DUMMYFUNCTION("""COMPUTED_VALUE"""),"125269;INF204KA1ES0;INF204KA1ET8;NIPPON INDIA SHORT TERM FUND - Direct Plan - IDCW Option;19.9588;25-Aug-2023")</f>
        <v>125269;INF204KA1ES0;INF204KA1ET8;NIPPON INDIA SHORT TERM FUND - Direct Plan - IDCW Option;19.9588;25-Aug-2023</v>
      </c>
      <c r="B3871" s="1"/>
    </row>
    <row r="3872">
      <c r="A3872" s="1" t="str">
        <f>IFERROR(__xludf.DUMMYFUNCTION("""COMPUTED_VALUE"""),"118797;INF204K01B40;-;NIPPON INDIA SHORT TERM FUND - Direct Plan - MONTHLY IDCW Option;11.6875;25-Aug-2023")</f>
        <v>118797;INF204K01B40;-;NIPPON INDIA SHORT TERM FUND - Direct Plan - MONTHLY IDCW Option;11.6875;25-Aug-2023</v>
      </c>
      <c r="B3872" s="1"/>
    </row>
    <row r="3873">
      <c r="A3873" s="1" t="str">
        <f>IFERROR(__xludf.DUMMYFUNCTION("""COMPUTED_VALUE"""),"118800;INF204K01B65;INF204K01B73;NIPPON INDIA SHORT TERM FUND - Direct Plan - QUARTERLY IDCW OPTION;15.0739;25-Aug-2023")</f>
        <v>118800;INF204K01B65;INF204K01B73;NIPPON INDIA SHORT TERM FUND - Direct Plan - QUARTERLY IDCW OPTION;15.0739;25-Aug-2023</v>
      </c>
      <c r="B3873" s="1"/>
    </row>
    <row r="3874">
      <c r="A3874" s="1" t="str">
        <f>IFERROR(__xludf.DUMMYFUNCTION("""COMPUTED_VALUE"""),"118796;INF204K01B32;-;Nippon India Short Term Fund - Direct Plan Growth Plan - Growth Option;49.1107;25-Aug-2023")</f>
        <v>118796;INF204K01B32;-;Nippon India Short Term Fund - Direct Plan Growth Plan - Growth Option;49.1107;25-Aug-2023</v>
      </c>
      <c r="B3874" s="1"/>
    </row>
    <row r="3875">
      <c r="A3875" s="1" t="str">
        <f>IFERROR(__xludf.DUMMYFUNCTION("""COMPUTED_VALUE"""),"125268;INF204KA1EQ4;INF204KA1ER2;NIPPON INDIA SHORT TERM FUND - IDCW Option;18.5767;25-Aug-2023")</f>
        <v>125268;INF204KA1EQ4;INF204KA1ER2;NIPPON INDIA SHORT TERM FUND - IDCW Option;18.5767;25-Aug-2023</v>
      </c>
      <c r="B3875" s="1"/>
    </row>
    <row r="3876">
      <c r="A3876" s="1" t="str">
        <f>IFERROR(__xludf.DUMMYFUNCTION("""COMPUTED_VALUE"""),"101667;INF204K01FM2;INF204K01FN0;NIPPON INDIA SHORT TERM FUND - MONTHLY IDCW Option;11.4636;25-Aug-2023")</f>
        <v>101667;INF204K01FM2;INF204K01FN0;NIPPON INDIA SHORT TERM FUND - MONTHLY IDCW Option;11.4636;25-Aug-2023</v>
      </c>
      <c r="B3876" s="1"/>
    </row>
    <row r="3877">
      <c r="A3877" s="1" t="str">
        <f>IFERROR(__xludf.DUMMYFUNCTION("""COMPUTED_VALUE"""),"101669;INF204K01FO8;INF204K01FP5;NIPPON INDIA SHORT TERM FUND - QUARTERLY IDCW OPTION;14.7310;25-Aug-2023")</f>
        <v>101669;INF204K01FO8;INF204K01FP5;NIPPON INDIA SHORT TERM FUND - QUARTERLY IDCW OPTION;14.7310;25-Aug-2023</v>
      </c>
      <c r="B3877" s="1"/>
    </row>
    <row r="3878">
      <c r="A3878" s="1" t="str">
        <f>IFERROR(__xludf.DUMMYFUNCTION("""COMPUTED_VALUE"""),"101665;INF204K01FL4;-;Nippon India Short Term Fund-Growth Plan;45.6728;25-Aug-2023")</f>
        <v>101665;INF204K01FL4;-;Nippon India Short Term Fund-Growth Plan;45.6728;25-Aug-2023</v>
      </c>
      <c r="B3878" s="1"/>
    </row>
    <row r="3879">
      <c r="A3879" s="1"/>
      <c r="B3879" s="1"/>
    </row>
    <row r="3880">
      <c r="A3880" s="1" t="str">
        <f>IFERROR(__xludf.DUMMYFUNCTION("""COMPUTED_VALUE"""),"PGIM India Mutual Fund")</f>
        <v>PGIM India Mutual Fund</v>
      </c>
      <c r="B3880" s="1"/>
    </row>
    <row r="3881">
      <c r="A3881" s="1"/>
      <c r="B3881" s="1"/>
    </row>
    <row r="3882">
      <c r="A3882" s="1" t="str">
        <f>IFERROR(__xludf.DUMMYFUNCTION("""COMPUTED_VALUE"""),"138277;INF223J01XB0;-;PGIM India Short Duration Fund - Annual Bonus;24.3014;21-Jan-2022")</f>
        <v>138277;INF223J01XB0;-;PGIM India Short Duration Fund - Annual Bonus;24.3014;21-Jan-2022</v>
      </c>
      <c r="B3882" s="1"/>
    </row>
    <row r="3883">
      <c r="A3883" s="1" t="str">
        <f>IFERROR(__xludf.DUMMYFUNCTION("""COMPUTED_VALUE"""),"138266;INF223J01KD3;INF223J01KE1;PGIM India Short Duration Fund - Annual Dividend;10.0598;16-Apr-2019")</f>
        <v>138266;INF223J01KD3;INF223J01KE1;PGIM India Short Duration Fund - Annual Dividend;10.0598;16-Apr-2019</v>
      </c>
      <c r="B3883" s="1"/>
    </row>
    <row r="3884">
      <c r="A3884" s="1" t="str">
        <f>IFERROR(__xludf.DUMMYFUNCTION("""COMPUTED_VALUE"""),"138264;INF223J01DW8;-;PGIM India Short Duration Fund - Bonus;17.6687;28-Jul-2019")</f>
        <v>138264;INF223J01DW8;-;PGIM India Short Duration Fund - Bonus;17.6687;28-Jul-2019</v>
      </c>
      <c r="B3884" s="1"/>
    </row>
    <row r="3885">
      <c r="A3885" s="1" t="str">
        <f>IFERROR(__xludf.DUMMYFUNCTION("""COMPUTED_VALUE"""),"138270;INF223J01OW5;-;PGIM India Short Duration Fund - Direct Plan - Growth;42.6226;25-Aug-2023")</f>
        <v>138270;INF223J01OW5;-;PGIM India Short Duration Fund - Direct Plan - Growth;42.6226;25-Aug-2023</v>
      </c>
      <c r="B3885" s="1"/>
    </row>
    <row r="3886">
      <c r="A3886" s="1" t="str">
        <f>IFERROR(__xludf.DUMMYFUNCTION("""COMPUTED_VALUE"""),"138268;INF223J01OX3;INF223J01OY1;PGIM India Short Duration Fund - Direct Plan - Monthly Dividend;12.2087;25-Aug-2023")</f>
        <v>138268;INF223J01OX3;INF223J01OY1;PGIM India Short Duration Fund - Direct Plan - Monthly Dividend;12.2087;25-Aug-2023</v>
      </c>
      <c r="B3886" s="1"/>
    </row>
    <row r="3887">
      <c r="A3887" s="1" t="str">
        <f>IFERROR(__xludf.DUMMYFUNCTION("""COMPUTED_VALUE"""),"138271;INF223J01PB6;INF223J01PC4;PGIM India Short Duration Fund - Direct Plan - Quarterly Dividend;10.7621;25-Aug-2023")</f>
        <v>138271;INF223J01PB6;INF223J01PC4;PGIM India Short Duration Fund - Direct Plan - Quarterly Dividend;10.7621;25-Aug-2023</v>
      </c>
      <c r="B3887" s="1"/>
    </row>
    <row r="3888">
      <c r="A3888" s="1" t="str">
        <f>IFERROR(__xludf.DUMMYFUNCTION("""COMPUTED_VALUE"""),"138256;INF223J01DT4;-;PGIM India Short Duration Fund - Growth;39.1303;25-Aug-2023")</f>
        <v>138256;INF223J01DT4;-;PGIM India Short Duration Fund - Growth;39.1303;25-Aug-2023</v>
      </c>
      <c r="B3888" s="1"/>
    </row>
    <row r="3889">
      <c r="A3889" s="1" t="str">
        <f>IFERROR(__xludf.DUMMYFUNCTION("""COMPUTED_VALUE"""),"138274;INF223J01WH9;-;PGIM India Short Duration Fund - Half Yearly Bonus;14.7284;21-Jan-2022")</f>
        <v>138274;INF223J01WH9;-;PGIM India Short Duration Fund - Half Yearly Bonus;14.7284;21-Jan-2022</v>
      </c>
      <c r="B3889" s="1"/>
    </row>
    <row r="3890">
      <c r="A3890" s="1" t="str">
        <f>IFERROR(__xludf.DUMMYFUNCTION("""COMPUTED_VALUE"""),"138254;INF223J01DU2;INF223J01DV0;PGIM India Short Duration Fund - Monthly Dividend;11.5131;25-Aug-2023")</f>
        <v>138254;INF223J01DU2;INF223J01DV0;PGIM India Short Duration Fund - Monthly Dividend;11.5131;25-Aug-2023</v>
      </c>
      <c r="B3890" s="1"/>
    </row>
    <row r="3891">
      <c r="A3891" s="1" t="str">
        <f>IFERROR(__xludf.DUMMYFUNCTION("""COMPUTED_VALUE"""),"138265;INF223J01KB7;INF223J01KC5;PGIM India Short Duration Fund - Quarterly Dividend;10.1649;25-Aug-2023")</f>
        <v>138265;INF223J01KB7;INF223J01KC5;PGIM India Short Duration Fund - Quarterly Dividend;10.1649;25-Aug-2023</v>
      </c>
      <c r="B3891" s="1"/>
    </row>
    <row r="3892">
      <c r="A3892" s="1" t="str">
        <f>IFERROR(__xludf.DUMMYFUNCTION("""COMPUTED_VALUE"""),"138276;INF223J01XC8;-;PGIM India Short Maturity Fund - Direct Plan - Annual Bonus;23.5281;03-Apr-2019")</f>
        <v>138276;INF223J01XC8;-;PGIM India Short Maturity Fund - Direct Plan - Annual Bonus;23.5281;03-Apr-2019</v>
      </c>
      <c r="B3892" s="1"/>
    </row>
    <row r="3893">
      <c r="A3893" s="1" t="str">
        <f>IFERROR(__xludf.DUMMYFUNCTION("""COMPUTED_VALUE"""),"138273;INF223J01OT1;INF223J01OU9;PGIM India Short Maturity Fund - Direct Plan - Annual Dividend;10.1326;26-Dec-2017")</f>
        <v>138273;INF223J01OT1;INF223J01OU9;PGIM India Short Maturity Fund - Direct Plan - Annual Dividend;10.1326;26-Dec-2017</v>
      </c>
      <c r="B3893" s="1"/>
    </row>
    <row r="3894">
      <c r="A3894" s="1" t="str">
        <f>IFERROR(__xludf.DUMMYFUNCTION("""COMPUTED_VALUE"""),"138275;INF223J01WI7;-;PGIM India Short Maturity Fund - Direct Plan - Half Yearly Bonus;12.7489;30-Jun-2016")</f>
        <v>138275;INF223J01WI7;-;PGIM India Short Maturity Fund - Direct Plan - Half Yearly Bonus;12.7489;30-Jun-2016</v>
      </c>
      <c r="B3894" s="1"/>
    </row>
    <row r="3895">
      <c r="A3895" s="1" t="str">
        <f>IFERROR(__xludf.DUMMYFUNCTION("""COMPUTED_VALUE"""),"138272;INF223J01OZ8;INF223J01PA8;PGIM India Short Maturity Fund - Direct Plan - Weekly Dividend;9.5938;28-Jul-2019")</f>
        <v>138272;INF223J01OZ8;INF223J01PA8;PGIM India Short Maturity Fund - Direct Plan - Weekly Dividend;9.5938;28-Jul-2019</v>
      </c>
      <c r="B3895" s="1"/>
    </row>
    <row r="3896">
      <c r="A3896" s="1" t="str">
        <f>IFERROR(__xludf.DUMMYFUNCTION("""COMPUTED_VALUE"""),"138257;INF223J01DG1;-;PGIM India Short Maturity Fund - Institutional Plan - Growth;20.5151;22-Oct-2018")</f>
        <v>138257;INF223J01DG1;-;PGIM India Short Maturity Fund - Institutional Plan - Growth;20.5151;22-Oct-2018</v>
      </c>
      <c r="B3896" s="1"/>
    </row>
    <row r="3897">
      <c r="A3897" s="1" t="str">
        <f>IFERROR(__xludf.DUMMYFUNCTION("""COMPUTED_VALUE"""),"138262;INF223J01DN7;-;PGIM India Short Maturity Fund - Premium Plus - Growth;17.8274;04-Jul-2018")</f>
        <v>138262;INF223J01DN7;-;PGIM India Short Maturity Fund - Premium Plus - Growth;17.8274;04-Jul-2018</v>
      </c>
      <c r="B3897" s="1"/>
    </row>
    <row r="3898">
      <c r="A3898" s="1" t="str">
        <f>IFERROR(__xludf.DUMMYFUNCTION("""COMPUTED_VALUE"""),"138261;INF223J01DR8;-;PGIM India Short Maturity Fund - Premium Plus - Quarterly Dividend;9.175;28-Jul-2019")</f>
        <v>138261;INF223J01DR8;-;PGIM India Short Maturity Fund - Premium Plus - Quarterly Dividend;9.175;28-Jul-2019</v>
      </c>
      <c r="B3898" s="1"/>
    </row>
    <row r="3899">
      <c r="A3899" s="1" t="str">
        <f>IFERROR(__xludf.DUMMYFUNCTION("""COMPUTED_VALUE"""),"138260;INF223J01DP2;-;PGIM India Short Maturity Fund - Premium Plus Plan - Monthly Dividend;10.045;17-Sep-2018")</f>
        <v>138260;INF223J01DP2;-;PGIM India Short Maturity Fund - Premium Plus Plan - Monthly Dividend;10.045;17-Sep-2018</v>
      </c>
      <c r="B3899" s="1"/>
    </row>
    <row r="3900">
      <c r="A3900" s="1" t="str">
        <f>IFERROR(__xludf.DUMMYFUNCTION("""COMPUTED_VALUE"""),"138255;INF223J01DX6;INF223J01DY4;PGIM India Short Maturity Fund - Weekly Dividend;9.3589;28-Jul-2019")</f>
        <v>138255;INF223J01DX6;INF223J01DY4;PGIM India Short Maturity Fund - Weekly Dividend;9.3589;28-Jul-2019</v>
      </c>
      <c r="B3900" s="1"/>
    </row>
    <row r="3901">
      <c r="A3901" s="1"/>
      <c r="B3901" s="1"/>
    </row>
    <row r="3902">
      <c r="A3902" s="1" t="str">
        <f>IFERROR(__xludf.DUMMYFUNCTION("""COMPUTED_VALUE"""),"SBI Mutual Fund")</f>
        <v>SBI Mutual Fund</v>
      </c>
      <c r="B3902" s="1"/>
    </row>
    <row r="3903">
      <c r="A3903" s="1"/>
      <c r="B3903" s="1"/>
    </row>
    <row r="3904">
      <c r="A3904" s="1" t="str">
        <f>IFERROR(__xludf.DUMMYFUNCTION("""COMPUTED_VALUE"""),"106230;INF200K01IA9;INF200K01IB7;SBI Short Horizon Debt Fund - Short Term Fund - Retail Dividend - Fortnightly Income Distribution cum Capital Withdrawal Option (IDCW);13.1163;25-Aug-2023")</f>
        <v>106230;INF200K01IA9;INF200K01IB7;SBI Short Horizon Debt Fund - Short Term Fund - Retail Dividend - Fortnightly Income Distribution cum Capital Withdrawal Option (IDCW);13.1163;25-Aug-2023</v>
      </c>
      <c r="B3904" s="1"/>
    </row>
    <row r="3905">
      <c r="A3905" s="1" t="str">
        <f>IFERROR(__xludf.DUMMYFUNCTION("""COMPUTED_VALUE"""),"106229;INF200K01IC5;INF200K01ID3;SBI Short Horizon Debt Fund - Short Term Fund - Retail Dividend - Monthly Income Distribution cum Capital Withdrawal Option (IDCW);14.4602;25-Aug-2023")</f>
        <v>106229;INF200K01IC5;INF200K01ID3;SBI Short Horizon Debt Fund - Short Term Fund - Retail Dividend - Monthly Income Distribution cum Capital Withdrawal Option (IDCW);14.4602;25-Aug-2023</v>
      </c>
      <c r="B3905" s="1"/>
    </row>
    <row r="3906">
      <c r="A3906" s="1" t="str">
        <f>IFERROR(__xludf.DUMMYFUNCTION("""COMPUTED_VALUE"""),"106228;INF200K01IE1;INF200K01IF8;SBI Short Horizon Debt Fund - Short Term Fund - Retail Dividend - Weekly Income Distribution cum Capital Withdrawal Option (IDCW);13.0962;25-Aug-2023")</f>
        <v>106228;INF200K01IE1;INF200K01IF8;SBI Short Horizon Debt Fund - Short Term Fund - Retail Dividend - Weekly Income Distribution cum Capital Withdrawal Option (IDCW);13.0962;25-Aug-2023</v>
      </c>
      <c r="B3906" s="1"/>
    </row>
    <row r="3907">
      <c r="A3907" s="1" t="str">
        <f>IFERROR(__xludf.DUMMYFUNCTION("""COMPUTED_VALUE"""),"106227;INF200K01IG6;-;SBI SHORT HORIZON DEBT FUND-SHORT TERM FUND - RETAIL - GROWTH;31.5709;25-Aug-2023")</f>
        <v>106227;INF200K01IG6;-;SBI SHORT HORIZON DEBT FUND-SHORT TERM FUND - RETAIL - GROWTH;31.5709;25-Aug-2023</v>
      </c>
      <c r="B3907" s="1"/>
    </row>
    <row r="3908">
      <c r="A3908" s="1" t="str">
        <f>IFERROR(__xludf.DUMMYFUNCTION("""COMPUTED_VALUE"""),"119813;INF200K01VF1;INF200K01VG9;SBI Short Term Debt Fund - Direct Plan - Monthly Income Distribution cum Capital Withdrawal Option (IDCW);16.4209;25-Aug-2023")</f>
        <v>119813;INF200K01VF1;INF200K01VG9;SBI Short Term Debt Fund - Direct Plan - Monthly Income Distribution cum Capital Withdrawal Option (IDCW);16.4209;25-Aug-2023</v>
      </c>
      <c r="B3908" s="1"/>
    </row>
    <row r="3909">
      <c r="A3909" s="1" t="str">
        <f>IFERROR(__xludf.DUMMYFUNCTION("""COMPUTED_VALUE"""),"119816;INF200K01VE4;-;SBI SHORT TERM DEBT FUND - DIRECT PLAN -GROWTH;29.3764;25-Aug-2023")</f>
        <v>119816;INF200K01VE4;-;SBI SHORT TERM DEBT FUND - DIRECT PLAN -GROWTH;29.3764;25-Aug-2023</v>
      </c>
      <c r="B3909" s="1"/>
    </row>
    <row r="3910">
      <c r="A3910" s="1" t="str">
        <f>IFERROR(__xludf.DUMMYFUNCTION("""COMPUTED_VALUE"""),"119815;INF200K01VC8;INF200K01VD6;SBI Short Term Debt Fund - Direct Plan Fortnightly Income Distribution cum Capital Withdrawal Option (IDCW);19.7866;25-Aug-2023")</f>
        <v>119815;INF200K01VC8;INF200K01VD6;SBI Short Term Debt Fund - Direct Plan Fortnightly Income Distribution cum Capital Withdrawal Option (IDCW);19.7866;25-Aug-2023</v>
      </c>
      <c r="B3910" s="1"/>
    </row>
    <row r="3911">
      <c r="A3911" s="1" t="str">
        <f>IFERROR(__xludf.DUMMYFUNCTION("""COMPUTED_VALUE"""),"119817;INF200K01VH7;INF200K01VI5;SBI Short Term Debt Fund - Direct Plan Weekly Income Distribution cum Capital Withdrawal Option (IDCW);12.8677;25-Aug-2023")</f>
        <v>119817;INF200K01VH7;INF200K01VI5;SBI Short Term Debt Fund - Direct Plan Weekly Income Distribution cum Capital Withdrawal Option (IDCW);12.8677;25-Aug-2023</v>
      </c>
      <c r="B3911" s="1"/>
    </row>
    <row r="3912">
      <c r="A3912" s="1" t="str">
        <f>IFERROR(__xludf.DUMMYFUNCTION("""COMPUTED_VALUE"""),"106233;INF200K01HV7;INF200K01HW5;SBI Short Term Debt Fund - Regular Plan - Monthly Income Distribution cum Capital Withdrawal Option (IDCW);15.4271;25-Aug-2023")</f>
        <v>106233;INF200K01HV7;INF200K01HW5;SBI Short Term Debt Fund - Regular Plan - Monthly Income Distribution cum Capital Withdrawal Option (IDCW);15.4271;25-Aug-2023</v>
      </c>
      <c r="B3912" s="1"/>
    </row>
    <row r="3913">
      <c r="A3913" s="1" t="str">
        <f>IFERROR(__xludf.DUMMYFUNCTION("""COMPUTED_VALUE"""),"106231;INF200K01HZ8;-;SBI SHORT TERM DEBT FUND - REGULAR PLAN -GROWTH;27.9039;25-Aug-2023")</f>
        <v>106231;INF200K01HZ8;-;SBI SHORT TERM DEBT FUND - REGULAR PLAN -GROWTH;27.9039;25-Aug-2023</v>
      </c>
      <c r="B3913" s="1"/>
    </row>
    <row r="3914">
      <c r="A3914" s="1" t="str">
        <f>IFERROR(__xludf.DUMMYFUNCTION("""COMPUTED_VALUE"""),"106234;INF200K01HT1;INF200K01HU9;SBI Short Term Debt Fund - Regular Plan Fortnightly Income Distribution cum Capital Withdrawal Option (IDCW);12.6393;25-Aug-2023")</f>
        <v>106234;INF200K01HT1;INF200K01HU9;SBI Short Term Debt Fund - Regular Plan Fortnightly Income Distribution cum Capital Withdrawal Option (IDCW);12.6393;25-Aug-2023</v>
      </c>
      <c r="B3914" s="1"/>
    </row>
    <row r="3915">
      <c r="A3915" s="1" t="str">
        <f>IFERROR(__xludf.DUMMYFUNCTION("""COMPUTED_VALUE"""),"106232;INF200K01HX3;INF200K01HY1;SBI Short Term Debt Fund - Regular Plan Weekly Income Distribution cum Capital Withdrawal Option (IDCW);12.6518;25-Aug-2023")</f>
        <v>106232;INF200K01HX3;INF200K01HY1;SBI Short Term Debt Fund - Regular Plan Weekly Income Distribution cum Capital Withdrawal Option (IDCW);12.6518;25-Aug-2023</v>
      </c>
      <c r="B3915" s="1"/>
    </row>
    <row r="3916">
      <c r="A3916" s="1"/>
      <c r="B3916" s="1"/>
    </row>
    <row r="3917">
      <c r="A3917" s="1" t="str">
        <f>IFERROR(__xludf.DUMMYFUNCTION("""COMPUTED_VALUE"""),"Sundaram Mutual Fund")</f>
        <v>Sundaram Mutual Fund</v>
      </c>
      <c r="B3917" s="1"/>
    </row>
    <row r="3918">
      <c r="A3918" s="1"/>
      <c r="B3918" s="1"/>
    </row>
    <row r="3919">
      <c r="A3919" s="1" t="str">
        <f>IFERROR(__xludf.DUMMYFUNCTION("""COMPUTED_VALUE"""),"149588;INF173K01GQ8;INF173K01GR6;Sundaram Short Duration Fund (Formerly Known as Principal Short Term Debt Fund) - Direct Plan - Income Distribution CUM Capital Withdrawal Plan - Monthly;12.9133;25-Aug-2023")</f>
        <v>149588;INF173K01GQ8;INF173K01GR6;Sundaram Short Duration Fund (Formerly Known as Principal Short Term Debt Fund) - Direct Plan - Income Distribution CUM Capital Withdrawal Plan - Monthly;12.9133;25-Aug-2023</v>
      </c>
      <c r="B3919" s="1"/>
    </row>
    <row r="3920">
      <c r="A3920" s="1" t="str">
        <f>IFERROR(__xludf.DUMMYFUNCTION("""COMPUTED_VALUE"""),"149726;INF903JA1KR6;-;Sundaram Short Duration Fund (Formerly Known as Principal Short Term Debt Fund) Direct Plan Annual IDCW;13.4331;25-Aug-2023")</f>
        <v>149726;INF903JA1KR6;-;Sundaram Short Duration Fund (Formerly Known as Principal Short Term Debt Fund) Direct Plan Annual IDCW;13.4331;25-Aug-2023</v>
      </c>
      <c r="B3920" s="1"/>
    </row>
    <row r="3921">
      <c r="A3921" s="1" t="str">
        <f>IFERROR(__xludf.DUMMYFUNCTION("""COMPUTED_VALUE"""),"149727;INF903JA1KP0;INF903JA1KL9;Sundaram Short Duration Fund (Formerly Known as Principal Short Term Debt Fund) Direct Plan Fortnightly IDCW;12.9135;25-Aug-2023")</f>
        <v>149727;INF903JA1KP0;INF903JA1KL9;Sundaram Short Duration Fund (Formerly Known as Principal Short Term Debt Fund) Direct Plan Fortnightly IDCW;12.9135;25-Aug-2023</v>
      </c>
      <c r="B3921" s="1"/>
    </row>
    <row r="3922">
      <c r="A3922" s="1" t="str">
        <f>IFERROR(__xludf.DUMMYFUNCTION("""COMPUTED_VALUE"""),"149733;INF903JA1KN5;-;Sundaram Short Duration Fund (Formerly Known as Principal Short Term Debt Fund) Direct Plan Halfyearly IDCW;13.5914;25-Aug-2023")</f>
        <v>149733;INF903JA1KN5;-;Sundaram Short Duration Fund (Formerly Known as Principal Short Term Debt Fund) Direct Plan Halfyearly IDCW;13.5914;25-Aug-2023</v>
      </c>
      <c r="B3922" s="1"/>
    </row>
    <row r="3923">
      <c r="A3923" s="1" t="str">
        <f>IFERROR(__xludf.DUMMYFUNCTION("""COMPUTED_VALUE"""),"149728;INF903JA1KM7;-;Sundaram Short Duration Fund (Formerly Known as Principal Short Term Debt Fund) Direct Plan Quarterly IDCW;13.6757;25-Aug-2023")</f>
        <v>149728;INF903JA1KM7;-;Sundaram Short Duration Fund (Formerly Known as Principal Short Term Debt Fund) Direct Plan Quarterly IDCW;13.6757;25-Aug-2023</v>
      </c>
      <c r="B3923" s="1"/>
    </row>
    <row r="3924">
      <c r="A3924" s="1" t="str">
        <f>IFERROR(__xludf.DUMMYFUNCTION("""COMPUTED_VALUE"""),"149729;INF903JA1KO3;INF903JA1KS4;Sundaram Short Duration Fund (Formerly Known as Principal Short Term Debt Fund) Direct Weekly IDCW;12.9061;25-Aug-2023")</f>
        <v>149729;INF903JA1KO3;INF903JA1KS4;Sundaram Short Duration Fund (Formerly Known as Principal Short Term Debt Fund) Direct Weekly IDCW;12.9061;25-Aug-2023</v>
      </c>
      <c r="B3924" s="1"/>
    </row>
    <row r="3925">
      <c r="A3925" s="1" t="str">
        <f>IFERROR(__xludf.DUMMYFUNCTION("""COMPUTED_VALUE"""),"149734;INF903JA1KH7;INF903JA1KD6;Sundaram Short Duration Fund (Formerly Known as Principal Short Term Debt Fund) Regular Fortnightly IDCW;12.8757;25-Aug-2023")</f>
        <v>149734;INF903JA1KH7;INF903JA1KD6;Sundaram Short Duration Fund (Formerly Known as Principal Short Term Debt Fund) Regular Fortnightly IDCW;12.8757;25-Aug-2023</v>
      </c>
      <c r="B3925" s="1"/>
    </row>
    <row r="3926">
      <c r="A3926" s="1" t="str">
        <f>IFERROR(__xludf.DUMMYFUNCTION("""COMPUTED_VALUE"""),"149730;INF903JA1KF1;-;Sundaram Short Duration Fund (Formerly Known as Principal Short Term Debt Fund) Regular Halfyearly IDCW;13.4209;25-Aug-2023")</f>
        <v>149730;INF903JA1KF1;-;Sundaram Short Duration Fund (Formerly Known as Principal Short Term Debt Fund) Regular Halfyearly IDCW;13.4209;25-Aug-2023</v>
      </c>
      <c r="B3926" s="1"/>
    </row>
    <row r="3927">
      <c r="A3927" s="1" t="str">
        <f>IFERROR(__xludf.DUMMYFUNCTION("""COMPUTED_VALUE"""),"149735;INF903JA1KJ3;-;Sundaram Short Duration Fund (Formerly Known as Principal Short Term Debt Fund) Regular Plan Annual IDCW;13.2644;25-Aug-2023")</f>
        <v>149735;INF903JA1KJ3;-;Sundaram Short Duration Fund (Formerly Known as Principal Short Term Debt Fund) Regular Plan Annual IDCW;13.2644;25-Aug-2023</v>
      </c>
      <c r="B3927" s="1"/>
    </row>
    <row r="3928">
      <c r="A3928" s="1" t="str">
        <f>IFERROR(__xludf.DUMMYFUNCTION("""COMPUTED_VALUE"""),"149736;-;INF903JA1KI5;Sundaram Short Duration Fund (Formerly Known as Principal Short Term Debt Fund) Regular Principal Units;13.8964;25-Aug-2023")</f>
        <v>149736;-;INF903JA1KI5;Sundaram Short Duration Fund (Formerly Known as Principal Short Term Debt Fund) Regular Principal Units;13.8964;25-Aug-2023</v>
      </c>
      <c r="B3928" s="1"/>
    </row>
    <row r="3929">
      <c r="A3929" s="1" t="str">
        <f>IFERROR(__xludf.DUMMYFUNCTION("""COMPUTED_VALUE"""),"149731;INF903JA1KE4;-;Sundaram Short Duration Fund (Formerly Known as Principal Short Term Debt Fund) Regular Quarterly IDCW;13.5054;25-Aug-2023")</f>
        <v>149731;INF903JA1KE4;-;Sundaram Short Duration Fund (Formerly Known as Principal Short Term Debt Fund) Regular Quarterly IDCW;13.5054;25-Aug-2023</v>
      </c>
      <c r="B3929" s="1"/>
    </row>
    <row r="3930">
      <c r="A3930" s="1" t="str">
        <f>IFERROR(__xludf.DUMMYFUNCTION("""COMPUTED_VALUE"""),"149732;INF903JA1KG9;INF903JA1KK1;Sundaram Short Duration Fund (Formerly Known as Principal Short Term Debt Fund) Regular Weekly IDCW;12.8699;25-Aug-2023")</f>
        <v>149732;INF903JA1KG9;INF903JA1KK1;Sundaram Short Duration Fund (Formerly Known as Principal Short Term Debt Fund) Regular Weekly IDCW;12.8699;25-Aug-2023</v>
      </c>
      <c r="B3930" s="1"/>
    </row>
    <row r="3931">
      <c r="A3931" s="1" t="str">
        <f>IFERROR(__xludf.DUMMYFUNCTION("""COMPUTED_VALUE"""),"149587;INF173K01GP0;-;Sundaram Short Duration Fund (Formerly Known as Principal Short Term Debt Fund)- Direct Plan - Growth Option;41.1924;25-Aug-2023")</f>
        <v>149587;INF173K01GP0;-;Sundaram Short Duration Fund (Formerly Known as Principal Short Term Debt Fund)- Direct Plan - Growth Option;41.1924;25-Aug-2023</v>
      </c>
      <c r="B3931" s="1"/>
    </row>
    <row r="3932">
      <c r="A3932" s="1" t="str">
        <f>IFERROR(__xludf.DUMMYFUNCTION("""COMPUTED_VALUE"""),"149585;INF173K01BA3;-;Sundaram Short Duration Fund (Formerly Known as Principal Short Term Debt Fund)- Growth Plan;38.4701;25-Aug-2023")</f>
        <v>149585;INF173K01BA3;-;Sundaram Short Duration Fund (Formerly Known as Principal Short Term Debt Fund)- Growth Plan;38.4701;25-Aug-2023</v>
      </c>
      <c r="B3932" s="1"/>
    </row>
    <row r="3933">
      <c r="A3933" s="1" t="str">
        <f>IFERROR(__xludf.DUMMYFUNCTION("""COMPUTED_VALUE"""),"149586;INF173K01BB1;INF173K01BC9;Sundaram Short Duration Fund (Formerly Known as Principal Short Term Debt Fund)- Income Distribution CUM Capital Withdrawal Option - Monthly;12.8769;25-Aug-2023")</f>
        <v>149586;INF173K01BB1;INF173K01BC9;Sundaram Short Duration Fund (Formerly Known as Principal Short Term Debt Fund)- Income Distribution CUM Capital Withdrawal Option - Monthly;12.8769;25-Aug-2023</v>
      </c>
      <c r="B3933" s="1"/>
    </row>
    <row r="3934">
      <c r="A3934" s="1"/>
      <c r="B3934" s="1"/>
    </row>
    <row r="3935">
      <c r="A3935" s="1" t="str">
        <f>IFERROR(__xludf.DUMMYFUNCTION("""COMPUTED_VALUE"""),"Tata Mutual Fund")</f>
        <v>Tata Mutual Fund</v>
      </c>
      <c r="B3935" s="1"/>
    </row>
    <row r="3936">
      <c r="A3936" s="1"/>
      <c r="B3936" s="1"/>
    </row>
    <row r="3937">
      <c r="A3937" s="1" t="str">
        <f>IFERROR(__xludf.DUMMYFUNCTION("""COMPUTED_VALUE"""),"119949;INF277K01QR4;-;Tata Short Term Bond Fund - Direct Plan - Growth Option;45.6466;25-Aug-2023")</f>
        <v>119949;INF277K01QR4;-;Tata Short Term Bond Fund - Direct Plan - Growth Option;45.6466;25-Aug-2023</v>
      </c>
      <c r="B3937" s="1"/>
    </row>
    <row r="3938">
      <c r="A3938" s="1" t="str">
        <f>IFERROR(__xludf.DUMMYFUNCTION("""COMPUTED_VALUE"""),"101548;INF277K01972;-;Tata Short Term Bond Fund -Regular Plan- Growth Option;41.8910;25-Aug-2023")</f>
        <v>101548;INF277K01972;-;Tata Short Term Bond Fund -Regular Plan- Growth Option;41.8910;25-Aug-2023</v>
      </c>
      <c r="B3938" s="1"/>
    </row>
    <row r="3939">
      <c r="A3939" s="1" t="str">
        <f>IFERROR(__xludf.DUMMYFUNCTION("""COMPUTED_VALUE"""),"119950;INF277K01QP8;INF277K01QQ6;Tata Short Term Bond Fund Direct Plan - Monthly Payout of IDCW Option;20.7291;25-Aug-2023")</f>
        <v>119950;INF277K01QP8;INF277K01QQ6;Tata Short Term Bond Fund Direct Plan - Monthly Payout of IDCW Option;20.7291;25-Aug-2023</v>
      </c>
      <c r="B3939" s="1"/>
    </row>
    <row r="3940">
      <c r="A3940" s="1" t="str">
        <f>IFERROR(__xludf.DUMMYFUNCTION("""COMPUTED_VALUE"""),"133974;INF277K01P38;INF277K01P46;Tata Short Term Bond Fund- Direct Plan - Periodic Payout of IDCW Option;24.2181;25-Aug-2023")</f>
        <v>133974;INF277K01P38;INF277K01P46;Tata Short Term Bond Fund- Direct Plan - Periodic Payout of IDCW Option;24.2181;25-Aug-2023</v>
      </c>
      <c r="B3940" s="1"/>
    </row>
    <row r="3941">
      <c r="A3941" s="1" t="str">
        <f>IFERROR(__xludf.DUMMYFUNCTION("""COMPUTED_VALUE"""),"101547;INF277K01EI9;INF277K01964;Tata Short Term Bond Fund- Regular Plan - Monthly Payout of IDCW Option;18.9161;25-Aug-2023")</f>
        <v>101547;INF277K01EI9;INF277K01964;Tata Short Term Bond Fund- Regular Plan - Monthly Payout of IDCW Option;18.9161;25-Aug-2023</v>
      </c>
      <c r="B3941" s="1"/>
    </row>
    <row r="3942">
      <c r="A3942" s="1" t="str">
        <f>IFERROR(__xludf.DUMMYFUNCTION("""COMPUTED_VALUE"""),"133975;INF277K01P12;INF277K01P20;Tata Short Term Bond Fund- Regular Plan - Periodic Payout of IDCW Option;22.1949;25-Aug-2023")</f>
        <v>133975;INF277K01P12;INF277K01P20;Tata Short Term Bond Fund- Regular Plan - Periodic Payout of IDCW Option;22.1949;25-Aug-2023</v>
      </c>
      <c r="B3942" s="1"/>
    </row>
    <row r="3943">
      <c r="A3943" s="1"/>
      <c r="B3943" s="1"/>
    </row>
    <row r="3944">
      <c r="A3944" s="1" t="str">
        <f>IFERROR(__xludf.DUMMYFUNCTION("""COMPUTED_VALUE"""),"Trust Mutual Fund")</f>
        <v>Trust Mutual Fund</v>
      </c>
      <c r="B3944" s="1"/>
    </row>
    <row r="3945">
      <c r="A3945" s="1"/>
      <c r="B3945" s="1"/>
    </row>
    <row r="3946">
      <c r="A3946" s="1" t="str">
        <f>IFERROR(__xludf.DUMMYFUNCTION("""COMPUTED_VALUE"""),"149076;INF0GCD01370;-;TRUSTMF Short Term Fund-Direct Plan-Growth;1103.5319;25-Aug-2023")</f>
        <v>149076;INF0GCD01370;-;TRUSTMF Short Term Fund-Direct Plan-Growth;1103.5319;25-Aug-2023</v>
      </c>
      <c r="B3946" s="1"/>
    </row>
    <row r="3947">
      <c r="A3947" s="1" t="str">
        <f>IFERROR(__xludf.DUMMYFUNCTION("""COMPUTED_VALUE"""),"149078;INF0GCD01396;INF0GCD01404;TRUSTMF Short Term Fund-Direct Plan-Monthly Income Distribution Cum Capital Withdrawal;1038.3103;25-Aug-2023")</f>
        <v>149078;INF0GCD01396;INF0GCD01404;TRUSTMF Short Term Fund-Direct Plan-Monthly Income Distribution Cum Capital Withdrawal;1038.3103;25-Aug-2023</v>
      </c>
      <c r="B3947" s="1"/>
    </row>
    <row r="3948">
      <c r="A3948" s="1" t="str">
        <f>IFERROR(__xludf.DUMMYFUNCTION("""COMPUTED_VALUE"""),"149079;INF0GCD01412;INF0GCD01420;TRUSTMF Short Term Fund-Direct Plan-Quarterly Income Distribution Cum Capital Withdrawal;1047.0535;25-Aug-2023")</f>
        <v>149079;INF0GCD01412;INF0GCD01420;TRUSTMF Short Term Fund-Direct Plan-Quarterly Income Distribution Cum Capital Withdrawal;1047.0535;25-Aug-2023</v>
      </c>
      <c r="B3948" s="1"/>
    </row>
    <row r="3949">
      <c r="A3949" s="1" t="str">
        <f>IFERROR(__xludf.DUMMYFUNCTION("""COMPUTED_VALUE"""),"149077;-;INF0GCD01388;TRUSTMF Short Term Fund-Direct Plan-Weekly Income Distribution Cum Capital Withdrawal;1031.7179;25-Aug-2023")</f>
        <v>149077;-;INF0GCD01388;TRUSTMF Short Term Fund-Direct Plan-Weekly Income Distribution Cum Capital Withdrawal;1031.7179;25-Aug-2023</v>
      </c>
      <c r="B3949" s="1"/>
    </row>
    <row r="3950">
      <c r="A3950" s="1" t="str">
        <f>IFERROR(__xludf.DUMMYFUNCTION("""COMPUTED_VALUE"""),"149073;INF0GCD01313;-;TRUSTMF Short Term Fund-Regular Plan-Growth;1092.2489;25-Aug-2023")</f>
        <v>149073;INF0GCD01313;-;TRUSTMF Short Term Fund-Regular Plan-Growth;1092.2489;25-Aug-2023</v>
      </c>
      <c r="B3950" s="1"/>
    </row>
    <row r="3951">
      <c r="A3951" s="1" t="str">
        <f>IFERROR(__xludf.DUMMYFUNCTION("""COMPUTED_VALUE"""),"149080;INF0GCD01339;INF0GCD01347;TRUSTMF Short Term Fund-Regular Plan-Monthly Income Distribution Cum Capital Withdrawal;1030.8263;25-Aug-2023")</f>
        <v>149080;INF0GCD01339;INF0GCD01347;TRUSTMF Short Term Fund-Regular Plan-Monthly Income Distribution Cum Capital Withdrawal;1030.8263;25-Aug-2023</v>
      </c>
      <c r="B3951" s="1"/>
    </row>
    <row r="3952">
      <c r="A3952" s="1" t="str">
        <f>IFERROR(__xludf.DUMMYFUNCTION("""COMPUTED_VALUE"""),"149075;INF0GCD01354;INF0GCD01362;TRUSTMF Short Term Fund-Regular Plan-Quarterly Income Distribution Cum Capital Withdrawal;1035.7957;25-Aug-2023")</f>
        <v>149075;INF0GCD01354;INF0GCD01362;TRUSTMF Short Term Fund-Regular Plan-Quarterly Income Distribution Cum Capital Withdrawal;1035.7957;25-Aug-2023</v>
      </c>
      <c r="B3952" s="1"/>
    </row>
    <row r="3953">
      <c r="A3953" s="1" t="str">
        <f>IFERROR(__xludf.DUMMYFUNCTION("""COMPUTED_VALUE"""),"149074;-;INF0GCD01321;TRUSTMF Short Term Fund-Regular Plan-Weekly Income Distribution Cum Capital Withdrawal;1028.0235;25-Aug-2023")</f>
        <v>149074;-;INF0GCD01321;TRUSTMF Short Term Fund-Regular Plan-Weekly Income Distribution Cum Capital Withdrawal;1028.0235;25-Aug-2023</v>
      </c>
      <c r="B3953" s="1"/>
    </row>
    <row r="3954">
      <c r="A3954" s="1"/>
      <c r="B3954" s="1"/>
    </row>
    <row r="3955">
      <c r="A3955" s="1" t="str">
        <f>IFERROR(__xludf.DUMMYFUNCTION("""COMPUTED_VALUE"""),"UTI Mutual Fund")</f>
        <v>UTI Mutual Fund</v>
      </c>
      <c r="B3955" s="1"/>
    </row>
    <row r="3956">
      <c r="A3956" s="1"/>
      <c r="B3956" s="1"/>
    </row>
    <row r="3957">
      <c r="A3957" s="1" t="str">
        <f>IFERROR(__xludf.DUMMYFUNCTION("""COMPUTED_VALUE"""),"120718;INF789F01XY0;-;UTI - Short Term Income Fund - Direct Plan - Growth Option;29.0201;25-Aug-2023")</f>
        <v>120718;INF789F01XY0;-;UTI - Short Term Income Fund - Direct Plan - Growth Option;29.0201;25-Aug-2023</v>
      </c>
      <c r="B3957" s="1"/>
    </row>
    <row r="3958">
      <c r="A3958" s="1" t="str">
        <f>IFERROR(__xludf.DUMMYFUNCTION("""COMPUTED_VALUE"""),"131425;INF789FA1R17;INF789FA1R25;UTI - Short Term Income Fund - Direct Plan - Half Yearly Dividend Option;11.8758;25-Aug-2023")</f>
        <v>131425;INF789FA1R17;INF789FA1R25;UTI - Short Term Income Fund - Direct Plan - Half Yearly Dividend Option;11.8758;25-Aug-2023</v>
      </c>
      <c r="B3958" s="1"/>
    </row>
    <row r="3959">
      <c r="A3959" s="1" t="str">
        <f>IFERROR(__xludf.DUMMYFUNCTION("""COMPUTED_VALUE"""),"106383;INF789F01AH3;INF789F01AI1;UTI - Short Term Income Fund - Discontinued Regular Option - Dividend Sub Option;20.5724;25-Aug-2023")</f>
        <v>106383;INF789F01AH3;INF789F01AI1;UTI - Short Term Income Fund - Discontinued Regular Option - Dividend Sub Option;20.5724;25-Aug-2023</v>
      </c>
      <c r="B3959" s="1"/>
    </row>
    <row r="3960">
      <c r="A3960" s="1" t="str">
        <f>IFERROR(__xludf.DUMMYFUNCTION("""COMPUTED_VALUE"""),"106384;INF789F01AJ9;-;UTI - Short Term Income Fund - Discontinued Regular Option -Growth Sub Option;38.9168;25-Aug-2023")</f>
        <v>106384;INF789F01AJ9;-;UTI - Short Term Income Fund - Discontinued Regular Option -Growth Sub Option;38.9168;25-Aug-2023</v>
      </c>
      <c r="B3960" s="1"/>
    </row>
    <row r="3961">
      <c r="A3961" s="1" t="str">
        <f>IFERROR(__xludf.DUMMYFUNCTION("""COMPUTED_VALUE"""),"106624;INF789F01QA4;-;UTI - Short Term Income Fund - Regular Plan - Growth Option;27.5233;25-Aug-2023")</f>
        <v>106624;INF789F01QA4;-;UTI - Short Term Income Fund - Regular Plan - Growth Option;27.5233;25-Aug-2023</v>
      </c>
      <c r="B3961" s="1"/>
    </row>
    <row r="3962">
      <c r="A3962" s="1" t="str">
        <f>IFERROR(__xludf.DUMMYFUNCTION("""COMPUTED_VALUE"""),"135497;INF789FA1R33;INF789FA1R41;UTI Short Term Income Fund - Direct Plan - Annual IDCW;12.2757;25-Aug-2023")</f>
        <v>135497;INF789FA1R33;INF789FA1R41;UTI Short Term Income Fund - Direct Plan - Annual IDCW;12.2757;25-Aug-2023</v>
      </c>
      <c r="B3962" s="1"/>
    </row>
    <row r="3963">
      <c r="A3963" s="1" t="str">
        <f>IFERROR(__xludf.DUMMYFUNCTION("""COMPUTED_VALUE"""),"124962;INF789FB1T70;INF789FB1T62;UTI Short Term Income Fund - Direct Plan - Flexi IDCW;16.0289;25-Aug-2023")</f>
        <v>124962;INF789FB1T70;INF789FB1T62;UTI Short Term Income Fund - Direct Plan - Flexi IDCW;16.0289;25-Aug-2023</v>
      </c>
      <c r="B3963" s="1"/>
    </row>
    <row r="3964">
      <c r="A3964" s="1" t="str">
        <f>IFERROR(__xludf.DUMMYFUNCTION("""COMPUTED_VALUE"""),"131548;INF789F01XZ7;INF789F01YA8;UTI Short Term Income Fund - Direct Plan - Monthly IDCW;10.5004;25-Aug-2023")</f>
        <v>131548;INF789F01XZ7;INF789F01YA8;UTI Short Term Income Fund - Direct Plan - Monthly IDCW;10.5004;25-Aug-2023</v>
      </c>
      <c r="B3964" s="1"/>
    </row>
    <row r="3965">
      <c r="A3965" s="1" t="str">
        <f>IFERROR(__xludf.DUMMYFUNCTION("""COMPUTED_VALUE"""),"120719;INF789FA1R66;INF789FA1R74;UTI Short Term Income Fund - Direct Plan - Quarterly IDCW;16.4088;25-Aug-2023")</f>
        <v>120719;INF789FA1R66;INF789FA1R74;UTI Short Term Income Fund - Direct Plan - Quarterly IDCW;16.4088;25-Aug-2023</v>
      </c>
      <c r="B3965" s="1"/>
    </row>
    <row r="3966">
      <c r="A3966" s="1" t="str">
        <f>IFERROR(__xludf.DUMMYFUNCTION("""COMPUTED_VALUE"""),"134517;INF789FA1Q91;INF789FA1R09;UTI Short Term Income Fund - Regular Plan - Annual IDCW;12.1716;25-Aug-2023")</f>
        <v>134517;INF789FA1Q91;INF789FA1R09;UTI Short Term Income Fund - Regular Plan - Annual IDCW;12.1716;25-Aug-2023</v>
      </c>
      <c r="B3966" s="1"/>
    </row>
    <row r="3967">
      <c r="A3967" s="1" t="str">
        <f>IFERROR(__xludf.DUMMYFUNCTION("""COMPUTED_VALUE"""),"125045;INF789FB1T54;INF789FB1T47;UTI Short Term Income Fund - Regular Plan - Flexi IDCW;15.716;25-Aug-2023")</f>
        <v>125045;INF789FB1T54;INF789FB1T47;UTI Short Term Income Fund - Regular Plan - Flexi IDCW;15.716;25-Aug-2023</v>
      </c>
      <c r="B3967" s="1"/>
    </row>
    <row r="3968">
      <c r="A3968" s="1" t="str">
        <f>IFERROR(__xludf.DUMMYFUNCTION("""COMPUTED_VALUE"""),"131424;INF789FA1Q75;INF789FA1Q83;UTI Short Term Income Fund - Regular Plan - Half-Yearly IDCW;11.7897;25-Aug-2023")</f>
        <v>131424;INF789FA1Q75;INF789FA1Q83;UTI Short Term Income Fund - Regular Plan - Half-Yearly IDCW;11.7897;25-Aug-2023</v>
      </c>
      <c r="B3968" s="1"/>
    </row>
    <row r="3969">
      <c r="A3969" s="1" t="str">
        <f>IFERROR(__xludf.DUMMYFUNCTION("""COMPUTED_VALUE"""),"131547;INF789F01QB2;INF789F01QC0;UTI Short Term Income Fund - Regular Plan - Monthly IDCW;11.7184;25-Aug-2023")</f>
        <v>131547;INF789F01QB2;INF789F01QC0;UTI Short Term Income Fund - Regular Plan - Monthly IDCW;11.7184;25-Aug-2023</v>
      </c>
      <c r="B3969" s="1"/>
    </row>
    <row r="3970">
      <c r="A3970" s="1" t="str">
        <f>IFERROR(__xludf.DUMMYFUNCTION("""COMPUTED_VALUE"""),"106980;INF789FC1GD5;INF789FA1R58;UTI Short Term Income Fund - Regular Plan - Quarterly IDCW;14.2425;25-Aug-2023")</f>
        <v>106980;INF789FC1GD5;INF789FA1R58;UTI Short Term Income Fund - Regular Plan - Quarterly IDCW;14.2425;25-Aug-2023</v>
      </c>
      <c r="B3970" s="1"/>
    </row>
    <row r="3971">
      <c r="A3971" s="1"/>
      <c r="B3971" s="1"/>
    </row>
    <row r="3972">
      <c r="A3972" s="1" t="str">
        <f>IFERROR(__xludf.DUMMYFUNCTION("""COMPUTED_VALUE"""),"Open Ended Schemes(Debt Scheme - Ultra Short Duration Fund)")</f>
        <v>Open Ended Schemes(Debt Scheme - Ultra Short Duration Fund)</v>
      </c>
      <c r="B3972" s="1"/>
    </row>
    <row r="3973">
      <c r="A3973" s="1"/>
      <c r="B3973" s="1"/>
    </row>
    <row r="3974">
      <c r="A3974" s="1" t="str">
        <f>IFERROR(__xludf.DUMMYFUNCTION("""COMPUTED_VALUE"""),"Aditya Birla Sun Life Mutual Fund")</f>
        <v>Aditya Birla Sun Life Mutual Fund</v>
      </c>
      <c r="B3974" s="1"/>
    </row>
    <row r="3975">
      <c r="A3975" s="1"/>
      <c r="B3975" s="1"/>
    </row>
    <row r="3976">
      <c r="A3976" s="1" t="str">
        <f>IFERROR(__xludf.DUMMYFUNCTION("""COMPUTED_VALUE"""),"112016;INF209K01JT8;-;Aditya Birla Sun Life Savings Fund - Discipline Advantage Plan;275.1214;25-Aug-2023")</f>
        <v>112016;INF209K01JT8;-;Aditya Birla Sun Life Savings Fund - Discipline Advantage Plan;275.1214;25-Aug-2023</v>
      </c>
      <c r="B3976" s="1"/>
    </row>
    <row r="3977">
      <c r="A3977" s="1" t="str">
        <f>IFERROR(__xludf.DUMMYFUNCTION("""COMPUTED_VALUE"""),"119501;INF209K01UR9;-;Aditya Birla Sun Life Savings Fund - Growth - Direct Plan;484.45;25-Aug-2023")</f>
        <v>119501;INF209K01UR9;-;Aditya Birla Sun Life Savings Fund - Growth - Direct Plan;484.45;25-Aug-2023</v>
      </c>
      <c r="B3977" s="1"/>
    </row>
    <row r="3978">
      <c r="A3978" s="1" t="str">
        <f>IFERROR(__xludf.DUMMYFUNCTION("""COMPUTED_VALUE"""),"101317;INF209K01LZ1;-;Aditya Birla Sun Life Savings Fund - Growth - Regular Plan;477.778;25-Aug-2023")</f>
        <v>101317;INF209K01LZ1;-;Aditya Birla Sun Life Savings Fund - Growth - Regular Plan;477.778;25-Aug-2023</v>
      </c>
      <c r="B3978" s="1"/>
    </row>
    <row r="3979">
      <c r="A3979" s="1" t="str">
        <f>IFERROR(__xludf.DUMMYFUNCTION("""COMPUTED_VALUE"""),"119500;INF209K01UQ1;-;Aditya Birla Sun Life Savings Fund-DIRECT - DAILY IDCW;100.0934;25-Aug-2023")</f>
        <v>119500;INF209K01UQ1;-;Aditya Birla Sun Life Savings Fund-DIRECT - DAILY IDCW;100.0934;25-Aug-2023</v>
      </c>
      <c r="B3979" s="1"/>
    </row>
    <row r="3980">
      <c r="A3980" s="1" t="str">
        <f>IFERROR(__xludf.DUMMYFUNCTION("""COMPUTED_VALUE"""),"119499;INF209K01US7;-;Aditya Birla Sun Life Savings Fund-DIRECT - WEEKLY IDCW;100.4751;25-Aug-2023")</f>
        <v>119499;INF209K01US7;-;Aditya Birla Sun Life Savings Fund-DIRECT - WEEKLY IDCW;100.4751;25-Aug-2023</v>
      </c>
      <c r="B3980" s="1"/>
    </row>
    <row r="3981">
      <c r="A3981" s="1" t="str">
        <f>IFERROR(__xludf.DUMMYFUNCTION("""COMPUTED_VALUE"""),"105888;INF209K01LY4;-;Aditya Birla Sun Life Savings Fund-Regular - DAILY IDCW;100.0934;25-Aug-2023")</f>
        <v>105888;INF209K01LY4;-;Aditya Birla Sun Life Savings Fund-Regular - DAILY IDCW;100.0934;25-Aug-2023</v>
      </c>
      <c r="B3981" s="1"/>
    </row>
    <row r="3982">
      <c r="A3982" s="1" t="str">
        <f>IFERROR(__xludf.DUMMYFUNCTION("""COMPUTED_VALUE"""),"105887;INF209K01MA2;-;Aditya Birla Sun Life Savings Fund-Regular - weekly IDCW;100.4609;25-Aug-2023")</f>
        <v>105887;INF209K01MA2;-;Aditya Birla Sun Life Savings Fund-Regular - weekly IDCW;100.4609;25-Aug-2023</v>
      </c>
      <c r="B3982" s="1"/>
    </row>
    <row r="3983">
      <c r="A3983" s="1" t="str">
        <f>IFERROR(__xludf.DUMMYFUNCTION("""COMPUTED_VALUE"""),"109108;INF209K01MB0;-;Aditya Birla Sun Life Savings Fund-Retail - Daily IDCW;100.0934;25-Aug-2023")</f>
        <v>109108;INF209K01MB0;-;Aditya Birla Sun Life Savings Fund-Retail - Daily IDCW;100.0934;25-Aug-2023</v>
      </c>
      <c r="B3983" s="1"/>
    </row>
    <row r="3984">
      <c r="A3984" s="1" t="str">
        <f>IFERROR(__xludf.DUMMYFUNCTION("""COMPUTED_VALUE"""),"101316;INF209K01MC8;-;Aditya Birla Sun Life Savings Fund-Retail Growth;462.337;25-Aug-2023")</f>
        <v>101316;INF209K01MC8;-;Aditya Birla Sun Life Savings Fund-Retail Growth;462.337;25-Aug-2023</v>
      </c>
      <c r="B3984" s="1"/>
    </row>
    <row r="3985">
      <c r="A3985" s="1" t="str">
        <f>IFERROR(__xludf.DUMMYFUNCTION("""COMPUTED_VALUE"""),"105881;INF209K01MD6;-;Aditya Birla Sun Life Savings Fund-Weekly - retail IDCW;100.46;25-Aug-2023")</f>
        <v>105881;INF209K01MD6;-;Aditya Birla Sun Life Savings Fund-Weekly - retail IDCW;100.46;25-Aug-2023</v>
      </c>
      <c r="B3985" s="1"/>
    </row>
    <row r="3986">
      <c r="A3986" s="1"/>
      <c r="B3986" s="1"/>
    </row>
    <row r="3987">
      <c r="A3987" s="1" t="str">
        <f>IFERROR(__xludf.DUMMYFUNCTION("""COMPUTED_VALUE"""),"Axis Mutual Fund")</f>
        <v>Axis Mutual Fund</v>
      </c>
      <c r="B3987" s="1"/>
    </row>
    <row r="3988">
      <c r="A3988" s="1"/>
      <c r="B3988" s="1"/>
    </row>
    <row r="3989">
      <c r="A3989" s="1" t="str">
        <f>IFERROR(__xludf.DUMMYFUNCTION("""COMPUTED_VALUE"""),"144753;-;INF846K01F57;Axis Ultra Short Term Fund - Direct Plan - Daily IDCW;10.0338;25-Aug-2023")</f>
        <v>144753;-;INF846K01F57;Axis Ultra Short Term Fund - Direct Plan - Daily IDCW;10.0338;25-Aug-2023</v>
      </c>
      <c r="B3989" s="1"/>
    </row>
    <row r="3990">
      <c r="A3990" s="1" t="str">
        <f>IFERROR(__xludf.DUMMYFUNCTION("""COMPUTED_VALUE"""),"144755;INF846K01F99;INF846K01F81;Axis Ultra Short Term Fund - Direct Plan - Monthly IDCW;10.0333;25-Aug-2023")</f>
        <v>144755;INF846K01F99;INF846K01F81;Axis Ultra Short Term Fund - Direct Plan - Monthly IDCW;10.0333;25-Aug-2023</v>
      </c>
      <c r="B3990" s="1"/>
    </row>
    <row r="3991">
      <c r="A3991" s="1" t="str">
        <f>IFERROR(__xludf.DUMMYFUNCTION("""COMPUTED_VALUE"""),"144756;INF846K01G15;INF846K01G07;Axis Ultra Short Term Fund - Direct Plan - Regular IDCW;13.5918;25-Aug-2023")</f>
        <v>144756;INF846K01G15;INF846K01G07;Axis Ultra Short Term Fund - Direct Plan - Regular IDCW;13.5918;25-Aug-2023</v>
      </c>
      <c r="B3991" s="1"/>
    </row>
    <row r="3992">
      <c r="A3992" s="1" t="str">
        <f>IFERROR(__xludf.DUMMYFUNCTION("""COMPUTED_VALUE"""),"144757;INF846K01F73;INF846K01F65;Axis Ultra Short Term Fund - Direct Plan - Weekly IDCW;10.0587;25-Aug-2023")</f>
        <v>144757;INF846K01F73;INF846K01F65;Axis Ultra Short Term Fund - Direct Plan - Weekly IDCW;10.0587;25-Aug-2023</v>
      </c>
      <c r="B3992" s="1"/>
    </row>
    <row r="3993">
      <c r="A3993" s="1" t="str">
        <f>IFERROR(__xludf.DUMMYFUNCTION("""COMPUTED_VALUE"""),"144754;INF846K01F40;-;Axis Ultra Short Term Fund - Direct Plan Growth;13.5882;25-Aug-2023")</f>
        <v>144754;INF846K01F40;-;Axis Ultra Short Term Fund - Direct Plan Growth;13.5882;25-Aug-2023</v>
      </c>
      <c r="B3993" s="1"/>
    </row>
    <row r="3994">
      <c r="A3994" s="1" t="str">
        <f>IFERROR(__xludf.DUMMYFUNCTION("""COMPUTED_VALUE"""),"144758;-;INF846K01G31;Axis Ultra Short Term Fund - Regular Plan - Daily IDCW;10.0689;25-Aug-2023")</f>
        <v>144758;-;INF846K01G31;Axis Ultra Short Term Fund - Regular Plan - Daily IDCW;10.0689;25-Aug-2023</v>
      </c>
      <c r="B3994" s="1"/>
    </row>
    <row r="3995">
      <c r="A3995" s="1" t="str">
        <f>IFERROR(__xludf.DUMMYFUNCTION("""COMPUTED_VALUE"""),"144760;INF846K01G72;INF846K01G64;Axis Ultra Short Term Fund - Regular Plan - Monthly IDCW;10.0347;25-Aug-2023")</f>
        <v>144760;INF846K01G72;INF846K01G64;Axis Ultra Short Term Fund - Regular Plan - Monthly IDCW;10.0347;25-Aug-2023</v>
      </c>
      <c r="B3995" s="1"/>
    </row>
    <row r="3996">
      <c r="A3996" s="1" t="str">
        <f>IFERROR(__xludf.DUMMYFUNCTION("""COMPUTED_VALUE"""),"144761;INF846K01G98;INF846K01G80;Axis Ultra Short Term Fund - Regular Plan - Regular IDCW;13.0042;25-Aug-2023")</f>
        <v>144761;INF846K01G98;INF846K01G80;Axis Ultra Short Term Fund - Regular Plan - Regular IDCW;13.0042;25-Aug-2023</v>
      </c>
      <c r="B3996" s="1"/>
    </row>
    <row r="3997">
      <c r="A3997" s="1" t="str">
        <f>IFERROR(__xludf.DUMMYFUNCTION("""COMPUTED_VALUE"""),"144762;INF846K01G56;INF846K01G49;Axis Ultra Short Term Fund - Regular Plan - Weekly IDCW;10.0749;25-Aug-2023")</f>
        <v>144762;INF846K01G56;INF846K01G49;Axis Ultra Short Term Fund - Regular Plan - Weekly IDCW;10.0749;25-Aug-2023</v>
      </c>
      <c r="B3997" s="1"/>
    </row>
    <row r="3998">
      <c r="A3998" s="1" t="str">
        <f>IFERROR(__xludf.DUMMYFUNCTION("""COMPUTED_VALUE"""),"144759;INF846K01G23;-;Axis Ultra Short Term Fund - Regular Plan Growth;13.0043;25-Aug-2023")</f>
        <v>144759;INF846K01G23;-;Axis Ultra Short Term Fund - Regular Plan Growth;13.0043;25-Aug-2023</v>
      </c>
      <c r="B3998" s="1"/>
    </row>
    <row r="3999">
      <c r="A3999" s="1"/>
      <c r="B3999" s="1"/>
    </row>
    <row r="4000">
      <c r="A4000" s="1" t="str">
        <f>IFERROR(__xludf.DUMMYFUNCTION("""COMPUTED_VALUE"""),"Bandhan Mutual Fund")</f>
        <v>Bandhan Mutual Fund</v>
      </c>
      <c r="B4000" s="1"/>
    </row>
    <row r="4001">
      <c r="A4001" s="1"/>
      <c r="B4001" s="1"/>
    </row>
    <row r="4002">
      <c r="A4002" s="1" t="str">
        <f>IFERROR(__xludf.DUMMYFUNCTION("""COMPUTED_VALUE"""),"144195;INF194KA11S2;INF194KA12S0;BANDHAN ULTRA SHORT TERM FUND - DIRECT PLAN -MONTHLY IDCW;10.0844;25-Aug-2023")</f>
        <v>144195;INF194KA11S2;INF194KA12S0;BANDHAN ULTRA SHORT TERM FUND - DIRECT PLAN -MONTHLY IDCW;10.0844;25-Aug-2023</v>
      </c>
      <c r="B4002" s="1"/>
    </row>
    <row r="4003">
      <c r="A4003" s="1" t="str">
        <f>IFERROR(__xludf.DUMMYFUNCTION("""COMPUTED_VALUE"""),"144173;INF194KA16R3;-;BANDHAN ULTRA SHORT TERM FUND - DIRECT PLAN GROWTH;13.4619;25-Aug-2023")</f>
        <v>144173;INF194KA16R3;-;BANDHAN ULTRA SHORT TERM FUND - DIRECT PLAN GROWTH;13.4619;25-Aug-2023</v>
      </c>
      <c r="B4003" s="1"/>
    </row>
    <row r="4004">
      <c r="A4004" s="1" t="str">
        <f>IFERROR(__xludf.DUMMYFUNCTION("""COMPUTED_VALUE"""),"144196;INF194KA17S9;INF194KA18S7;BANDHAN ULTRA SHORT TERM FUND - DIRECT PLAN PERIODIC IDCW;11.4123;25-Aug-2023")</f>
        <v>144196;INF194KA17S9;INF194KA18S7;BANDHAN ULTRA SHORT TERM FUND - DIRECT PLAN PERIODIC IDCW;11.4123;25-Aug-2023</v>
      </c>
      <c r="B4004" s="1"/>
    </row>
    <row r="4005">
      <c r="A4005" s="1" t="str">
        <f>IFERROR(__xludf.DUMMYFUNCTION("""COMPUTED_VALUE"""),"144192;INF194KA14S6;INF194KA15S3;BANDHAN ULTRA SHORT TERM FUND - DIRECT PLAN QUARTERLY IDCW;10.3241;25-Aug-2023")</f>
        <v>144192;INF194KA14S6;INF194KA15S3;BANDHAN ULTRA SHORT TERM FUND - DIRECT PLAN QUARTERLY IDCW;10.3241;25-Aug-2023</v>
      </c>
      <c r="B4005" s="1"/>
    </row>
    <row r="4006">
      <c r="A4006" s="1" t="str">
        <f>IFERROR(__xludf.DUMMYFUNCTION("""COMPUTED_VALUE"""),"144191;INF194KA10T2;INF194KA11T0;BANDHAN ULTRA SHORT TERM FUND - DIRECT PLAN- WEEKLY IDCW;10.0830;25-Aug-2023")</f>
        <v>144191;INF194KA10T2;INF194KA11T0;BANDHAN ULTRA SHORT TERM FUND - DIRECT PLAN- WEEKLY IDCW;10.0830;25-Aug-2023</v>
      </c>
      <c r="B4006" s="1"/>
    </row>
    <row r="4007">
      <c r="A4007" s="1" t="str">
        <f>IFERROR(__xludf.DUMMYFUNCTION("""COMPUTED_VALUE"""),"144174;INF194KA18R9;INF194KA19R7;BANDHAN ULTRA SHORT TERM FUND - DIRECT PLAN-DAILY IDCW;10.0367;25-Aug-2023")</f>
        <v>144174;INF194KA18R9;INF194KA19R7;BANDHAN ULTRA SHORT TERM FUND - DIRECT PLAN-DAILY IDCW;10.0367;25-Aug-2023</v>
      </c>
      <c r="B4007" s="1"/>
    </row>
    <row r="4008">
      <c r="A4008" s="1" t="str">
        <f>IFERROR(__xludf.DUMMYFUNCTION("""COMPUTED_VALUE"""),"144172;INF194KA12Q4;INF194KA13Q2;BANDHAN ULTRA SHORT TERM FUND - REGULAR PLAN DAILY IDCW;10.0519;25-Aug-2023")</f>
        <v>144172;INF194KA12Q4;INF194KA13Q2;BANDHAN ULTRA SHORT TERM FUND - REGULAR PLAN DAILY IDCW;10.0519;25-Aug-2023</v>
      </c>
      <c r="B4008" s="1"/>
    </row>
    <row r="4009">
      <c r="A4009" s="1" t="str">
        <f>IFERROR(__xludf.DUMMYFUNCTION("""COMPUTED_VALUE"""),"144171;INF194KA10Q8;-;BANDHAN ULTRA SHORT TERM FUND - REGULAR PLAN GROWTH;13.3455;25-Aug-2023")</f>
        <v>144171;INF194KA10Q8;-;BANDHAN ULTRA SHORT TERM FUND - REGULAR PLAN GROWTH;13.3455;25-Aug-2023</v>
      </c>
      <c r="B4009" s="1"/>
    </row>
    <row r="4010">
      <c r="A4010" s="1" t="str">
        <f>IFERROR(__xludf.DUMMYFUNCTION("""COMPUTED_VALUE"""),"144194;INF194KA15Q7;INF194KA16Q5;BANDHAN ULTRA SHORT TERM FUND - REGULAR PLAN MONTHLY IDCW;10.0886;25-Aug-2023")</f>
        <v>144194;INF194KA15Q7;INF194KA16Q5;BANDHAN ULTRA SHORT TERM FUND - REGULAR PLAN MONTHLY IDCW;10.0886;25-Aug-2023</v>
      </c>
      <c r="B4010" s="1"/>
    </row>
    <row r="4011">
      <c r="A4011" s="1" t="str">
        <f>IFERROR(__xludf.DUMMYFUNCTION("""COMPUTED_VALUE"""),"144193;INF194KA11R4;INF194KA12R2;BANDHAN ULTRA SHORT TERM FUND - REGULAR PLAN PERIODIC IDCW;11.2259;25-Aug-2023")</f>
        <v>144193;INF194KA11R4;INF194KA12R2;BANDHAN ULTRA SHORT TERM FUND - REGULAR PLAN PERIODIC IDCW;11.2259;25-Aug-2023</v>
      </c>
      <c r="B4011" s="1"/>
    </row>
    <row r="4012">
      <c r="A4012" s="1" t="str">
        <f>IFERROR(__xludf.DUMMYFUNCTION("""COMPUTED_VALUE"""),"144190;INF194KA18Q1;INF194KA19Q9;BANDHAN ULTRA SHORT TERM FUND - REGULAR PLAN QUARTERLY IDCW;10.3124;25-Aug-2023")</f>
        <v>144190;INF194KA18Q1;INF194KA19Q9;BANDHAN ULTRA SHORT TERM FUND - REGULAR PLAN QUARTERLY IDCW;10.3124;25-Aug-2023</v>
      </c>
      <c r="B4012" s="1"/>
    </row>
    <row r="4013">
      <c r="A4013" s="1" t="str">
        <f>IFERROR(__xludf.DUMMYFUNCTION("""COMPUTED_VALUE"""),"144189;INF194KA14R8;INF194KA15R5;BANDHAN ULTRA SHORT TERM FUND - REGULAR PLAN WEEKLY IDCW;10.0847;25-Aug-2023")</f>
        <v>144189;INF194KA14R8;INF194KA15R5;BANDHAN ULTRA SHORT TERM FUND - REGULAR PLAN WEEKLY IDCW;10.0847;25-Aug-2023</v>
      </c>
      <c r="B4013" s="1"/>
    </row>
    <row r="4014">
      <c r="A4014" s="1"/>
      <c r="B4014" s="1"/>
    </row>
    <row r="4015">
      <c r="A4015" s="1" t="str">
        <f>IFERROR(__xludf.DUMMYFUNCTION("""COMPUTED_VALUE"""),"Bank of India Mutual Fund")</f>
        <v>Bank of India Mutual Fund</v>
      </c>
      <c r="B4015" s="1"/>
    </row>
    <row r="4016">
      <c r="A4016" s="1"/>
      <c r="B4016" s="1"/>
    </row>
    <row r="4017">
      <c r="A4017" s="1" t="str">
        <f>IFERROR(__xludf.DUMMYFUNCTION("""COMPUTED_VALUE"""),"119380;-;INF761K01CT3;BANK OF INDIA Ultra Short Duration Fund- Direct Plan- Daily IDCW;1011.9280;25-Aug-2023")</f>
        <v>119380;-;INF761K01CT3;BANK OF INDIA Ultra Short Duration Fund- Direct Plan- Daily IDCW;1011.9280;25-Aug-2023</v>
      </c>
      <c r="B4017" s="1"/>
    </row>
    <row r="4018">
      <c r="A4018" s="1" t="str">
        <f>IFERROR(__xludf.DUMMYFUNCTION("""COMPUTED_VALUE"""),"119379;INF761K01892;-;BANK OF INDIA Ultra Short Duration Fund- Direct Plan- Growth;2877.6464;25-Aug-2023")</f>
        <v>119379;INF761K01892;-;BANK OF INDIA Ultra Short Duration Fund- Direct Plan- Growth;2877.6464;25-Aug-2023</v>
      </c>
      <c r="B4018" s="1"/>
    </row>
    <row r="4019">
      <c r="A4019" s="1" t="str">
        <f>IFERROR(__xludf.DUMMYFUNCTION("""COMPUTED_VALUE"""),"119381;-;INF761K01CU1;BANK OF INDIA Ultra Short Duration Fund- Direct Plan- Weekly IDCW;1007.6875;25-Aug-2023")</f>
        <v>119381;-;INF761K01CU1;BANK OF INDIA Ultra Short Duration Fund- Direct Plan- Weekly IDCW;1007.6875;25-Aug-2023</v>
      </c>
      <c r="B4019" s="1"/>
    </row>
    <row r="4020">
      <c r="A4020" s="1" t="str">
        <f>IFERROR(__xludf.DUMMYFUNCTION("""COMPUTED_VALUE"""),"126389;INF761K01CS5;-;BANK OF INDIA Ultra Short Duration Fund- Direct Plan-Bonus;2864.0547;25-Aug-2023")</f>
        <v>126389;INF761K01CS5;-;BANK OF INDIA Ultra Short Duration Fund- Direct Plan-Bonus;2864.0547;25-Aug-2023</v>
      </c>
      <c r="B4020" s="1"/>
    </row>
    <row r="4021">
      <c r="A4021" s="1" t="str">
        <f>IFERROR(__xludf.DUMMYFUNCTION("""COMPUTED_VALUE"""),"111970;-;INF761K01CW7;BANK OF INDIA Ultra Short Duration Fund- Regular Plan- Daily IDCW;1007.4498;25-Aug-2023")</f>
        <v>111970;-;INF761K01CW7;BANK OF INDIA Ultra Short Duration Fund- Regular Plan- Daily IDCW;1007.4498;25-Aug-2023</v>
      </c>
      <c r="B4021" s="1"/>
    </row>
    <row r="4022">
      <c r="A4022" s="1" t="str">
        <f>IFERROR(__xludf.DUMMYFUNCTION("""COMPUTED_VALUE"""),"109269;INF761K01298;-;BANK OF INDIA Ultra Short Duration Fund- Regular Plan- Growth;2805.8204;25-Aug-2023")</f>
        <v>109269;INF761K01298;-;BANK OF INDIA Ultra Short Duration Fund- Regular Plan- Growth;2805.8204;25-Aug-2023</v>
      </c>
      <c r="B4022" s="1"/>
    </row>
    <row r="4023">
      <c r="A4023" s="1" t="str">
        <f>IFERROR(__xludf.DUMMYFUNCTION("""COMPUTED_VALUE"""),"109264;-;INF761K01CX5;BANK OF INDIA Ultra Short Duration Fund- Regular Plan- Weekly IDCW;1008.2032;25-Aug-2023")</f>
        <v>109264;-;INF761K01CX5;BANK OF INDIA Ultra Short Duration Fund- Regular Plan- Weekly IDCW;1008.2032;25-Aug-2023</v>
      </c>
      <c r="B4023" s="1"/>
    </row>
    <row r="4024">
      <c r="A4024" s="1"/>
      <c r="B4024" s="1"/>
    </row>
    <row r="4025">
      <c r="A4025" s="1" t="str">
        <f>IFERROR(__xludf.DUMMYFUNCTION("""COMPUTED_VALUE"""),"Baroda BNP Paribas Mutual Fund")</f>
        <v>Baroda BNP Paribas Mutual Fund</v>
      </c>
      <c r="B4025" s="1"/>
    </row>
    <row r="4026">
      <c r="A4026" s="1"/>
      <c r="B4026" s="1"/>
    </row>
    <row r="4027">
      <c r="A4027" s="1" t="str">
        <f>IFERROR(__xludf.DUMMYFUNCTION("""COMPUTED_VALUE"""),"143510;INF251K01SN4;INF955L01GY0;Baroda BNP Paribas Ultra Short Duratio Fund- Regular Plan- Weekly IDCW;1001.2671;25-Aug-2023")</f>
        <v>143510;INF251K01SN4;INF955L01GY0;Baroda BNP Paribas Ultra Short Duratio Fund- Regular Plan- Weekly IDCW;1001.2671;25-Aug-2023</v>
      </c>
      <c r="B4027" s="1"/>
    </row>
    <row r="4028">
      <c r="A4028" s="1" t="str">
        <f>IFERROR(__xludf.DUMMYFUNCTION("""COMPUTED_VALUE"""),"143507;-;INF955L01GW4;Baroda BNP Paribas Ultra Short Duration Fund - Regular Plan - Daily IDCW;1006.2583;25-Aug-2023")</f>
        <v>143507;-;INF955L01GW4;Baroda BNP Paribas Ultra Short Duration Fund - Regular Plan - Daily IDCW;1006.2583;25-Aug-2023</v>
      </c>
      <c r="B4028" s="1"/>
    </row>
    <row r="4029">
      <c r="A4029" s="1" t="str">
        <f>IFERROR(__xludf.DUMMYFUNCTION("""COMPUTED_VALUE"""),"143464;INF955L01GX2;-;Baroda BNP Paribas Ultra Short Duration Fund - Regular Plan - Growth;1350.4528;25-Aug-2023")</f>
        <v>143464;INF955L01GX2;-;Baroda BNP Paribas Ultra Short Duration Fund - Regular Plan - Growth;1350.4528;25-Aug-2023</v>
      </c>
      <c r="B4029" s="1"/>
    </row>
    <row r="4030">
      <c r="A4030" s="1" t="str">
        <f>IFERROR(__xludf.DUMMYFUNCTION("""COMPUTED_VALUE"""),"143511;-;INF955L01GZ7;Baroda BNP Paribas Ultra Short Duration Fund- Direct Plan- Daily IDCW;1007.0751;25-Aug-2023")</f>
        <v>143511;-;INF955L01GZ7;Baroda BNP Paribas Ultra Short Duration Fund- Direct Plan- Daily IDCW;1007.0751;25-Aug-2023</v>
      </c>
      <c r="B4030" s="1"/>
    </row>
    <row r="4031">
      <c r="A4031" s="1" t="str">
        <f>IFERROR(__xludf.DUMMYFUNCTION("""COMPUTED_VALUE"""),"143508;INF955L01HA8;-;Baroda BNP Paribas Ultra Short Duration Fund- Direct Plan- Growth;1363.4623;25-Aug-2023")</f>
        <v>143508;INF955L01HA8;-;Baroda BNP Paribas Ultra Short Duration Fund- Direct Plan- Growth;1363.4623;25-Aug-2023</v>
      </c>
      <c r="B4031" s="1"/>
    </row>
    <row r="4032">
      <c r="A4032" s="1" t="str">
        <f>IFERROR(__xludf.DUMMYFUNCTION("""COMPUTED_VALUE"""),"143509;INF251K01SM6;INF955L01HB6;Baroda BNP Paribas Ultra Short Duration Fund- Direct Plan- Weekly IDCW;1001.2605;25-Aug-2023")</f>
        <v>143509;INF251K01SM6;INF955L01HB6;Baroda BNP Paribas Ultra Short Duration Fund- Direct Plan- Weekly IDCW;1001.2605;25-Aug-2023</v>
      </c>
      <c r="B4032" s="1"/>
    </row>
    <row r="4033">
      <c r="A4033" s="1"/>
      <c r="B4033" s="1"/>
    </row>
    <row r="4034">
      <c r="A4034" s="1" t="str">
        <f>IFERROR(__xludf.DUMMYFUNCTION("""COMPUTED_VALUE"""),"Canara Robeco Mutual Fund")</f>
        <v>Canara Robeco Mutual Fund</v>
      </c>
      <c r="B4034" s="1"/>
    </row>
    <row r="4035">
      <c r="A4035" s="1"/>
      <c r="B4035" s="1"/>
    </row>
    <row r="4036">
      <c r="A4036" s="1" t="str">
        <f>IFERROR(__xludf.DUMMYFUNCTION("""COMPUTED_VALUE"""),"118315;-;INF760K01GL3;CANARA ROBECO ULTRA SHORT TERM FUND - DIRECT PLAN - DAILY IDCW (Reinvestment);1240.7100;25-Aug-2023")</f>
        <v>118315;-;INF760K01GL3;CANARA ROBECO ULTRA SHORT TERM FUND - DIRECT PLAN - DAILY IDCW (Reinvestment);1240.7100;25-Aug-2023</v>
      </c>
      <c r="B4036" s="1"/>
    </row>
    <row r="4037">
      <c r="A4037" s="1" t="str">
        <f>IFERROR(__xludf.DUMMYFUNCTION("""COMPUTED_VALUE"""),"118317;INF760K01GM1;-;CANARA ROBECO ULTRA SHORT TERM FUND - DIRECT PLAN - GROWTH OPTION;3541.5332;25-Aug-2023")</f>
        <v>118317;INF760K01GM1;-;CANARA ROBECO ULTRA SHORT TERM FUND - DIRECT PLAN - GROWTH OPTION;3541.5332;25-Aug-2023</v>
      </c>
      <c r="B4037" s="1"/>
    </row>
    <row r="4038">
      <c r="A4038" s="1" t="str">
        <f>IFERROR(__xludf.DUMMYFUNCTION("""COMPUTED_VALUE"""),"118319;INF760K01GN9;-;CANARA ROBECO ULTRA SHORT TERM FUND - DIRECT PLAN - IDCW (Payout/Reinvestment);2027.1154;25-Aug-2023")</f>
        <v>118319;INF760K01GN9;-;CANARA ROBECO ULTRA SHORT TERM FUND - DIRECT PLAN - IDCW (Payout/Reinvestment);2027.1154;25-Aug-2023</v>
      </c>
      <c r="B4038" s="1"/>
    </row>
    <row r="4039">
      <c r="A4039" s="1" t="str">
        <f>IFERROR(__xludf.DUMMYFUNCTION("""COMPUTED_VALUE"""),"118318;INF760K01GP4;INF760K01GO7;CANARA ROBECO ULTRA SHORT TERM FUND - DIRECT PLAN - MONTHLY IDCW (Payout/Reinvestment);1006.6696;25-Aug-2023")</f>
        <v>118318;INF760K01GP4;INF760K01GO7;CANARA ROBECO ULTRA SHORT TERM FUND - DIRECT PLAN - MONTHLY IDCW (Payout/Reinvestment);1006.6696;25-Aug-2023</v>
      </c>
      <c r="B4039" s="1"/>
    </row>
    <row r="4040">
      <c r="A4040" s="1" t="str">
        <f>IFERROR(__xludf.DUMMYFUNCTION("""COMPUTED_VALUE"""),"118316;INF760K01GQ2;INF760K01GR0;CANARA ROBECO ULTRA SHORT TERM FUND - DIRECT PLAN - WEEKLY IDCW (Payout/Reinvestment);1241.2227;25-Aug-2023")</f>
        <v>118316;INF760K01GQ2;INF760K01GR0;CANARA ROBECO ULTRA SHORT TERM FUND - DIRECT PLAN - WEEKLY IDCW (Payout/Reinvestment);1241.2227;25-Aug-2023</v>
      </c>
      <c r="B4040" s="1"/>
    </row>
    <row r="4041">
      <c r="A4041" s="1" t="str">
        <f>IFERROR(__xludf.DUMMYFUNCTION("""COMPUTED_VALUE"""),"109372;-;INF760K01DA3;CANARA ROBECO ULTRA SHORT TERM FUND - REGULAR PLAN - DAILY IDCW (Reinvestment);1240.7100;25-Aug-2023")</f>
        <v>109372;-;INF760K01DA3;CANARA ROBECO ULTRA SHORT TERM FUND - REGULAR PLAN - DAILY IDCW (Reinvestment);1240.7100;25-Aug-2023</v>
      </c>
      <c r="B4041" s="1"/>
    </row>
    <row r="4042">
      <c r="A4042" s="1" t="str">
        <f>IFERROR(__xludf.DUMMYFUNCTION("""COMPUTED_VALUE"""),"109371;INF760K01DC9;-;CANARA ROBECO ULTRA SHORT TERM FUND - REGULAR PLAN - GROWTH OPTION;3363.6693;25-Aug-2023")</f>
        <v>109371;INF760K01DC9;-;CANARA ROBECO ULTRA SHORT TERM FUND - REGULAR PLAN - GROWTH OPTION;3363.6693;25-Aug-2023</v>
      </c>
      <c r="B4042" s="1"/>
    </row>
    <row r="4043">
      <c r="A4043" s="1" t="str">
        <f>IFERROR(__xludf.DUMMYFUNCTION("""COMPUTED_VALUE"""),"109370;INF760K01CA5;INF760K01DD7;CANARA ROBECO ULTRA SHORT TERM FUND - REGULAR PLAN - MONTHLY IDCW (Payout/Reinvestment);1006.2404;25-Aug-2023")</f>
        <v>109370;INF760K01CA5;INF760K01DD7;CANARA ROBECO ULTRA SHORT TERM FUND - REGULAR PLAN - MONTHLY IDCW (Payout/Reinvestment);1006.2404;25-Aug-2023</v>
      </c>
      <c r="B4043" s="1"/>
    </row>
    <row r="4044">
      <c r="A4044" s="1" t="str">
        <f>IFERROR(__xludf.DUMMYFUNCTION("""COMPUTED_VALUE"""),"109366;INF760K01DE5;INF760K01DF2;CANARA ROBECO ULTRA SHORT TERM FUND - REGULAR PLAN - WEEKLY IDCW (Payout/Reinvestment);1241.1888;25-Aug-2023")</f>
        <v>109366;INF760K01DE5;INF760K01DF2;CANARA ROBECO ULTRA SHORT TERM FUND - REGULAR PLAN - WEEKLY IDCW (Payout/Reinvestment);1241.1888;25-Aug-2023</v>
      </c>
      <c r="B4044" s="1"/>
    </row>
    <row r="4045">
      <c r="A4045" s="1" t="str">
        <f>IFERROR(__xludf.DUMMYFUNCTION("""COMPUTED_VALUE"""),"140530;INF760K01IL9;-;CANARA ROBECO ULTRA SHORT TERM FUND- REGULAR PLAN - IDCW (Payout);1381.8546;25-Aug-2023")</f>
        <v>140530;INF760K01IL9;-;CANARA ROBECO ULTRA SHORT TERM FUND- REGULAR PLAN - IDCW (Payout);1381.8546;25-Aug-2023</v>
      </c>
      <c r="B4045" s="1"/>
    </row>
    <row r="4046">
      <c r="A4046" s="1"/>
      <c r="B4046" s="1"/>
    </row>
    <row r="4047">
      <c r="A4047" s="1" t="str">
        <f>IFERROR(__xludf.DUMMYFUNCTION("""COMPUTED_VALUE"""),"DSP Mutual Fund")</f>
        <v>DSP Mutual Fund</v>
      </c>
      <c r="B4047" s="1"/>
    </row>
    <row r="4048">
      <c r="A4048" s="1"/>
      <c r="B4048" s="1"/>
    </row>
    <row r="4049">
      <c r="A4049" s="1" t="str">
        <f>IFERROR(__xludf.DUMMYFUNCTION("""COMPUTED_VALUE"""),"119205;INF740K01ON5;-;DSP Ultra Short Fund - Direct Plan - Growth;3218.7787;25-Aug-2023")</f>
        <v>119205;INF740K01ON5;-;DSP Ultra Short Fund - Direct Plan - Growth;3218.7787;25-Aug-2023</v>
      </c>
      <c r="B4049" s="1"/>
    </row>
    <row r="4050">
      <c r="A4050" s="1" t="str">
        <f>IFERROR(__xludf.DUMMYFUNCTION("""COMPUTED_VALUE"""),"119206;INF740K01OQ8;INF740K01OR6;DSP Ultra Short Fund - Direct Plan - IDCW;1120.3564;25-Aug-2023")</f>
        <v>119206;INF740K01OQ8;INF740K01OR6;DSP Ultra Short Fund - Direct Plan - IDCW;1120.3564;25-Aug-2023</v>
      </c>
      <c r="B4050" s="1"/>
    </row>
    <row r="4051">
      <c r="A4051" s="1" t="str">
        <f>IFERROR(__xludf.DUMMYFUNCTION("""COMPUTED_VALUE"""),"119203;-;INF740KA1NT0;DSP Ultra Short Fund - Direct Plan - IDCW - Daily;1005.3951;25-Aug-2023")</f>
        <v>119203;-;INF740KA1NT0;DSP Ultra Short Fund - Direct Plan - IDCW - Daily;1005.3951;25-Aug-2023</v>
      </c>
      <c r="B4051" s="1"/>
    </row>
    <row r="4052">
      <c r="A4052" s="1" t="str">
        <f>IFERROR(__xludf.DUMMYFUNCTION("""COMPUTED_VALUE"""),"119204;INF740K01OO3;INF740K01OP0;DSP Ultra Short Fund - Direct Plan - IDCW - Monthly;1074.2305;25-Aug-2023")</f>
        <v>119204;INF740K01OO3;INF740K01OP0;DSP Ultra Short Fund - Direct Plan - IDCW - Monthly;1074.2305;25-Aug-2023</v>
      </c>
      <c r="B4052" s="1"/>
    </row>
    <row r="4053">
      <c r="A4053" s="1" t="str">
        <f>IFERROR(__xludf.DUMMYFUNCTION("""COMPUTED_VALUE"""),"119207;INF740KA1NU8;INF740KA1NV6;DSP Ultra Short Fund - Direct Plan - IDCW - Weekly;1005.2411;25-Aug-2023")</f>
        <v>119207;INF740KA1NU8;INF740KA1NV6;DSP Ultra Short Fund - Direct Plan - IDCW - Weekly;1005.2411;25-Aug-2023</v>
      </c>
      <c r="B4053" s="1"/>
    </row>
    <row r="4054">
      <c r="A4054" s="1" t="str">
        <f>IFERROR(__xludf.DUMMYFUNCTION("""COMPUTED_VALUE"""),"104138;INF740K01QQ3;-;DSP Ultra Short Fund - Regular Plan - Growth;3000.1014;25-Aug-2023")</f>
        <v>104138;INF740K01QQ3;-;DSP Ultra Short Fund - Regular Plan - Growth;3000.1014;25-Aug-2023</v>
      </c>
      <c r="B4054" s="1"/>
    </row>
    <row r="4055">
      <c r="A4055" s="1" t="str">
        <f>IFERROR(__xludf.DUMMYFUNCTION("""COMPUTED_VALUE"""),"104140;-;INF740KA1NW4;DSP Ultra Short Fund - Regular Plan - IDCW - Daily Reinvest;1005.4914;25-Aug-2023")</f>
        <v>104140;-;INF740KA1NW4;DSP Ultra Short Fund - Regular Plan - IDCW - Daily Reinvest;1005.4914;25-Aug-2023</v>
      </c>
      <c r="B4055" s="1"/>
    </row>
    <row r="4056">
      <c r="A4056" s="1" t="str">
        <f>IFERROR(__xludf.DUMMYFUNCTION("""COMPUTED_VALUE"""),"117063;INF740K01QS9;INF740K01QR1;DSP Ultra Short Fund - Regular Plan - IDCW - Monthly;1067.2983;25-Aug-2023")</f>
        <v>117063;INF740K01QS9;INF740K01QR1;DSP Ultra Short Fund - Regular Plan - IDCW - Monthly;1067.2983;25-Aug-2023</v>
      </c>
      <c r="B4056" s="1"/>
    </row>
    <row r="4057">
      <c r="A4057" s="1" t="str">
        <f>IFERROR(__xludf.DUMMYFUNCTION("""COMPUTED_VALUE"""),"117995;INF740K01MK5;-;DSP Ultra Short Fund - Regular Plan - IDCW - Payout;1109.4186;25-Aug-2023")</f>
        <v>117995;INF740K01MK5;-;DSP Ultra Short Fund - Regular Plan - IDCW - Payout;1109.4186;25-Aug-2023</v>
      </c>
      <c r="B4057" s="1"/>
    </row>
    <row r="4058">
      <c r="A4058" s="1" t="str">
        <f>IFERROR(__xludf.DUMMYFUNCTION("""COMPUTED_VALUE"""),"104139;-;-;DSP Ultra Short Fund - Regular Plan - IDCW - Weekly Reinvest;1005.2204;25-Aug-2023")</f>
        <v>104139;-;-;DSP Ultra Short Fund - Regular Plan - IDCW - Weekly Reinvest;1005.2204;25-Aug-2023</v>
      </c>
      <c r="B4058" s="1"/>
    </row>
    <row r="4059">
      <c r="A4059" s="1"/>
      <c r="B4059" s="1"/>
    </row>
    <row r="4060">
      <c r="A4060" s="1" t="str">
        <f>IFERROR(__xludf.DUMMYFUNCTION("""COMPUTED_VALUE"""),"Franklin Templeton Mutual Fund")</f>
        <v>Franklin Templeton Mutual Fund</v>
      </c>
      <c r="B4060" s="1"/>
    </row>
    <row r="4061">
      <c r="A4061" s="1"/>
      <c r="B4061" s="1"/>
    </row>
    <row r="4062">
      <c r="A4062" s="1" t="str">
        <f>IFERROR(__xludf.DUMMYFUNCTION("""COMPUTED_VALUE"""),"107248;INF090I01CG8;-;Franklin India Ultra Short Bond Fund - Institutional - Growth;33.7757;07-Aug-2022")</f>
        <v>107248;INF090I01CG8;-;Franklin India Ultra Short Bond Fund - Institutional - Growth;33.7757;07-Aug-2022</v>
      </c>
      <c r="B4062" s="1"/>
    </row>
    <row r="4063">
      <c r="A4063" s="1" t="str">
        <f>IFERROR(__xludf.DUMMYFUNCTION("""COMPUTED_VALUE"""),"109574;INF090I01CE3;INF090I01CF0;Franklin India Ultra Short Bond Fund - Institutional - Weekly Dividend;0.0000;01-Sep-2015")</f>
        <v>109574;INF090I01CE3;INF090I01CF0;Franklin India Ultra Short Bond Fund - Institutional - Weekly Dividend;0.0000;01-Sep-2015</v>
      </c>
      <c r="B4063" s="1"/>
    </row>
    <row r="4064">
      <c r="A4064" s="1" t="str">
        <f>IFERROR(__xludf.DUMMYFUNCTION("""COMPUTED_VALUE"""),"107251;-;INF090I01CD5;Franklin India Ultra Short Bond Fund - Institutional Plan - Daily - IDCW;12.3700;07-Aug-2022")</f>
        <v>107251;-;INF090I01CD5;Franklin India Ultra Short Bond Fund - Institutional Plan - Daily - IDCW;12.3700;07-Aug-2022</v>
      </c>
      <c r="B4064" s="1"/>
    </row>
    <row r="4065">
      <c r="A4065" s="1" t="str">
        <f>IFERROR(__xludf.DUMMYFUNCTION("""COMPUTED_VALUE"""),"107247;INF090I01CK0;-;Franklin India Ultra Short Bond Fund - Retail - Growth;32.9262;07-Aug-2022")</f>
        <v>107247;INF090I01CK0;-;Franklin India Ultra Short Bond Fund - Retail - Growth;32.9262;07-Aug-2022</v>
      </c>
      <c r="B4065" s="1"/>
    </row>
    <row r="4066">
      <c r="A4066" s="1" t="str">
        <f>IFERROR(__xludf.DUMMYFUNCTION("""COMPUTED_VALUE"""),"107252;-;INF090I01CH6;Franklin India Ultra Short Bond Fund - Retail Plan - Daily - IDCW;12.4137;07-Aug-2022")</f>
        <v>107252;-;INF090I01CH6;Franklin India Ultra Short Bond Fund - Retail Plan - Daily - IDCW;12.4137;07-Aug-2022</v>
      </c>
      <c r="B4066" s="1"/>
    </row>
    <row r="4067">
      <c r="A4067" s="1" t="str">
        <f>IFERROR(__xludf.DUMMYFUNCTION("""COMPUTED_VALUE"""),"109575;INF090I01CI4;INF090I01CJ2;Franklin India Ultra Short Bond Fund - Retail Plan - Weekly - IDCW;12.5163;07-Aug-2022")</f>
        <v>109575;INF090I01CI4;INF090I01CJ2;Franklin India Ultra Short Bond Fund - Retail Plan - Weekly - IDCW;12.5163;07-Aug-2022</v>
      </c>
      <c r="B4067" s="1"/>
    </row>
    <row r="4068">
      <c r="A4068" s="1" t="str">
        <f>IFERROR(__xludf.DUMMYFUNCTION("""COMPUTED_VALUE"""),"107249;INF090I01CN4;-;Franklin India Ultra Short Bond Fund - Super Institutional - Growth;34.9131;07-Aug-2022")</f>
        <v>107249;INF090I01CN4;-;Franklin India Ultra Short Bond Fund - Super Institutional - Growth;34.9131;07-Aug-2022</v>
      </c>
      <c r="B4068" s="1"/>
    </row>
    <row r="4069">
      <c r="A4069" s="1" t="str">
        <f>IFERROR(__xludf.DUMMYFUNCTION("""COMPUTED_VALUE"""),"107250;-;INF090I01CL8;Franklin India Ultra Short Bond Fund - Super Institutional Plan - Daily - IDCW;12.4788;07-Aug-2022")</f>
        <v>107250;-;INF090I01CL8;Franklin India Ultra Short Bond Fund - Super Institutional Plan - Daily - IDCW;12.4788;07-Aug-2022</v>
      </c>
      <c r="B4069" s="1"/>
    </row>
    <row r="4070">
      <c r="A4070" s="1" t="str">
        <f>IFERROR(__xludf.DUMMYFUNCTION("""COMPUTED_VALUE"""),"118560;INF090I01JA6;-;Franklin India Ultra Short Bond Fund - Super Institutional Plan - Direct - Growth;34.2355;07-Aug-2022")</f>
        <v>118560;INF090I01JA6;-;Franklin India Ultra Short Bond Fund - Super Institutional Plan - Direct - Growth;34.2355;07-Aug-2022</v>
      </c>
      <c r="B4070" s="1"/>
    </row>
    <row r="4071">
      <c r="A4071" s="1" t="str">
        <f>IFERROR(__xludf.DUMMYFUNCTION("""COMPUTED_VALUE"""),"109576;-;INF090I01CM6;Franklin India Ultra Short Bond Fund - Super Institutional Plan - Weekly - IDCW;12.5111;07-Aug-2022")</f>
        <v>109576;-;INF090I01CM6;Franklin India Ultra Short Bond Fund - Super Institutional Plan - Weekly - IDCW;12.5111;07-Aug-2022</v>
      </c>
      <c r="B4071" s="1"/>
    </row>
    <row r="4072">
      <c r="A4072" s="1" t="str">
        <f>IFERROR(__xludf.DUMMYFUNCTION("""COMPUTED_VALUE"""),"118561;-;INF090I01JB4;Franklin India Ultra Short Bond Fund Super Institutional Plan - Direct - Daily - IDCW;12.1512;07-Aug-2022")</f>
        <v>118561;-;INF090I01JB4;Franklin India Ultra Short Bond Fund Super Institutional Plan - Direct - Daily - IDCW;12.1512;07-Aug-2022</v>
      </c>
      <c r="B4072" s="1"/>
    </row>
    <row r="4073">
      <c r="A4073" s="1" t="str">
        <f>IFERROR(__xludf.DUMMYFUNCTION("""COMPUTED_VALUE"""),"118562;-;INF090I01JC2;Franklin India Ultra Short Bond Fund Super Institutional Plan - Direct - Weekly - IDCW;12.1960;07-Aug-2022")</f>
        <v>118562;-;INF090I01JC2;Franklin India Ultra Short Bond Fund Super Institutional Plan - Direct - Weekly - IDCW;12.1960;07-Aug-2022</v>
      </c>
      <c r="B4073" s="1"/>
    </row>
    <row r="4074">
      <c r="A4074" s="1" t="str">
        <f>IFERROR(__xludf.DUMMYFUNCTION("""COMPUTED_VALUE"""),"147975;INF090I01VF0;-;Franklin India Ultra Short Bond Fund- Institutional Plan-Segregated Portfolio 1- 8.25% Vodafone Idea Ltd-10JUL20-Daily Dividend Option;0.0000;13-Jul-2020")</f>
        <v>147975;INF090I01VF0;-;Franklin India Ultra Short Bond Fund- Institutional Plan-Segregated Portfolio 1- 8.25% Vodafone Idea Ltd-10JUL20-Daily Dividend Option;0.0000;13-Jul-2020</v>
      </c>
      <c r="B4074" s="1"/>
    </row>
    <row r="4075">
      <c r="A4075" s="1" t="str">
        <f>IFERROR(__xludf.DUMMYFUNCTION("""COMPUTED_VALUE"""),"147976;INF090I01VE3;-;Franklin India Ultra Short Bond Fund- Institutional Plan-Segregated Portfolio 1- 8.25% Vodafone Idea Ltd-10JUL20-Growth Option;0.0000;13-Jul-2020")</f>
        <v>147976;INF090I01VE3;-;Franklin India Ultra Short Bond Fund- Institutional Plan-Segregated Portfolio 1- 8.25% Vodafone Idea Ltd-10JUL20-Growth Option;0.0000;13-Jul-2020</v>
      </c>
      <c r="B4075" s="1"/>
    </row>
    <row r="4076">
      <c r="A4076" s="1" t="str">
        <f>IFERROR(__xludf.DUMMYFUNCTION("""COMPUTED_VALUE"""),"147980;INF090I01VD5;-;Franklin India Ultra Short Bond Fund- Retail Plan-Segregated Portfolio 1- 8.25% Vodafone Idea Ltd-10JUL20-Daily Dividend Option;0.0000;20-Jul-2020")</f>
        <v>147980;INF090I01VD5;-;Franklin India Ultra Short Bond Fund- Retail Plan-Segregated Portfolio 1- 8.25% Vodafone Idea Ltd-10JUL20-Daily Dividend Option;0.0000;20-Jul-2020</v>
      </c>
      <c r="B4076" s="1"/>
    </row>
    <row r="4077">
      <c r="A4077" s="1" t="str">
        <f>IFERROR(__xludf.DUMMYFUNCTION("""COMPUTED_VALUE"""),"147979;INF090I01VC7;-;Franklin India Ultra Short Bond Fund- Retail Plan-Segregated Portfolio 1- 8.25% Vodafone Idea Ltd-10JUL20-Growth Option;0.0000;20-Jul-2020")</f>
        <v>147979;INF090I01VC7;-;Franklin India Ultra Short Bond Fund- Retail Plan-Segregated Portfolio 1- 8.25% Vodafone Idea Ltd-10JUL20-Growth Option;0.0000;20-Jul-2020</v>
      </c>
      <c r="B4077" s="1"/>
    </row>
    <row r="4078">
      <c r="A4078" s="1" t="str">
        <f>IFERROR(__xludf.DUMMYFUNCTION("""COMPUTED_VALUE"""),"147977;INF090I01VI4;-;Franklin India Ultra Short Bond Fund- Retail Plan-Segregated Portfolio 1- 8.25% Vodafone Idea Ltd-10JUL20-Weekly Dividend Option;0.0000;13-Jul-2020")</f>
        <v>147977;INF090I01VI4;-;Franklin India Ultra Short Bond Fund- Retail Plan-Segregated Portfolio 1- 8.25% Vodafone Idea Ltd-10JUL20-Weekly Dividend Option;0.0000;13-Jul-2020</v>
      </c>
      <c r="B4078" s="1"/>
    </row>
    <row r="4079">
      <c r="A4079" s="1" t="str">
        <f>IFERROR(__xludf.DUMMYFUNCTION("""COMPUTED_VALUE"""),"147971;INF090I01VH6;-;Franklin India Ultra Short Bond Fund- Super Institutional Plan-Segregated Portfolio 1- 8.25% Vodafone Idea Ltd-10JUL20-Daily Dividend Option;0.0000;20-Jul-2020")</f>
        <v>147971;INF090I01VH6;-;Franklin India Ultra Short Bond Fund- Super Institutional Plan-Segregated Portfolio 1- 8.25% Vodafone Idea Ltd-10JUL20-Daily Dividend Option;0.0000;20-Jul-2020</v>
      </c>
      <c r="B4079" s="1"/>
    </row>
    <row r="4080">
      <c r="A4080" s="1" t="str">
        <f>IFERROR(__xludf.DUMMYFUNCTION("""COMPUTED_VALUE"""),"147974;INF090I01VL8;-;Franklin India Ultra Short Bond Fund- Super Institutional Plan-Segregated Portfolio 1- 8.25% Vodafone Idea Ltd-10JUL20-Direct Daily Dividend Option;0.0000;20-Jul-2020")</f>
        <v>147974;INF090I01VL8;-;Franklin India Ultra Short Bond Fund- Super Institutional Plan-Segregated Portfolio 1- 8.25% Vodafone Idea Ltd-10JUL20-Direct Daily Dividend Option;0.0000;20-Jul-2020</v>
      </c>
      <c r="B4080" s="1"/>
    </row>
    <row r="4081">
      <c r="A4081" s="1" t="str">
        <f>IFERROR(__xludf.DUMMYFUNCTION("""COMPUTED_VALUE"""),"147973;INF090I01VK0;-;Franklin India Ultra Short Bond Fund- Super Institutional Plan-Segregated Portfolio 1- 8.25% Vodafone Idea Ltd-10JUL20-Direct-Growth Option;0.0000;20-Jul-2020")</f>
        <v>147973;INF090I01VK0;-;Franklin India Ultra Short Bond Fund- Super Institutional Plan-Segregated Portfolio 1- 8.25% Vodafone Idea Ltd-10JUL20-Direct-Growth Option;0.0000;20-Jul-2020</v>
      </c>
      <c r="B4081" s="1"/>
    </row>
    <row r="4082">
      <c r="A4082" s="1" t="str">
        <f>IFERROR(__xludf.DUMMYFUNCTION("""COMPUTED_VALUE"""),"147978;INF090I01VM6;-;Franklin India Ultra Short Bond Fund- Super Institutional Plan-Segregated Portfolio 1- 8.25% Vodafone Idea Ltd-10JUL20-Direct-Weekly Dividend Option;0.0000;20-Jul-2020")</f>
        <v>147978;INF090I01VM6;-;Franklin India Ultra Short Bond Fund- Super Institutional Plan-Segregated Portfolio 1- 8.25% Vodafone Idea Ltd-10JUL20-Direct-Weekly Dividend Option;0.0000;20-Jul-2020</v>
      </c>
      <c r="B4082" s="1"/>
    </row>
    <row r="4083">
      <c r="A4083" s="1" t="str">
        <f>IFERROR(__xludf.DUMMYFUNCTION("""COMPUTED_VALUE"""),"147970;INF090I01VG8;-;Franklin India Ultra Short Bond Fund- Super Institutional Plan-Segregated Portfolio 1- 8.25% Vodafone Idea Ltd-10JUL20-Growth Option;0.0000;20-Jul-2020")</f>
        <v>147970;INF090I01VG8;-;Franklin India Ultra Short Bond Fund- Super Institutional Plan-Segregated Portfolio 1- 8.25% Vodafone Idea Ltd-10JUL20-Growth Option;0.0000;20-Jul-2020</v>
      </c>
      <c r="B4083" s="1"/>
    </row>
    <row r="4084">
      <c r="A4084" s="1" t="str">
        <f>IFERROR(__xludf.DUMMYFUNCTION("""COMPUTED_VALUE"""),"147972;INF090I01VJ2;-;Franklin India Ultra Short Bond Fund- Super Institutional Plan-Segregated Portfolio 1- 8.25% Vodafone Idea Ltd-10JUL20-Weekly Dividend Option;0.0000;20-Jul-2020")</f>
        <v>147972;INF090I01VJ2;-;Franklin India Ultra Short Bond Fund- Super Institutional Plan-Segregated Portfolio 1- 8.25% Vodafone Idea Ltd-10JUL20-Weekly Dividend Option;0.0000;20-Jul-2020</v>
      </c>
      <c r="B4084" s="1"/>
    </row>
    <row r="4085">
      <c r="A4085" s="1"/>
      <c r="B4085" s="1"/>
    </row>
    <row r="4086">
      <c r="A4086" s="1" t="str">
        <f>IFERROR(__xludf.DUMMYFUNCTION("""COMPUTED_VALUE"""),"HDFC Mutual Fund")</f>
        <v>HDFC Mutual Fund</v>
      </c>
      <c r="B4086" s="1"/>
    </row>
    <row r="4087">
      <c r="A4087" s="1"/>
      <c r="B4087" s="1"/>
    </row>
    <row r="4088">
      <c r="A4088" s="1" t="str">
        <f>IFERROR(__xludf.DUMMYFUNCTION("""COMPUTED_VALUE"""),"145041;-;INF179KB12R1;HDFC Ultra Short Term Fund - Daily IDCW Option;10.103;25-Aug-2023")</f>
        <v>145041;-;INF179KB12R1;HDFC Ultra Short Term Fund - Daily IDCW Option;10.103;25-Aug-2023</v>
      </c>
      <c r="B4088" s="1"/>
    </row>
    <row r="4089">
      <c r="A4089" s="1" t="str">
        <f>IFERROR(__xludf.DUMMYFUNCTION("""COMPUTED_VALUE"""),"145039;-;INF179KB16Q4;HDFC Ultra Short Term Fund - Direct Plan-Daily IDCW Option;10.092;25-Aug-2023")</f>
        <v>145039;-;INF179KB16Q4;HDFC Ultra Short Term Fund - Direct Plan-Daily IDCW Option;10.092;25-Aug-2023</v>
      </c>
      <c r="B4089" s="1"/>
    </row>
    <row r="4090">
      <c r="A4090" s="1" t="str">
        <f>IFERROR(__xludf.DUMMYFUNCTION("""COMPUTED_VALUE"""),"145034;INF179KB15Q6;-;HDFC Ultra Short Term Fund - Direct Plan-Growth Option;13.4931;25-Aug-2023")</f>
        <v>145034;INF179KB15Q6;-;HDFC Ultra Short Term Fund - Direct Plan-Growth Option;13.4931;25-Aug-2023</v>
      </c>
      <c r="B4090" s="1"/>
    </row>
    <row r="4091">
      <c r="A4091" s="1" t="str">
        <f>IFERROR(__xludf.DUMMYFUNCTION("""COMPUTED_VALUE"""),"145036;INF179KB10R5;INF179KB19Q8;HDFC Ultra Short Term Fund - Direct Plan-Monthly IDCW Option;10.0943;25-Aug-2023")</f>
        <v>145036;INF179KB10R5;INF179KB19Q8;HDFC Ultra Short Term Fund - Direct Plan-Monthly IDCW Option;10.0943;25-Aug-2023</v>
      </c>
      <c r="B4091" s="1"/>
    </row>
    <row r="4092">
      <c r="A4092" s="1" t="str">
        <f>IFERROR(__xludf.DUMMYFUNCTION("""COMPUTED_VALUE"""),"145035;INF179KB18Q0;INF179KB17Q2;HDFC Ultra Short Term Fund - Direct Plan-Weekly IDCW Option;10.058;25-Aug-2023")</f>
        <v>145035;INF179KB18Q0;INF179KB17Q2;HDFC Ultra Short Term Fund - Direct Plan-Weekly IDCW Option;10.058;25-Aug-2023</v>
      </c>
      <c r="B4092" s="1"/>
    </row>
    <row r="4093">
      <c r="A4093" s="1" t="str">
        <f>IFERROR(__xludf.DUMMYFUNCTION("""COMPUTED_VALUE"""),"145040;INF179KB11R3;-;HDFC Ultra Short Term Fund - Growth Option;13.2854;25-Aug-2023")</f>
        <v>145040;INF179KB11R3;-;HDFC Ultra Short Term Fund - Growth Option;13.2854;25-Aug-2023</v>
      </c>
      <c r="B4093" s="1"/>
    </row>
    <row r="4094">
      <c r="A4094" s="1" t="str">
        <f>IFERROR(__xludf.DUMMYFUNCTION("""COMPUTED_VALUE"""),"145037;INF179KB16R2;INF179KB15R4;HDFC Ultra Short Term Fund - Monthly IDCW Option;10.1925;25-Aug-2023")</f>
        <v>145037;INF179KB16R2;INF179KB15R4;HDFC Ultra Short Term Fund - Monthly IDCW Option;10.1925;25-Aug-2023</v>
      </c>
      <c r="B4094" s="1"/>
    </row>
    <row r="4095">
      <c r="A4095" s="1" t="str">
        <f>IFERROR(__xludf.DUMMYFUNCTION("""COMPUTED_VALUE"""),"145038;INF179KB14R7;INF179KB13R9;HDFC Ultra Short Term Fund - Weekly IDCW Option;10.0576;25-Aug-2023")</f>
        <v>145038;INF179KB14R7;INF179KB13R9;HDFC Ultra Short Term Fund - Weekly IDCW Option;10.0576;25-Aug-2023</v>
      </c>
      <c r="B4095" s="1"/>
    </row>
    <row r="4096">
      <c r="A4096" s="1"/>
      <c r="B4096" s="1"/>
    </row>
    <row r="4097">
      <c r="A4097" s="1" t="str">
        <f>IFERROR(__xludf.DUMMYFUNCTION("""COMPUTED_VALUE"""),"HSBC Mutual Fund")</f>
        <v>HSBC Mutual Fund</v>
      </c>
      <c r="B4097" s="1"/>
    </row>
    <row r="4098">
      <c r="A4098" s="1"/>
      <c r="B4098" s="1"/>
    </row>
    <row r="4099">
      <c r="A4099" s="1" t="str">
        <f>IFERROR(__xludf.DUMMYFUNCTION("""COMPUTED_VALUE"""),"147910;-;INF336L01OS9;HSBC Ultra Short Duration Fund - Direct Daily IDCW;1079.9409;25-Aug-2023")</f>
        <v>147910;-;INF336L01OS9;HSBC Ultra Short Duration Fund - Direct Daily IDCW;1079.9409;25-Aug-2023</v>
      </c>
      <c r="B4099" s="1"/>
    </row>
    <row r="4100">
      <c r="A4100" s="1" t="str">
        <f>IFERROR(__xludf.DUMMYFUNCTION("""COMPUTED_VALUE"""),"147908;INF336L01OR1;-;HSBC Ultra Short Duration Fund - Direct Growth;1197.8323;25-Aug-2023")</f>
        <v>147908;INF336L01OR1;-;HSBC Ultra Short Duration Fund - Direct Growth;1197.8323;25-Aug-2023</v>
      </c>
      <c r="B4100" s="1"/>
    </row>
    <row r="4101">
      <c r="A4101" s="1" t="str">
        <f>IFERROR(__xludf.DUMMYFUNCTION("""COMPUTED_VALUE"""),"147915;INF336L01OV3;INF336L01OU5;HSBC Ultra Short Duration Fund - Direct Monthly IDCW;1016.86;25-Aug-2023")</f>
        <v>147915;INF336L01OV3;INF336L01OU5;HSBC Ultra Short Duration Fund - Direct Monthly IDCW;1016.86;25-Aug-2023</v>
      </c>
      <c r="B4101" s="1"/>
    </row>
    <row r="4102">
      <c r="A4102" s="1" t="str">
        <f>IFERROR(__xludf.DUMMYFUNCTION("""COMPUTED_VALUE"""),"147912;-;INF336L01OT7;HSBC Ultra Short Duration Fund - Direct Weekly IDCW;1007.8594;25-Aug-2023")</f>
        <v>147912;-;INF336L01OT7;HSBC Ultra Short Duration Fund - Direct Weekly IDCW;1007.8594;25-Aug-2023</v>
      </c>
      <c r="B4102" s="1"/>
    </row>
    <row r="4103">
      <c r="A4103" s="1" t="str">
        <f>IFERROR(__xludf.DUMMYFUNCTION("""COMPUTED_VALUE"""),"147909;-;INF336L01OX9;HSBC Ultra Short Duration Fund - Regular Daily IDCW;1031.7278;25-Aug-2023")</f>
        <v>147909;-;INF336L01OX9;HSBC Ultra Short Duration Fund - Regular Daily IDCW;1031.7278;25-Aug-2023</v>
      </c>
      <c r="B4103" s="1"/>
    </row>
    <row r="4104">
      <c r="A4104" s="1" t="str">
        <f>IFERROR(__xludf.DUMMYFUNCTION("""COMPUTED_VALUE"""),"147907;INF336L01OW1;-;HSBC Ultra Short Duration Fund - Regular Growth;1186.7796;25-Aug-2023")</f>
        <v>147907;INF336L01OW1;-;HSBC Ultra Short Duration Fund - Regular Growth;1186.7796;25-Aug-2023</v>
      </c>
      <c r="B4104" s="1"/>
    </row>
    <row r="4105">
      <c r="A4105" s="1" t="str">
        <f>IFERROR(__xludf.DUMMYFUNCTION("""COMPUTED_VALUE"""),"147916;INF336L01PA4;INF336L01OZ4;HSBC Ultra Short Duration Fund - Regular Monthly IDCW;1032.3182;25-Aug-2023")</f>
        <v>147916;INF336L01PA4;INF336L01OZ4;HSBC Ultra Short Duration Fund - Regular Monthly IDCW;1032.3182;25-Aug-2023</v>
      </c>
      <c r="B4105" s="1"/>
    </row>
    <row r="4106">
      <c r="A4106" s="1" t="str">
        <f>IFERROR(__xludf.DUMMYFUNCTION("""COMPUTED_VALUE"""),"147911;-;INF336L01OY7;HSBC Ultra Short Duration Fund - Regular Weekly IDCW;1041.9555;25-Aug-2023")</f>
        <v>147911;-;INF336L01OY7;HSBC Ultra Short Duration Fund - Regular Weekly IDCW;1041.9555;25-Aug-2023</v>
      </c>
      <c r="B4106" s="1"/>
    </row>
    <row r="4107">
      <c r="A4107" s="1"/>
      <c r="B4107" s="1"/>
    </row>
    <row r="4108">
      <c r="A4108" s="1" t="str">
        <f>IFERROR(__xludf.DUMMYFUNCTION("""COMPUTED_VALUE"""),"ICICI Prudential Mutual Fund")</f>
        <v>ICICI Prudential Mutual Fund</v>
      </c>
      <c r="B4108" s="1"/>
    </row>
    <row r="4109">
      <c r="A4109" s="1"/>
      <c r="B4109" s="1"/>
    </row>
    <row r="4110">
      <c r="A4110" s="1" t="str">
        <f>IFERROR(__xludf.DUMMYFUNCTION("""COMPUTED_VALUE"""),"145399;-;INF109KC1ND7;ICICI Prudential Ultra Short Term Fund - Daily IDCW;10.0605;25-Aug-2023")</f>
        <v>145399;-;INF109KC1ND7;ICICI Prudential Ultra Short Term Fund - Daily IDCW;10.0605;25-Aug-2023</v>
      </c>
      <c r="B4110" s="1"/>
    </row>
    <row r="4111">
      <c r="A4111" s="1" t="str">
        <f>IFERROR(__xludf.DUMMYFUNCTION("""COMPUTED_VALUE"""),"120676;INF109K01T04;-;ICICI Prudential Ultra Short Term Fund - Direct Plan -  Growth;26.0588;25-Aug-2023")</f>
        <v>120676;INF109K01T04;-;ICICI Prudential Ultra Short Term Fund - Direct Plan -  Growth;26.0588;25-Aug-2023</v>
      </c>
      <c r="B4111" s="1"/>
    </row>
    <row r="4112">
      <c r="A4112" s="1" t="str">
        <f>IFERROR(__xludf.DUMMYFUNCTION("""COMPUTED_VALUE"""),"120678;INF109K01T12;INF109K01T20;ICICI Prudential Ultra Short Term Fund - Direct Plan -  Half Yearly IDCW;10.7542;16-Sep-2022")</f>
        <v>120678;INF109K01T12;INF109K01T20;ICICI Prudential Ultra Short Term Fund - Direct Plan -  Half Yearly IDCW;10.7542;16-Sep-2022</v>
      </c>
      <c r="B4112" s="1"/>
    </row>
    <row r="4113">
      <c r="A4113" s="1" t="str">
        <f>IFERROR(__xludf.DUMMYFUNCTION("""COMPUTED_VALUE"""),"120677;INF109K01T38;INF109K01T46;ICICI Prudential Ultra Short Term Fund - Direct Plan -  Monthly IDCW;10.8268;25-Aug-2023")</f>
        <v>120677;INF109K01T38;INF109K01T46;ICICI Prudential Ultra Short Term Fund - Direct Plan -  Monthly IDCW;10.8268;25-Aug-2023</v>
      </c>
      <c r="B4113" s="1"/>
    </row>
    <row r="4114">
      <c r="A4114" s="1" t="str">
        <f>IFERROR(__xludf.DUMMYFUNCTION("""COMPUTED_VALUE"""),"120675;INF109K01T53;INF109K01T61;ICICI Prudential Ultra Short Term Fund - Direct Plan -  Quarterly IDCW;11.1361;25-Aug-2023")</f>
        <v>120675;INF109K01T53;INF109K01T61;ICICI Prudential Ultra Short Term Fund - Direct Plan -  Quarterly IDCW;11.1361;25-Aug-2023</v>
      </c>
      <c r="B4114" s="1"/>
    </row>
    <row r="4115">
      <c r="A4115" s="1" t="str">
        <f>IFERROR(__xludf.DUMMYFUNCTION("""COMPUTED_VALUE"""),"145404;-;INF109KC1MY5;ICICI Prudential Ultra Short Term Fund - Direct Plan - Daily IDCW;10.0093;25-Aug-2023")</f>
        <v>145404;-;INF109KC1MY5;ICICI Prudential Ultra Short Term Fund - Direct Plan - Daily IDCW;10.0093;25-Aug-2023</v>
      </c>
      <c r="B4115" s="1"/>
    </row>
    <row r="4116">
      <c r="A4116" s="1" t="str">
        <f>IFERROR(__xludf.DUMMYFUNCTION("""COMPUTED_VALUE"""),"145401;INF109KC1NB1;INF109KC1NC9;ICICI Prudential Ultra Short Term Fund - Direct Plan - Fortnightly IDCW;10.0879;16-Sep-2022")</f>
        <v>145401;INF109KC1NB1;INF109KC1NC9;ICICI Prudential Ultra Short Term Fund - Direct Plan - Fortnightly IDCW;10.0879;16-Sep-2022</v>
      </c>
      <c r="B4116" s="1"/>
    </row>
    <row r="4117">
      <c r="A4117" s="1" t="str">
        <f>IFERROR(__xludf.DUMMYFUNCTION("""COMPUTED_VALUE"""),"145400;INF109KC1NA3;INF109KC1MZ2;ICICI Prudential Ultra Short Term Fund - Direct Plan - Weekly IDCW;10.0924;25-Aug-2023")</f>
        <v>145400;INF109KC1NA3;INF109KC1MZ2;ICICI Prudential Ultra Short Term Fund - Direct Plan - Weekly IDCW;10.0924;25-Aug-2023</v>
      </c>
      <c r="B4117" s="1"/>
    </row>
    <row r="4118">
      <c r="A4118" s="1" t="str">
        <f>IFERROR(__xludf.DUMMYFUNCTION("""COMPUTED_VALUE"""),"130942;INF109KA1H69;-;ICICI Prudential Ultra Short Term Fund - Direct Plan Bonus;16.0996;24-Apr-2020")</f>
        <v>130942;INF109KA1H69;-;ICICI Prudential Ultra Short Term Fund - Direct Plan Bonus;16.0996;24-Apr-2020</v>
      </c>
      <c r="B4118" s="1"/>
    </row>
    <row r="4119">
      <c r="A4119" s="1" t="str">
        <f>IFERROR(__xludf.DUMMYFUNCTION("""COMPUTED_VALUE"""),"145403;INF109KC1NH8;INF109KC1NG0;ICICI Prudential Ultra Short Term Fund - Fortnightly IDCW;10.0649;16-Sep-2022")</f>
        <v>145403;INF109KC1NH8;INF109KC1NG0;ICICI Prudential Ultra Short Term Fund - Fortnightly IDCW;10.0649;16-Sep-2022</v>
      </c>
      <c r="B4119" s="1"/>
    </row>
    <row r="4120">
      <c r="A4120" s="1" t="str">
        <f>IFERROR(__xludf.DUMMYFUNCTION("""COMPUTED_VALUE"""),"115092;INF109K01TP7;-;ICICI Prudential Ultra Short Term Fund - Growth;24.2755;25-Aug-2023")</f>
        <v>115092;INF109K01TP7;-;ICICI Prudential Ultra Short Term Fund - Growth;24.2755;25-Aug-2023</v>
      </c>
      <c r="B4120" s="1"/>
    </row>
    <row r="4121">
      <c r="A4121" s="1" t="str">
        <f>IFERROR(__xludf.DUMMYFUNCTION("""COMPUTED_VALUE"""),"115093;INF109K01TV5;INF109K01TU7;ICICI Prudential Ultra Short Term Fund - Half Yearly IDCW;10.6114;16-Sep-2022")</f>
        <v>115093;INF109K01TV5;INF109K01TU7;ICICI Prudential Ultra Short Term Fund - Half Yearly IDCW;10.6114;16-Sep-2022</v>
      </c>
      <c r="B4121" s="1"/>
    </row>
    <row r="4122">
      <c r="A4122" s="1" t="str">
        <f>IFERROR(__xludf.DUMMYFUNCTION("""COMPUTED_VALUE"""),"115094;INF109K01TR3;INF109K01TQ5;ICICI Prudential Ultra Short Term Fund - Monthly IDCW;10.6937;25-Aug-2023")</f>
        <v>115094;INF109K01TR3;INF109K01TQ5;ICICI Prudential Ultra Short Term Fund - Monthly IDCW;10.6937;25-Aug-2023</v>
      </c>
      <c r="B4122" s="1"/>
    </row>
    <row r="4123">
      <c r="A4123" s="1" t="str">
        <f>IFERROR(__xludf.DUMMYFUNCTION("""COMPUTED_VALUE"""),"115091;INF109K01TT9;INF109K01TS1;ICICI Prudential Ultra Short Term Fund - Quarterly IDCW;10.9281;25-Aug-2023")</f>
        <v>115091;INF109K01TT9;INF109K01TS1;ICICI Prudential Ultra Short Term Fund - Quarterly IDCW;10.9281;25-Aug-2023</v>
      </c>
      <c r="B4123" s="1"/>
    </row>
    <row r="4124">
      <c r="A4124" s="1" t="str">
        <f>IFERROR(__xludf.DUMMYFUNCTION("""COMPUTED_VALUE"""),"145402;INF109KC1NF2;INF109KC1NE5;ICICI Prudential Ultra Short Term Fund - Weekly IDCW;10.0759;25-Aug-2023")</f>
        <v>145402;INF109KC1NF2;INF109KC1NE5;ICICI Prudential Ultra Short Term Fund - Weekly IDCW;10.0759;25-Aug-2023</v>
      </c>
      <c r="B4124" s="1"/>
    </row>
    <row r="4125">
      <c r="A4125" s="1"/>
      <c r="B4125" s="1"/>
    </row>
    <row r="4126">
      <c r="A4126" s="1" t="str">
        <f>IFERROR(__xludf.DUMMYFUNCTION("""COMPUTED_VALUE"""),"Invesco Mutual Fund")</f>
        <v>Invesco Mutual Fund</v>
      </c>
      <c r="B4126" s="1"/>
    </row>
    <row r="4127">
      <c r="A4127" s="1"/>
      <c r="B4127" s="1"/>
    </row>
    <row r="4128">
      <c r="A4128" s="1" t="str">
        <f>IFERROR(__xludf.DUMMYFUNCTION("""COMPUTED_VALUE"""),"114361;INF205K01TD9;INF205K01TE7;Invesco India Ultra Short Term Fund - Annual IDCW (Payout / Reinvestment);1092.785;25-Aug-2023")</f>
        <v>114361;INF205K01TD9;INF205K01TE7;Invesco India Ultra Short Term Fund - Annual IDCW (Payout / Reinvestment);1092.785;25-Aug-2023</v>
      </c>
      <c r="B4128" s="1"/>
    </row>
    <row r="4129">
      <c r="A4129" s="1" t="str">
        <f>IFERROR(__xludf.DUMMYFUNCTION("""COMPUTED_VALUE"""),"136111;-;INF205K018H7;Invesco India Ultra Short Term Fund - Daily IDCW (Reinvestment);1249.6627;25-Aug-2023")</f>
        <v>136111;-;INF205K018H7;Invesco India Ultra Short Term Fund - Daily IDCW (Reinvestment);1249.6627;25-Aug-2023</v>
      </c>
      <c r="B4129" s="1"/>
    </row>
    <row r="4130">
      <c r="A4130" s="1" t="str">
        <f>IFERROR(__xludf.DUMMYFUNCTION("""COMPUTED_VALUE"""),"120543;INF205K01TF4;INF205K01TG2;Invesco India Ultra Short Term Fund - Direct Plan - Annual IDCW (Payout / Reinvestment);1786.1433;25-Aug-2023")</f>
        <v>120543;INF205K01TF4;INF205K01TG2;Invesco India Ultra Short Term Fund - Direct Plan - Annual IDCW (Payout / Reinvestment);1786.1433;25-Aug-2023</v>
      </c>
      <c r="B4130" s="1"/>
    </row>
    <row r="4131">
      <c r="A4131" s="1" t="str">
        <f>IFERROR(__xludf.DUMMYFUNCTION("""COMPUTED_VALUE"""),"136112;-;INF205K019H5;Invesco India Ultra Short Term Fund - Direct Plan - Daily IDCW (Reinvestment);1271.4704;25-Aug-2023")</f>
        <v>136112;-;INF205K019H5;Invesco India Ultra Short Term Fund - Direct Plan - Daily IDCW (Reinvestment);1271.4704;25-Aug-2023</v>
      </c>
      <c r="B4131" s="1"/>
    </row>
    <row r="4132">
      <c r="A4132" s="1" t="str">
        <f>IFERROR(__xludf.DUMMYFUNCTION("""COMPUTED_VALUE"""),"120541;INF205K01TH0;-;Invesco India Ultra Short Term Fund - Direct Plan - Growth;2508.4555;25-Aug-2023")</f>
        <v>120541;INF205K01TH0;-;Invesco India Ultra Short Term Fund - Direct Plan - Growth;2508.4555;25-Aug-2023</v>
      </c>
      <c r="B4132" s="1"/>
    </row>
    <row r="4133">
      <c r="A4133" s="1" t="str">
        <f>IFERROR(__xludf.DUMMYFUNCTION("""COMPUTED_VALUE"""),"120542;INF205K01TI8;INF205K01TJ6;Invesco India Ultra Short Term Fund - Direct Plan - Monthly IDCW (Payout / Reinvestment);1699.7276;25-Aug-2023")</f>
        <v>120542;INF205K01TI8;INF205K01TJ6;Invesco India Ultra Short Term Fund - Direct Plan - Monthly IDCW (Payout / Reinvestment);1699.7276;25-Aug-2023</v>
      </c>
      <c r="B4133" s="1"/>
    </row>
    <row r="4134">
      <c r="A4134" s="1" t="str">
        <f>IFERROR(__xludf.DUMMYFUNCTION("""COMPUTED_VALUE"""),"120544;INF205K01TK4;INF205K01TL2;Invesco India Ultra Short Term Fund - Direct Plan - Quarterly IDCW (Payout / Reinvestment);1040.6784;25-Aug-2023")</f>
        <v>120544;INF205K01TK4;INF205K01TL2;Invesco India Ultra Short Term Fund - Direct Plan - Quarterly IDCW (Payout / Reinvestment);1040.6784;25-Aug-2023</v>
      </c>
      <c r="B4134" s="1"/>
    </row>
    <row r="4135">
      <c r="A4135" s="1" t="str">
        <f>IFERROR(__xludf.DUMMYFUNCTION("""COMPUTED_VALUE"""),"114359;INF205K01TM0;-;Invesco India Ultra Short Term Fund - Growth;2366.9083;25-Aug-2023")</f>
        <v>114359;INF205K01TM0;-;Invesco India Ultra Short Term Fund - Growth;2366.9083;25-Aug-2023</v>
      </c>
      <c r="B4135" s="1"/>
    </row>
    <row r="4136">
      <c r="A4136" s="1" t="str">
        <f>IFERROR(__xludf.DUMMYFUNCTION("""COMPUTED_VALUE"""),"114362;INF205K01TN8;INF205K01TO6;Invesco India Ultra Short Term Fund - Monthly IDCW (Payout / Reinvestment);1015.5502;25-Aug-2023")</f>
        <v>114362;INF205K01TN8;INF205K01TO6;Invesco India Ultra Short Term Fund - Monthly IDCW (Payout / Reinvestment);1015.5502;25-Aug-2023</v>
      </c>
      <c r="B4136" s="1"/>
    </row>
    <row r="4137">
      <c r="A4137" s="1" t="str">
        <f>IFERROR(__xludf.DUMMYFUNCTION("""COMPUTED_VALUE"""),"114360;INF205K01TP3;INF205K01TQ1;Invesco India Ultra Short Term Fund - Quarterly IDCW (Payout / Reinvestment);1076.4822;25-Aug-2023")</f>
        <v>114360;INF205K01TP3;INF205K01TQ1;Invesco India Ultra Short Term Fund - Quarterly IDCW (Payout / Reinvestment);1076.4822;25-Aug-2023</v>
      </c>
      <c r="B4137" s="1"/>
    </row>
    <row r="4138">
      <c r="A4138" s="1"/>
      <c r="B4138" s="1"/>
    </row>
    <row r="4139">
      <c r="A4139" s="1" t="str">
        <f>IFERROR(__xludf.DUMMYFUNCTION("""COMPUTED_VALUE"""),"ITI Mutual Fund")</f>
        <v>ITI Mutual Fund</v>
      </c>
      <c r="B4139" s="1"/>
    </row>
    <row r="4140">
      <c r="A4140" s="1"/>
      <c r="B4140" s="1"/>
    </row>
    <row r="4141">
      <c r="A4141" s="1" t="str">
        <f>IFERROR(__xludf.DUMMYFUNCTION("""COMPUTED_VALUE"""),"148909;INF00XX01AM5;INF00XX01AJ1;ITI Ultra Short Duration Fund - Direct Plan - Annually IDCW Option;1120.8877;25-Aug-2023")</f>
        <v>148909;INF00XX01AM5;INF00XX01AJ1;ITI Ultra Short Duration Fund - Direct Plan - Annually IDCW Option;1120.8877;25-Aug-2023</v>
      </c>
      <c r="B4141" s="1"/>
    </row>
    <row r="4142">
      <c r="A4142" s="1" t="str">
        <f>IFERROR(__xludf.DUMMYFUNCTION("""COMPUTED_VALUE"""),"148910;-;INF00XX01AF9;ITI Ultra Short Duration Fund - Direct Plan - Daily IDCW;1001.0000;10-Jul-2023")</f>
        <v>148910;-;INF00XX01AF9;ITI Ultra Short Duration Fund - Direct Plan - Daily IDCW;1001.0000;10-Jul-2023</v>
      </c>
      <c r="B4142" s="1"/>
    </row>
    <row r="4143">
      <c r="A4143" s="1" t="str">
        <f>IFERROR(__xludf.DUMMYFUNCTION("""COMPUTED_VALUE"""),"148908;INF00XX01AK9;INF00XX01AH5;ITI Ultra Short Duration Fund - Direct Plan - Fortnightly IDCW Option;1003.5170;10-Jul-2023")</f>
        <v>148908;INF00XX01AK9;INF00XX01AH5;ITI Ultra Short Duration Fund - Direct Plan - Fortnightly IDCW Option;1003.5170;10-Jul-2023</v>
      </c>
      <c r="B4143" s="1"/>
    </row>
    <row r="4144">
      <c r="A4144" s="1" t="str">
        <f>IFERROR(__xludf.DUMMYFUNCTION("""COMPUTED_VALUE"""),"148913;INF00XX01AE2;-;ITI Ultra Short Duration Fund - Direct Plan - Growth Option;1119.9146;25-Aug-2023")</f>
        <v>148913;INF00XX01AE2;-;ITI Ultra Short Duration Fund - Direct Plan - Growth Option;1119.9146;25-Aug-2023</v>
      </c>
      <c r="B4144" s="1"/>
    </row>
    <row r="4145">
      <c r="A4145" s="1" t="str">
        <f>IFERROR(__xludf.DUMMYFUNCTION("""COMPUTED_VALUE"""),"148916;INF00XX01AL7;INF00XX01AI3;ITI Ultra Short Duration Fund - Direct Plan - Monthly IDCW Option;1003.5177;10-Jul-2023")</f>
        <v>148916;INF00XX01AL7;INF00XX01AI3;ITI Ultra Short Duration Fund - Direct Plan - Monthly IDCW Option;1003.5177;10-Jul-2023</v>
      </c>
      <c r="B4145" s="1"/>
    </row>
    <row r="4146">
      <c r="A4146" s="1" t="str">
        <f>IFERROR(__xludf.DUMMYFUNCTION("""COMPUTED_VALUE"""),"148915;-;INF00XX01AG7;ITI Ultra Short Duration Fund - Direct Plan - Weekly IDCW Option;1002.0799;10-Jul-2023")</f>
        <v>148915;-;INF00XX01AG7;ITI Ultra Short Duration Fund - Direct Plan - Weekly IDCW Option;1002.0799;10-Jul-2023</v>
      </c>
      <c r="B4146" s="1"/>
    </row>
    <row r="4147">
      <c r="A4147" s="1" t="str">
        <f>IFERROR(__xludf.DUMMYFUNCTION("""COMPUTED_VALUE"""),"148917;INF00XX01AD4;INF00XX01AA0;ITI Ultra Short Duration Fund - Regular Plan - Annually IDCW Option;1098.1739;25-Aug-2023")</f>
        <v>148917;INF00XX01AD4;INF00XX01AA0;ITI Ultra Short Duration Fund - Regular Plan - Annually IDCW Option;1098.1739;25-Aug-2023</v>
      </c>
      <c r="B4147" s="1"/>
    </row>
    <row r="4148">
      <c r="A4148" s="1" t="str">
        <f>IFERROR(__xludf.DUMMYFUNCTION("""COMPUTED_VALUE"""),"148912;-;INF00XX01960;ITI Ultra Short Duration Fund - Regular Plan - Daily IDCW Option;1001.0000;25-Aug-2023")</f>
        <v>148912;-;INF00XX01960;ITI Ultra Short Duration Fund - Regular Plan - Daily IDCW Option;1001.0000;25-Aug-2023</v>
      </c>
      <c r="B4148" s="1"/>
    </row>
    <row r="4149">
      <c r="A4149" s="1" t="str">
        <f>IFERROR(__xludf.DUMMYFUNCTION("""COMPUTED_VALUE"""),"148911;INF00XX01AB8;INF00XX01986;ITI Ultra Short Duration Fund - Regular Plan - Fortnightly IDCW Option;1003.3060;25-Aug-2023")</f>
        <v>148911;INF00XX01AB8;INF00XX01986;ITI Ultra Short Duration Fund - Regular Plan - Fortnightly IDCW Option;1003.3060;25-Aug-2023</v>
      </c>
      <c r="B4149" s="1"/>
    </row>
    <row r="4150">
      <c r="A4150" s="1" t="str">
        <f>IFERROR(__xludf.DUMMYFUNCTION("""COMPUTED_VALUE"""),"148906;INF00XX01952;-;ITI Ultra Short Duration Fund - Regular Plan - Growth Option;1098.1542;25-Aug-2023")</f>
        <v>148906;INF00XX01952;-;ITI Ultra Short Duration Fund - Regular Plan - Growth Option;1098.1542;25-Aug-2023</v>
      </c>
      <c r="B4150" s="1"/>
    </row>
    <row r="4151">
      <c r="A4151" s="1" t="str">
        <f>IFERROR(__xludf.DUMMYFUNCTION("""COMPUTED_VALUE"""),"148914;INF00XX01AC6;INF00XX01994;ITI Ultra Short Duration Fund - Regular Plan - Monthly IDCW Option;1005.5703;25-Aug-2023")</f>
        <v>148914;INF00XX01AC6;INF00XX01994;ITI Ultra Short Duration Fund - Regular Plan - Monthly IDCW Option;1005.5703;25-Aug-2023</v>
      </c>
      <c r="B4151" s="1"/>
    </row>
    <row r="4152">
      <c r="A4152" s="1" t="str">
        <f>IFERROR(__xludf.DUMMYFUNCTION("""COMPUTED_VALUE"""),"148907;-;INF00XX01978;ITI Ultra Short Duration Fund - Regular Plan - Weekly IDCW Option;1001.6488;25-Aug-2023")</f>
        <v>148907;-;INF00XX01978;ITI Ultra Short Duration Fund - Regular Plan - Weekly IDCW Option;1001.6488;25-Aug-2023</v>
      </c>
      <c r="B4152" s="1"/>
    </row>
    <row r="4153">
      <c r="A4153" s="1"/>
      <c r="B4153" s="1"/>
    </row>
    <row r="4154">
      <c r="A4154" s="1" t="str">
        <f>IFERROR(__xludf.DUMMYFUNCTION("""COMPUTED_VALUE"""),"JM Financial Mutual Fund")</f>
        <v>JM Financial Mutual Fund</v>
      </c>
      <c r="B4154" s="1"/>
    </row>
    <row r="4155">
      <c r="A4155" s="1"/>
      <c r="B4155" s="1"/>
    </row>
    <row r="4156">
      <c r="A4156" s="1" t="str">
        <f>IFERROR(__xludf.DUMMYFUNCTION("""COMPUTED_VALUE"""),"122316;INF192K01FD8;-;JM Ultra Short Duration Fund (Direct) - Bonus Option - Principal Units;27.8437;25-Sep-2020")</f>
        <v>122316;INF192K01FD8;-;JM Ultra Short Duration Fund (Direct) - Bonus Option - Principal Units;27.8437;25-Sep-2020</v>
      </c>
      <c r="B4156" s="1"/>
    </row>
    <row r="4157">
      <c r="A4157" s="1" t="str">
        <f>IFERROR(__xludf.DUMMYFUNCTION("""COMPUTED_VALUE"""),"120457;-;INF192K01DN2;JM Ultra Short Duration Fund (Direct) - Fortnightly Dividend Option;10.5165;25-Sep-2020")</f>
        <v>120457;-;INF192K01DN2;JM Ultra Short Duration Fund (Direct) - Fortnightly Dividend Option;10.5165;25-Sep-2020</v>
      </c>
      <c r="B4157" s="1"/>
    </row>
    <row r="4158">
      <c r="A4158" s="1" t="str">
        <f>IFERROR(__xludf.DUMMYFUNCTION("""COMPUTED_VALUE"""),"120458;INF192K01DO0;-;JM Ultra Short Duration Fund - (Direct) - Growth Option;27.5938;25-Sep-2020")</f>
        <v>120458;INF192K01DO0;-;JM Ultra Short Duration Fund - (Direct) - Growth Option;27.5938;25-Sep-2020</v>
      </c>
      <c r="B4158" s="1"/>
    </row>
    <row r="4159">
      <c r="A4159" s="1" t="str">
        <f>IFERROR(__xludf.DUMMYFUNCTION("""COMPUTED_VALUE"""),"120454;-;INF192K01DL6;JM Ultra Short Duration Fund - (Direct) -Daily Dividend Option;10.3437;25-Sep-2020")</f>
        <v>120454;-;INF192K01DL6;JM Ultra Short Duration Fund - (Direct) -Daily Dividend Option;10.3437;25-Sep-2020</v>
      </c>
      <c r="B4159" s="1"/>
    </row>
    <row r="4160">
      <c r="A4160" s="1" t="str">
        <f>IFERROR(__xludf.DUMMYFUNCTION("""COMPUTED_VALUE"""),"120455;-;INF192K01DM4;JM Ultra Short Duration Fund - (Direct) -Weekly Dividend Option;10.8856;25-Sep-2020")</f>
        <v>120455;-;INF192K01DM4;JM Ultra Short Duration Fund - (Direct) -Weekly Dividend Option;10.8856;25-Sep-2020</v>
      </c>
      <c r="B4160" s="1"/>
    </row>
    <row r="4161">
      <c r="A4161" s="1" t="str">
        <f>IFERROR(__xludf.DUMMYFUNCTION("""COMPUTED_VALUE"""),"122317;INF192K01FB2;-;JM Ultra Short Duration Fund - Bonus Option - Principal Units;26.9500;25-Sep-2020")</f>
        <v>122317;INF192K01FB2;-;JM Ultra Short Duration Fund - Bonus Option - Principal Units;26.9500;25-Sep-2020</v>
      </c>
      <c r="B4161" s="1"/>
    </row>
    <row r="4162">
      <c r="A4162" s="1" t="str">
        <f>IFERROR(__xludf.DUMMYFUNCTION("""COMPUTED_VALUE"""),"104272;-;INF192K01AN8;JM Ultra Short Duration Fund - Daily Dividend;10.2477;25-Sep-2020")</f>
        <v>104272;-;INF192K01AN8;JM Ultra Short Duration Fund - Daily Dividend;10.2477;25-Sep-2020</v>
      </c>
      <c r="B4162" s="1"/>
    </row>
    <row r="4163">
      <c r="A4163" s="1" t="str">
        <f>IFERROR(__xludf.DUMMYFUNCTION("""COMPUTED_VALUE"""),"106101;-;INF192K01AP3;JM Ultra Short Duration Fund - Fortnightly Dividend;10.4216;25-Sep-2020")</f>
        <v>106101;-;INF192K01AP3;JM Ultra Short Duration Fund - Fortnightly Dividend;10.4216;25-Sep-2020</v>
      </c>
      <c r="B4163" s="1"/>
    </row>
    <row r="4164">
      <c r="A4164" s="1" t="str">
        <f>IFERROR(__xludf.DUMMYFUNCTION("""COMPUTED_VALUE"""),"104271;INF192K01AQ1;-;JM Ultra Short Duration Fund - Growth option;26.7195;25-Sep-2020")</f>
        <v>104271;INF192K01AQ1;-;JM Ultra Short Duration Fund - Growth option;26.7195;25-Sep-2020</v>
      </c>
      <c r="B4164" s="1"/>
    </row>
    <row r="4165">
      <c r="A4165" s="1" t="str">
        <f>IFERROR(__xludf.DUMMYFUNCTION("""COMPUTED_VALUE"""),"106104;-;INF192K01AO6;JM Ultra Short Duration Fund - Weekly Dividend;10.8027;25-Sep-2020")</f>
        <v>106104;-;INF192K01AO6;JM Ultra Short Duration Fund - Weekly Dividend;10.8027;25-Sep-2020</v>
      </c>
      <c r="B4165" s="1"/>
    </row>
    <row r="4166">
      <c r="A4166" s="1"/>
      <c r="B4166" s="1"/>
    </row>
    <row r="4167">
      <c r="A4167" s="1" t="str">
        <f>IFERROR(__xludf.DUMMYFUNCTION("""COMPUTED_VALUE"""),"Kotak Mahindra Mutual Fund")</f>
        <v>Kotak Mahindra Mutual Fund</v>
      </c>
      <c r="B4167" s="1"/>
    </row>
    <row r="4168">
      <c r="A4168" s="1"/>
      <c r="B4168" s="1"/>
    </row>
    <row r="4169">
      <c r="A4169" s="1" t="str">
        <f>IFERROR(__xludf.DUMMYFUNCTION("""COMPUTED_VALUE"""),"102591;INF174K01FD6;-;Kotak Savings Fund -Growth;37.7262;25-Aug-2023")</f>
        <v>102591;INF174K01FD6;-;Kotak Savings Fund -Growth;37.7262;25-Aug-2023</v>
      </c>
      <c r="B4169" s="1"/>
    </row>
    <row r="4170">
      <c r="A4170" s="1" t="str">
        <f>IFERROR(__xludf.DUMMYFUNCTION("""COMPUTED_VALUE"""),"102592;INF174K01FH7;-;Kotak Savings Fund -Monthly Payout of Income Distribution cum capital withdrawal option;10.734;25-Aug-2023")</f>
        <v>102592;INF174K01FH7;-;Kotak Savings Fund -Monthly Payout of Income Distribution cum capital withdrawal option;10.734;25-Aug-2023</v>
      </c>
      <c r="B4170" s="1"/>
    </row>
    <row r="4171">
      <c r="A4171" s="1" t="str">
        <f>IFERROR(__xludf.DUMMYFUNCTION("""COMPUTED_VALUE"""),"119750;INF174K01JP2;-;Kotak Savings Fund-Growth - Direct;39.1977;25-Aug-2023")</f>
        <v>119750;INF174K01JP2;-;Kotak Savings Fund-Growth - Direct;39.1977;25-Aug-2023</v>
      </c>
      <c r="B4171" s="1"/>
    </row>
    <row r="4172">
      <c r="A4172" s="1" t="str">
        <f>IFERROR(__xludf.DUMMYFUNCTION("""COMPUTED_VALUE"""),"119751;INF174K01JQ0;-;Kotak Savings Fund-Monthly Payout of Income Distribution cum capital withdrawal option - Direct;16.9228;25-Aug-2023")</f>
        <v>119751;INF174K01JQ0;-;Kotak Savings Fund-Monthly Payout of Income Distribution cum capital withdrawal option - Direct;16.9228;25-Aug-2023</v>
      </c>
      <c r="B4172" s="1"/>
    </row>
    <row r="4173">
      <c r="A4173" s="1" t="str">
        <f>IFERROR(__xludf.DUMMYFUNCTION("""COMPUTED_VALUE"""),"110575;INF174K01FE4;-;Kotak Treasury Advantage Fund -Daily Reinvestment of Income Distribution cum capital withdrawal option;10.0798;17-Sep-2021")</f>
        <v>110575;INF174K01FE4;-;Kotak Treasury Advantage Fund -Daily Reinvestment of Income Distribution cum capital withdrawal option;10.0798;17-Sep-2021</v>
      </c>
      <c r="B4173" s="1"/>
    </row>
    <row r="4174">
      <c r="A4174" s="1" t="str">
        <f>IFERROR(__xludf.DUMMYFUNCTION("""COMPUTED_VALUE"""),"119749;INF174K01JT4;-;Kotak Treasury Advantage Fund -Daily Reinvestment of Income Distribution cum capital withdrawal option - Direct;10.8186;17-Sep-2021")</f>
        <v>119749;INF174K01JT4;-;Kotak Treasury Advantage Fund -Daily Reinvestment of Income Distribution cum capital withdrawal option - Direct;10.8186;17-Sep-2021</v>
      </c>
      <c r="B4174" s="1"/>
    </row>
    <row r="4175">
      <c r="A4175" s="1"/>
      <c r="B4175" s="1"/>
    </row>
    <row r="4176">
      <c r="A4176" s="1" t="str">
        <f>IFERROR(__xludf.DUMMYFUNCTION("""COMPUTED_VALUE"""),"LIC Mutual Fund")</f>
        <v>LIC Mutual Fund</v>
      </c>
      <c r="B4176" s="1"/>
    </row>
    <row r="4177">
      <c r="A4177" s="1"/>
      <c r="B4177" s="1"/>
    </row>
    <row r="4178">
      <c r="A4178" s="1" t="str">
        <f>IFERROR(__xludf.DUMMYFUNCTION("""COMPUTED_VALUE"""),"147771;-;INF767K01QP8;LIC MF Ultra Short Duration Fund-Direct Plan-Daily IDCW;1102.1311;25-Aug-2023")</f>
        <v>147771;-;INF767K01QP8;LIC MF Ultra Short Duration Fund-Direct Plan-Daily IDCW;1102.1311;25-Aug-2023</v>
      </c>
      <c r="B4178" s="1"/>
    </row>
    <row r="4179">
      <c r="A4179" s="1" t="str">
        <f>IFERROR(__xludf.DUMMYFUNCTION("""COMPUTED_VALUE"""),"147772;INF767K01QU8;-;LIC MF Ultra Short Duration Fund-Direct Plan-Growth;1180.6234;25-Aug-2023")</f>
        <v>147772;INF767K01QU8;-;LIC MF Ultra Short Duration Fund-Direct Plan-Growth;1180.6234;25-Aug-2023</v>
      </c>
      <c r="B4179" s="1"/>
    </row>
    <row r="4180">
      <c r="A4180" s="1" t="str">
        <f>IFERROR(__xludf.DUMMYFUNCTION("""COMPUTED_VALUE"""),"147773;INF767K01QT0;INF767K01QS2;LIC MF Ultra Short Duration Fund-Direct Plan-Monthly IDCW;1180.7125;25-Aug-2023")</f>
        <v>147773;INF767K01QT0;INF767K01QS2;LIC MF Ultra Short Duration Fund-Direct Plan-Monthly IDCW;1180.7125;25-Aug-2023</v>
      </c>
      <c r="B4180" s="1"/>
    </row>
    <row r="4181">
      <c r="A4181" s="1" t="str">
        <f>IFERROR(__xludf.DUMMYFUNCTION("""COMPUTED_VALUE"""),"147769;INF767K01QR4;INF767K01QQ6;LIC MF Ultra Short Duration Fund-Direct Plan-Weekly IDCW;1102.2303;25-Aug-2023")</f>
        <v>147769;INF767K01QR4;INF767K01QQ6;LIC MF Ultra Short Duration Fund-Direct Plan-Weekly IDCW;1102.2303;25-Aug-2023</v>
      </c>
      <c r="B4181" s="1"/>
    </row>
    <row r="4182">
      <c r="A4182" s="1" t="str">
        <f>IFERROR(__xludf.DUMMYFUNCTION("""COMPUTED_VALUE"""),"147766;-;INF767K01QJ1;LIC MF Ultra Short Duration Fund-Regular Plan-Daily IDCW;1093.4116;25-Aug-2023")</f>
        <v>147766;-;INF767K01QJ1;LIC MF Ultra Short Duration Fund-Regular Plan-Daily IDCW;1093.4116;25-Aug-2023</v>
      </c>
      <c r="B4182" s="1"/>
    </row>
    <row r="4183">
      <c r="A4183" s="1" t="str">
        <f>IFERROR(__xludf.DUMMYFUNCTION("""COMPUTED_VALUE"""),"147770;INF767K01QO1;-;LIC MF Ultra Short Duration Fund-Regular Plan-Growth;1170.3893;25-Aug-2023")</f>
        <v>147770;INF767K01QO1;-;LIC MF Ultra Short Duration Fund-Regular Plan-Growth;1170.3893;25-Aug-2023</v>
      </c>
      <c r="B4183" s="1"/>
    </row>
    <row r="4184">
      <c r="A4184" s="1" t="str">
        <f>IFERROR(__xludf.DUMMYFUNCTION("""COMPUTED_VALUE"""),"147768;INF767K01QN3;INF767K01QM5;LIC MF Ultra Short Duration Fund-Regular Plan-Monthly IDCW;1170.5643;25-Aug-2023")</f>
        <v>147768;INF767K01QN3;INF767K01QM5;LIC MF Ultra Short Duration Fund-Regular Plan-Monthly IDCW;1170.5643;25-Aug-2023</v>
      </c>
      <c r="B4184" s="1"/>
    </row>
    <row r="4185">
      <c r="A4185" s="1" t="str">
        <f>IFERROR(__xludf.DUMMYFUNCTION("""COMPUTED_VALUE"""),"147767;INF767K01QL7;INF767K01QK9;LIC MF Ultra Short Duration Fund-Regular Plan-Weekly IDCW;1030.5824;25-Aug-2023")</f>
        <v>147767;INF767K01QL7;INF767K01QK9;LIC MF Ultra Short Duration Fund-Regular Plan-Weekly IDCW;1030.5824;25-Aug-2023</v>
      </c>
      <c r="B4185" s="1"/>
    </row>
    <row r="4186">
      <c r="A4186" s="1"/>
      <c r="B4186" s="1"/>
    </row>
    <row r="4187">
      <c r="A4187" s="1" t="str">
        <f>IFERROR(__xludf.DUMMYFUNCTION("""COMPUTED_VALUE"""),"Mahindra Manulife Mutual Fund")</f>
        <v>Mahindra Manulife Mutual Fund</v>
      </c>
      <c r="B4187" s="1"/>
    </row>
    <row r="4188">
      <c r="A4188" s="1"/>
      <c r="B4188" s="1"/>
    </row>
    <row r="4189">
      <c r="A4189" s="1" t="str">
        <f>IFERROR(__xludf.DUMMYFUNCTION("""COMPUTED_VALUE"""),"147733;-;INF174V01895;Mahindra Manulife Ultra Short Duration Fund - Direct Plan - Daily IDCW;1097.8496;25-Aug-2023")</f>
        <v>147733;-;INF174V01895;Mahindra Manulife Ultra Short Duration Fund - Direct Plan - Daily IDCW;1097.8496;25-Aug-2023</v>
      </c>
      <c r="B4189" s="1"/>
    </row>
    <row r="4190">
      <c r="A4190" s="1" t="str">
        <f>IFERROR(__xludf.DUMMYFUNCTION("""COMPUTED_VALUE"""),"147732;-;INF174V01903;Mahindra Manulife Ultra Short Duration Fund - Direct Plan - Weekly IDCW;1001.6226;25-Aug-2023")</f>
        <v>147732;-;INF174V01903;Mahindra Manulife Ultra Short Duration Fund - Direct Plan - Weekly IDCW;1001.6226;25-Aug-2023</v>
      </c>
      <c r="B4190" s="1"/>
    </row>
    <row r="4191">
      <c r="A4191" s="1" t="str">
        <f>IFERROR(__xludf.DUMMYFUNCTION("""COMPUTED_VALUE"""),"147731;INF174V01887;-;Mahindra Manulife Ultra Short Duration Fund - Direct Plan -Growth;1228.3717;25-Aug-2023")</f>
        <v>147731;INF174V01887;-;Mahindra Manulife Ultra Short Duration Fund - Direct Plan -Growth;1228.3717;25-Aug-2023</v>
      </c>
      <c r="B4191" s="1"/>
    </row>
    <row r="4192">
      <c r="A4192" s="1" t="str">
        <f>IFERROR(__xludf.DUMMYFUNCTION("""COMPUTED_VALUE"""),"147729;-;INF174V01861;Mahindra Manulife Ultra Short Duration Fund - Regular Plan - Daily IDCW;1043.4532;25-Aug-2023")</f>
        <v>147729;-;INF174V01861;Mahindra Manulife Ultra Short Duration Fund - Regular Plan - Daily IDCW;1043.4532;25-Aug-2023</v>
      </c>
      <c r="B4192" s="1"/>
    </row>
    <row r="4193">
      <c r="A4193" s="1" t="str">
        <f>IFERROR(__xludf.DUMMYFUNCTION("""COMPUTED_VALUE"""),"147734;INF174V01853;-;Mahindra Manulife Ultra Short Duration Fund - Regular Plan - Growth;1208.6208;25-Aug-2023")</f>
        <v>147734;INF174V01853;-;Mahindra Manulife Ultra Short Duration Fund - Regular Plan - Growth;1208.6208;25-Aug-2023</v>
      </c>
      <c r="B4193" s="1"/>
    </row>
    <row r="4194">
      <c r="A4194" s="1" t="str">
        <f>IFERROR(__xludf.DUMMYFUNCTION("""COMPUTED_VALUE"""),"147730;-;INF174V01879;Mahindra Manulife Ultra Short Duration Fund - Regular Plan - Weekly IDCW;1001.5984;25-Aug-2023")</f>
        <v>147730;-;INF174V01879;Mahindra Manulife Ultra Short Duration Fund - Regular Plan - Weekly IDCW;1001.5984;25-Aug-2023</v>
      </c>
      <c r="B4194" s="1"/>
    </row>
    <row r="4195">
      <c r="A4195" s="1"/>
      <c r="B4195" s="1"/>
    </row>
    <row r="4196">
      <c r="A4196" s="1" t="str">
        <f>IFERROR(__xludf.DUMMYFUNCTION("""COMPUTED_VALUE"""),"Mirae Asset Mutual Fund")</f>
        <v>Mirae Asset Mutual Fund</v>
      </c>
      <c r="B4196" s="1"/>
    </row>
    <row r="4197">
      <c r="A4197" s="1"/>
      <c r="B4197" s="1"/>
    </row>
    <row r="4198">
      <c r="A4198" s="1" t="str">
        <f>IFERROR(__xludf.DUMMYFUNCTION("""COMPUTED_VALUE"""),"148529;INF769K01GK6;-;Mirae Asset Ultra Short Duration Fund Direct Growth;1149.5114;25-Aug-2023")</f>
        <v>148529;INF769K01GK6;-;Mirae Asset Ultra Short Duration Fund Direct Growth;1149.5114;25-Aug-2023</v>
      </c>
      <c r="B4198" s="1"/>
    </row>
    <row r="4199">
      <c r="A4199" s="1" t="str">
        <f>IFERROR(__xludf.DUMMYFUNCTION("""COMPUTED_VALUE"""),"148532;INF769K01GJ8;INF769K01GL4;Mirae Asset Ultra Short Duration Fund Direct IDCW;1149.6816;25-Aug-2023")</f>
        <v>148532;INF769K01GJ8;INF769K01GL4;Mirae Asset Ultra Short Duration Fund Direct IDCW;1149.6816;25-Aug-2023</v>
      </c>
      <c r="B4199" s="1"/>
    </row>
    <row r="4200">
      <c r="A4200" s="1" t="str">
        <f>IFERROR(__xludf.DUMMYFUNCTION("""COMPUTED_VALUE"""),"148530;INF769K01GH2;-;Mirae Asset Ultra Short Duration Fund Regular Growth;1142.5905;25-Aug-2023")</f>
        <v>148530;INF769K01GH2;-;Mirae Asset Ultra Short Duration Fund Regular Growth;1142.5905;25-Aug-2023</v>
      </c>
      <c r="B4200" s="1"/>
    </row>
    <row r="4201">
      <c r="A4201" s="1" t="str">
        <f>IFERROR(__xludf.DUMMYFUNCTION("""COMPUTED_VALUE"""),"148531;INF769K01GG4;INF769K01GI0;Mirae Asset Ultra Short Duration Fund Regular IDCW;1142.1764;25-Aug-2023")</f>
        <v>148531;INF769K01GG4;INF769K01GI0;Mirae Asset Ultra Short Duration Fund Regular IDCW;1142.1764;25-Aug-2023</v>
      </c>
      <c r="B4201" s="1"/>
    </row>
    <row r="4202">
      <c r="A4202" s="1"/>
      <c r="B4202" s="1"/>
    </row>
    <row r="4203">
      <c r="A4203" s="1" t="str">
        <f>IFERROR(__xludf.DUMMYFUNCTION("""COMPUTED_VALUE"""),"Motilal Oswal Mutual Fund")</f>
        <v>Motilal Oswal Mutual Fund</v>
      </c>
      <c r="B4203" s="1"/>
    </row>
    <row r="4204">
      <c r="A4204" s="1"/>
      <c r="B4204" s="1"/>
    </row>
    <row r="4205">
      <c r="A4205" s="1" t="str">
        <f>IFERROR(__xludf.DUMMYFUNCTION("""COMPUTED_VALUE"""),"124234;INF247L01247;-;Motilal Oswal Ultra Short Term Fund (MOFUSTF) -Direct Plan- Growth;15.4680;25-Aug-2023")</f>
        <v>124234;INF247L01247;-;Motilal Oswal Ultra Short Term Fund (MOFUSTF) -Direct Plan- Growth;15.4680;25-Aug-2023</v>
      </c>
      <c r="B4205" s="1"/>
    </row>
    <row r="4206">
      <c r="A4206" s="1" t="str">
        <f>IFERROR(__xludf.DUMMYFUNCTION("""COMPUTED_VALUE"""),"124233;INF247L01213;-;Motilal Oswal Ultra Short Term Fund (MOFUSTF)-Regular Plan- Growth;14.8051;25-Aug-2023")</f>
        <v>124233;INF247L01213;-;Motilal Oswal Ultra Short Term Fund (MOFUSTF)-Regular Plan- Growth;14.8051;25-Aug-2023</v>
      </c>
      <c r="B4206" s="1"/>
    </row>
    <row r="4207">
      <c r="A4207" s="1" t="str">
        <f>IFERROR(__xludf.DUMMYFUNCTION("""COMPUTED_VALUE"""),"124316;-;INF247L01346;Motilal Oswal Ultra Short Term Fund Direct - IDCW Daily Reinvestment;10.9164;25-Aug-2023")</f>
        <v>124316;-;INF247L01346;Motilal Oswal Ultra Short Term Fund Direct - IDCW Daily Reinvestment;10.9164;25-Aug-2023</v>
      </c>
      <c r="B4207" s="1"/>
    </row>
    <row r="4208">
      <c r="A4208" s="1" t="str">
        <f>IFERROR(__xludf.DUMMYFUNCTION("""COMPUTED_VALUE"""),"124311;-;INF247L01361;Motilal Oswal Ultra Short Term Fund Direct - IDCW Fortnightly Reinvestment;10.9482;25-Aug-2023")</f>
        <v>124311;-;INF247L01361;Motilal Oswal Ultra Short Term Fund Direct - IDCW Fortnightly Reinvestment;10.9482;25-Aug-2023</v>
      </c>
      <c r="B4208" s="1"/>
    </row>
    <row r="4209">
      <c r="A4209" s="1" t="str">
        <f>IFERROR(__xludf.DUMMYFUNCTION("""COMPUTED_VALUE"""),"124312;INF247L01403;INF247L01387;Motilal Oswal Ultra Short Term Fund Direct - IDCW Quarterly Payout/Reinvestment;11.0824;25-Aug-2023")</f>
        <v>124312;INF247L01403;INF247L01387;Motilal Oswal Ultra Short Term Fund Direct - IDCW Quarterly Payout/Reinvestment;11.0824;25-Aug-2023</v>
      </c>
      <c r="B4209" s="1"/>
    </row>
    <row r="4210">
      <c r="A4210" s="1" t="str">
        <f>IFERROR(__xludf.DUMMYFUNCTION("""COMPUTED_VALUE"""),"124306;-;INF247L01353;Motilal Oswal Ultra Short Term Fund Direct - IDCW Weekly Reinvestment;10.9293;25-Aug-2023")</f>
        <v>124306;-;INF247L01353;Motilal Oswal Ultra Short Term Fund Direct - IDCW Weekly Reinvestment;10.9293;25-Aug-2023</v>
      </c>
      <c r="B4210" s="1"/>
    </row>
    <row r="4211">
      <c r="A4211" s="1" t="str">
        <f>IFERROR(__xludf.DUMMYFUNCTION("""COMPUTED_VALUE"""),"124308;INF247L01395;INF247L01379;Motilal Oswal Ultra Short Term Fund Direct Plan - IDCW Monthly Payout/Reinvestment;10.9239;25-Aug-2023")</f>
        <v>124308;INF247L01395;INF247L01379;Motilal Oswal Ultra Short Term Fund Direct Plan - IDCW Monthly Payout/Reinvestment;10.9239;25-Aug-2023</v>
      </c>
      <c r="B4211" s="1"/>
    </row>
    <row r="4212">
      <c r="A4212" s="1" t="str">
        <f>IFERROR(__xludf.DUMMYFUNCTION("""COMPUTED_VALUE"""),"124303;-;INF247L01270;Motilal Oswal Ultra Short Term Fund Regular - IDCW Daily Reinvestment;10.7494;25-Aug-2023")</f>
        <v>124303;-;INF247L01270;Motilal Oswal Ultra Short Term Fund Regular - IDCW Daily Reinvestment;10.7494;25-Aug-2023</v>
      </c>
      <c r="B4212" s="1"/>
    </row>
    <row r="4213">
      <c r="A4213" s="1" t="str">
        <f>IFERROR(__xludf.DUMMYFUNCTION("""COMPUTED_VALUE"""),"124313;-;INF247L01296;Motilal Oswal Ultra Short Term Fund Regular - IDCW Fortnightly Reinvestment;10.7664;25-Aug-2023")</f>
        <v>124313;-;INF247L01296;Motilal Oswal Ultra Short Term Fund Regular - IDCW Fortnightly Reinvestment;10.7664;25-Aug-2023</v>
      </c>
      <c r="B4213" s="1"/>
    </row>
    <row r="4214">
      <c r="A4214" s="1" t="str">
        <f>IFERROR(__xludf.DUMMYFUNCTION("""COMPUTED_VALUE"""),"124315;INF247L01320;INF247L01304;Motilal Oswal Ultra Short Term Fund Regular - IDCW Monthly Payout/Reinvestment;10.7512;25-Aug-2023")</f>
        <v>124315;INF247L01320;INF247L01304;Motilal Oswal Ultra Short Term Fund Regular - IDCW Monthly Payout/Reinvestment;10.7512;25-Aug-2023</v>
      </c>
      <c r="B4214" s="1"/>
    </row>
    <row r="4215">
      <c r="A4215" s="1" t="str">
        <f>IFERROR(__xludf.DUMMYFUNCTION("""COMPUTED_VALUE"""),"124305;INF247L01338;INF247L01312;Motilal Oswal Ultra Short Term Fund Regular - IDCW Quarterly Payout/Reinvestment;10.9062;25-Aug-2023")</f>
        <v>124305;INF247L01338;INF247L01312;Motilal Oswal Ultra Short Term Fund Regular - IDCW Quarterly Payout/Reinvestment;10.9062;25-Aug-2023</v>
      </c>
      <c r="B4215" s="1"/>
    </row>
    <row r="4216">
      <c r="A4216" s="1" t="str">
        <f>IFERROR(__xludf.DUMMYFUNCTION("""COMPUTED_VALUE"""),"124310;-;INF247L01288;Motilal Oswal Ultra Short Term Fund Regular - IDCW Weekly Reinvestment;10.7547;25-Aug-2023")</f>
        <v>124310;-;INF247L01288;Motilal Oswal Ultra Short Term Fund Regular - IDCW Weekly Reinvestment;10.7547;25-Aug-2023</v>
      </c>
      <c r="B4216" s="1"/>
    </row>
    <row r="4217">
      <c r="A4217" s="1"/>
      <c r="B4217" s="1"/>
    </row>
    <row r="4218">
      <c r="A4218" s="1" t="str">
        <f>IFERROR(__xludf.DUMMYFUNCTION("""COMPUTED_VALUE"""),"Nippon India Mutual Fund")</f>
        <v>Nippon India Mutual Fund</v>
      </c>
      <c r="B4218" s="1"/>
    </row>
    <row r="4219">
      <c r="A4219" s="1"/>
      <c r="B4219" s="1"/>
    </row>
    <row r="4220">
      <c r="A4220" s="1" t="str">
        <f>IFERROR(__xludf.DUMMYFUNCTION("""COMPUTED_VALUE"""),"143498;-;INF204K01UC2;NIPPON INDIA ULTRA SHORT DURATION FUND - DAILY IDCW OPTION;1114.1500;25-Aug-2023")</f>
        <v>143498;-;INF204K01UC2;NIPPON INDIA ULTRA SHORT DURATION FUND - DAILY IDCW OPTION;1114.1500;25-Aug-2023</v>
      </c>
      <c r="B4220" s="1"/>
    </row>
    <row r="4221">
      <c r="A4221" s="1" t="str">
        <f>IFERROR(__xludf.DUMMYFUNCTION("""COMPUTED_VALUE"""),"143500;-;INF204K01YF7;NIPPON INDIA ULTRA SHORT DURATION FUND - DIRECT Plan - DAILY IDCW OPTION;1114.1500;25-Aug-2023")</f>
        <v>143500;-;INF204K01YF7;NIPPON INDIA ULTRA SHORT DURATION FUND - DIRECT Plan - DAILY IDCW OPTION;1114.1500;25-Aug-2023</v>
      </c>
      <c r="B4221" s="1"/>
    </row>
    <row r="4222">
      <c r="A4222" s="1" t="str">
        <f>IFERROR(__xludf.DUMMYFUNCTION("""COMPUTED_VALUE"""),"143497;INF204K01YI1;INF204K01YJ9;NIPPON INDIA ULTRA SHORT DURATION FUND - DIRECT Plan - MONTHLY IDCW Option;1027.2187;25-Aug-2023")</f>
        <v>143497;INF204K01YI1;INF204K01YJ9;NIPPON INDIA ULTRA SHORT DURATION FUND - DIRECT Plan - MONTHLY IDCW Option;1027.2187;25-Aug-2023</v>
      </c>
      <c r="B4222" s="1"/>
    </row>
    <row r="4223">
      <c r="A4223" s="1" t="str">
        <f>IFERROR(__xludf.DUMMYFUNCTION("""COMPUTED_VALUE"""),"143502;INF204K01YK7;INF204K01YL5;NIPPON INDIA ULTRA SHORT DURATION FUND - DIRECT Plan - QUARTERLY IDCW Option;1030.6798;25-Aug-2023")</f>
        <v>143502;INF204K01YK7;INF204K01YL5;NIPPON INDIA ULTRA SHORT DURATION FUND - DIRECT Plan - QUARTERLY IDCW Option;1030.6798;25-Aug-2023</v>
      </c>
      <c r="B4223" s="1"/>
    </row>
    <row r="4224">
      <c r="A4224" s="1" t="str">
        <f>IFERROR(__xludf.DUMMYFUNCTION("""COMPUTED_VALUE"""),"143501;-;INF204K01YG5;NIPPON INDIA ULTRA SHORT DURATION FUND - DIRECT Plan - WEEKLY IDCW OPTION;1091.6900;25-Aug-2023")</f>
        <v>143501;-;INF204K01YG5;NIPPON INDIA ULTRA SHORT DURATION FUND - DIRECT Plan - WEEKLY IDCW OPTION;1091.6900;25-Aug-2023</v>
      </c>
      <c r="B4224" s="1"/>
    </row>
    <row r="4225">
      <c r="A4225" s="1" t="str">
        <f>IFERROR(__xludf.DUMMYFUNCTION("""COMPUTED_VALUE"""),"143499;INF204K01UF5;INF204K01UG3;NIPPON INDIA ULTRA SHORT DURATION FUND - MONTHLY IDCW Option;1017.4893;25-Aug-2023")</f>
        <v>143499;INF204K01UF5;INF204K01UG3;NIPPON INDIA ULTRA SHORT DURATION FUND - MONTHLY IDCW Option;1017.4893;25-Aug-2023</v>
      </c>
      <c r="B4225" s="1"/>
    </row>
    <row r="4226">
      <c r="A4226" s="1" t="str">
        <f>IFERROR(__xludf.DUMMYFUNCTION("""COMPUTED_VALUE"""),"143496;INF204K01UH1;INF204K01UI9;NIPPON INDIA ULTRA SHORT DURATION FUND - QUARTERLY IDCW Option;1022.7097;25-Aug-2023")</f>
        <v>143496;INF204K01UH1;INF204K01UI9;NIPPON INDIA ULTRA SHORT DURATION FUND - QUARTERLY IDCW Option;1022.7097;25-Aug-2023</v>
      </c>
      <c r="B4226" s="1"/>
    </row>
    <row r="4227">
      <c r="A4227" s="1" t="str">
        <f>IFERROR(__xludf.DUMMYFUNCTION("""COMPUTED_VALUE"""),"147673;-;INF204KB18H5;NIPPON INDIA ULTRA SHORT DURATION FUND - SEGREGATED PORTFOLIO 1 - DAILY IDCW Option;0.0000;10-Mar-2022")</f>
        <v>147673;-;INF204KB18H5;NIPPON INDIA ULTRA SHORT DURATION FUND - SEGREGATED PORTFOLIO 1 - DAILY IDCW Option;0.0000;10-Mar-2022</v>
      </c>
      <c r="B4227" s="1"/>
    </row>
    <row r="4228">
      <c r="A4228" s="1" t="str">
        <f>IFERROR(__xludf.DUMMYFUNCTION("""COMPUTED_VALUE"""),"147681;-;INF204KB11H0;NIPPON INDIA ULTRA SHORT DURATION FUND - SEGREGATED PORTFOLIO 1 - DIRECT Plan - DAILY IDCW Option;0.0000;10-Mar-2022")</f>
        <v>147681;-;INF204KB11H0;NIPPON INDIA ULTRA SHORT DURATION FUND - SEGREGATED PORTFOLIO 1 - DIRECT Plan - DAILY IDCW Option;0.0000;10-Mar-2022</v>
      </c>
      <c r="B4228" s="1"/>
    </row>
    <row r="4229">
      <c r="A4229" s="1" t="str">
        <f>IFERROR(__xludf.DUMMYFUNCTION("""COMPUTED_VALUE"""),"147675;INF204KB10H2;-;Nippon India Ultra Short Duration Fund - Segregated Portfolio 1 - Direct Plan - Growth Option;0.0000;10-Mar-2022")</f>
        <v>147675;INF204KB10H2;-;Nippon India Ultra Short Duration Fund - Segregated Portfolio 1 - Direct Plan - Growth Option;0.0000;10-Mar-2022</v>
      </c>
      <c r="B4229" s="1"/>
    </row>
    <row r="4230">
      <c r="A4230" s="1" t="str">
        <f>IFERROR(__xludf.DUMMYFUNCTION("""COMPUTED_VALUE"""),"147676;INF204KB12H8;INF204KB13H6;NIPPON INDIA ULTRA SHORT DURATION FUND - SEGREGATED PORTFOLIO 1 - DIRECT Plan - MONTHLY IDCW Option;0.0000;10-Mar-2022")</f>
        <v>147676;INF204KB12H8;INF204KB13H6;NIPPON INDIA ULTRA SHORT DURATION FUND - SEGREGATED PORTFOLIO 1 - DIRECT Plan - MONTHLY IDCW Option;0.0000;10-Mar-2022</v>
      </c>
      <c r="B4230" s="1"/>
    </row>
    <row r="4231">
      <c r="A4231" s="1" t="str">
        <f>IFERROR(__xludf.DUMMYFUNCTION("""COMPUTED_VALUE"""),"147677;INF204KB14H4;INF204KB15H1;NIPPON INDIA ULTRA SHORT DURATION FUND - SEGREGATED PORTFOLIO 1 - DIRECT Plan - QUARTERLY IDCW Option;0.0000;10-Mar-2022")</f>
        <v>147677;INF204KB14H4;INF204KB15H1;NIPPON INDIA ULTRA SHORT DURATION FUND - SEGREGATED PORTFOLIO 1 - DIRECT Plan - QUARTERLY IDCW Option;0.0000;10-Mar-2022</v>
      </c>
      <c r="B4231" s="1"/>
    </row>
    <row r="4232">
      <c r="A4232" s="1" t="str">
        <f>IFERROR(__xludf.DUMMYFUNCTION("""COMPUTED_VALUE"""),"147682;-;INF204KB16H9;NIPPON INDIA ULTRA SHORT DURATION FUND - SEGREGATED PORTFOLIO 1 - DIRECT Plan - WEEKLY IDCW Option;0.0000;10-Mar-2022")</f>
        <v>147682;-;INF204KB16H9;NIPPON INDIA ULTRA SHORT DURATION FUND - SEGREGATED PORTFOLIO 1 - DIRECT Plan - WEEKLY IDCW Option;0.0000;10-Mar-2022</v>
      </c>
      <c r="B4232" s="1"/>
    </row>
    <row r="4233">
      <c r="A4233" s="1" t="str">
        <f>IFERROR(__xludf.DUMMYFUNCTION("""COMPUTED_VALUE"""),"147674;INF204KB17H7;-;Nippon India Ultra Short Duration Fund - Segregated Portfolio 1 - Growth Option;0.0000;10-Mar-2022")</f>
        <v>147674;INF204KB17H7;-;Nippon India Ultra Short Duration Fund - Segregated Portfolio 1 - Growth Option;0.0000;10-Mar-2022</v>
      </c>
      <c r="B4233" s="1"/>
    </row>
    <row r="4234">
      <c r="A4234" s="1" t="str">
        <f>IFERROR(__xludf.DUMMYFUNCTION("""COMPUTED_VALUE"""),"147678;INF204KB19H3;INF204KB10I0;NIPPON INDIA ULTRA SHORT DURATION FUND - SEGREGATED PORTFOLIO 1 - MONTHLY IDCW Option;0.0000;10-Mar-2022")</f>
        <v>147678;INF204KB19H3;INF204KB10I0;NIPPON INDIA ULTRA SHORT DURATION FUND - SEGREGATED PORTFOLIO 1 - MONTHLY IDCW Option;0.0000;10-Mar-2022</v>
      </c>
      <c r="B4234" s="1"/>
    </row>
    <row r="4235">
      <c r="A4235" s="1" t="str">
        <f>IFERROR(__xludf.DUMMYFUNCTION("""COMPUTED_VALUE"""),"147679;INF204KB11I8;INF204KB12I6;NIPPON INDIA ULTRA SHORT DURATION FUND - SEGREGATED PORTFOLIO 1 - QUARTERLY IDCW Option;0.0000;10-Mar-2022")</f>
        <v>147679;INF204KB11I8;INF204KB12I6;NIPPON INDIA ULTRA SHORT DURATION FUND - SEGREGATED PORTFOLIO 1 - QUARTERLY IDCW Option;0.0000;10-Mar-2022</v>
      </c>
      <c r="B4235" s="1"/>
    </row>
    <row r="4236">
      <c r="A4236" s="1" t="str">
        <f>IFERROR(__xludf.DUMMYFUNCTION("""COMPUTED_VALUE"""),"147680;-;INF204KB13I4;NIPPON INDIA ULTRA SHORT DURATION FUND - SEGREGATED PORTFOLIO 1 - WEEKLY IDCW Option;0.0000;10-Mar-2022")</f>
        <v>147680;-;INF204KB13I4;NIPPON INDIA ULTRA SHORT DURATION FUND - SEGREGATED PORTFOLIO 1 - WEEKLY IDCW Option;0.0000;10-Mar-2022</v>
      </c>
      <c r="B4236" s="1"/>
    </row>
    <row r="4237">
      <c r="A4237" s="1" t="str">
        <f>IFERROR(__xludf.DUMMYFUNCTION("""COMPUTED_VALUE"""),"143495;-;INF204K01UD0;NIPPON INDIA ULTRA SHORT DURATION FUND - WEEKLY IDCW OPTION;1091.6900;25-Aug-2023")</f>
        <v>143495;-;INF204K01UD0;NIPPON INDIA ULTRA SHORT DURATION FUND - WEEKLY IDCW OPTION;1091.6900;25-Aug-2023</v>
      </c>
      <c r="B4237" s="1"/>
    </row>
    <row r="4238">
      <c r="A4238" s="1" t="str">
        <f>IFERROR(__xludf.DUMMYFUNCTION("""COMPUTED_VALUE"""),"143494;INF204K01YH3;-;Nippon India Ultra Short Duration Fund- Direct Plan- Growth Option;3855.8044;25-Aug-2023")</f>
        <v>143494;INF204K01YH3;-;Nippon India Ultra Short Duration Fund- Direct Plan- Growth Option;3855.8044;25-Aug-2023</v>
      </c>
      <c r="B4238" s="1"/>
    </row>
    <row r="4239">
      <c r="A4239" s="1" t="str">
        <f>IFERROR(__xludf.DUMMYFUNCTION("""COMPUTED_VALUE"""),"143493;INF204K01UE8;-;Nippon India Ultra Short Duration Fund- Growth Option;3544.7601;25-Aug-2023")</f>
        <v>143493;INF204K01UE8;-;Nippon India Ultra Short Duration Fund- Growth Option;3544.7601;25-Aug-2023</v>
      </c>
      <c r="B4239" s="1"/>
    </row>
    <row r="4240">
      <c r="A4240" s="1"/>
      <c r="B4240" s="1"/>
    </row>
    <row r="4241">
      <c r="A4241" s="1" t="str">
        <f>IFERROR(__xludf.DUMMYFUNCTION("""COMPUTED_VALUE"""),"PGIM India Mutual Fund")</f>
        <v>PGIM India Mutual Fund</v>
      </c>
      <c r="B4241" s="1"/>
    </row>
    <row r="4242">
      <c r="A4242" s="1"/>
      <c r="B4242" s="1"/>
    </row>
    <row r="4243">
      <c r="A4243" s="1" t="str">
        <f>IFERROR(__xludf.DUMMYFUNCTION("""COMPUTED_VALUE"""),"138342;INF223J01FH4;-;PGIM India Ultra Short Duration Fund - Daily Dividend;10.0203;25-Aug-2023")</f>
        <v>138342;INF223J01FH4;-;PGIM India Ultra Short Duration Fund - Daily Dividend;10.0203;25-Aug-2023</v>
      </c>
      <c r="B4243" s="1"/>
    </row>
    <row r="4244">
      <c r="A4244" s="1" t="str">
        <f>IFERROR(__xludf.DUMMYFUNCTION("""COMPUTED_VALUE"""),"138361;-;INF223J01QL3;PGIM India Ultra Short Duration Fund - Direct Plan - Daily Dividend;10.0179;25-Aug-2023")</f>
        <v>138361;-;INF223J01QL3;PGIM India Ultra Short Duration Fund - Direct Plan - Daily Dividend;10.0179;25-Aug-2023</v>
      </c>
      <c r="B4244" s="1"/>
    </row>
    <row r="4245">
      <c r="A4245" s="1" t="str">
        <f>IFERROR(__xludf.DUMMYFUNCTION("""COMPUTED_VALUE"""),"138358;INF223J01QO7;-;PGIM India Ultra Short Duration Fund - Direct Plan - Growth;31.1391;25-Aug-2023")</f>
        <v>138358;INF223J01QO7;-;PGIM India Ultra Short Duration Fund - Direct Plan - Growth;31.1391;25-Aug-2023</v>
      </c>
      <c r="B4245" s="1"/>
    </row>
    <row r="4246">
      <c r="A4246" s="1" t="str">
        <f>IFERROR(__xludf.DUMMYFUNCTION("""COMPUTED_VALUE"""),"138359;INF223J01QP4;-;PGIM India Ultra Short Duration Fund - Direct Plan - Monthly Dividend;12.1619;25-Aug-2023")</f>
        <v>138359;INF223J01QP4;-;PGIM India Ultra Short Duration Fund - Direct Plan - Monthly Dividend;12.1619;25-Aug-2023</v>
      </c>
      <c r="B4246" s="1"/>
    </row>
    <row r="4247">
      <c r="A4247" s="1" t="str">
        <f>IFERROR(__xludf.DUMMYFUNCTION("""COMPUTED_VALUE"""),"138362;INF223J01QR0;INF223J01QS8;PGIM India Ultra Short Duration Fund - Direct Plan - Weekly Dividend;10.278;25-Aug-2023")</f>
        <v>138362;INF223J01QR0;INF223J01QS8;PGIM India Ultra Short Duration Fund - Direct Plan - Weekly Dividend;10.278;25-Aug-2023</v>
      </c>
      <c r="B4247" s="1"/>
    </row>
    <row r="4248">
      <c r="A4248" s="1" t="str">
        <f>IFERROR(__xludf.DUMMYFUNCTION("""COMPUTED_VALUE"""),"138343;INF223J01FK8;-;PGIM India Ultra Short Duration Fund - Growth;30.1397;25-Aug-2023")</f>
        <v>138343;INF223J01FK8;-;PGIM India Ultra Short Duration Fund - Growth;30.1397;25-Aug-2023</v>
      </c>
      <c r="B4248" s="1"/>
    </row>
    <row r="4249">
      <c r="A4249" s="1" t="str">
        <f>IFERROR(__xludf.DUMMYFUNCTION("""COMPUTED_VALUE"""),"138344;INF223J01FL6;INF223J01FM4;PGIM India Ultra Short Duration Fund - Monthly Dividend;13.0164;25-Aug-2023")</f>
        <v>138344;INF223J01FL6;INF223J01FM4;PGIM India Ultra Short Duration Fund - Monthly Dividend;13.0164;25-Aug-2023</v>
      </c>
      <c r="B4249" s="1"/>
    </row>
    <row r="4250">
      <c r="A4250" s="1" t="str">
        <f>IFERROR(__xludf.DUMMYFUNCTION("""COMPUTED_VALUE"""),"138338;INF223J01FW3;-;PGIM India Ultra Short Duration Fund - Regular Plan - Daily Dividend;10.0215;28-Jul-2019")</f>
        <v>138338;INF223J01FW3;-;PGIM India Ultra Short Duration Fund - Regular Plan - Daily Dividend;10.0215;28-Jul-2019</v>
      </c>
      <c r="B4250" s="1"/>
    </row>
    <row r="4251">
      <c r="A4251" s="1" t="str">
        <f>IFERROR(__xludf.DUMMYFUNCTION("""COMPUTED_VALUE"""),"138337;INF223J01FX1;-;PGIM India Ultra Short Duration Fund - Regular Plan - Growth;34.2452;21-Jan-2022")</f>
        <v>138337;INF223J01FX1;-;PGIM India Ultra Short Duration Fund - Regular Plan - Growth;34.2452;21-Jan-2022</v>
      </c>
      <c r="B4251" s="1"/>
    </row>
    <row r="4252">
      <c r="A4252" s="1" t="str">
        <f>IFERROR(__xludf.DUMMYFUNCTION("""COMPUTED_VALUE"""),"138340;INF223J01FY9;INF223J01FZ6;PGIM India Ultra Short Duration Fund - Regular Plan - Monthly Dividend;10.5275;28-Jul-2019")</f>
        <v>138340;INF223J01FY9;INF223J01FZ6;PGIM India Ultra Short Duration Fund - Regular Plan - Monthly Dividend;10.5275;28-Jul-2019</v>
      </c>
      <c r="B4252" s="1"/>
    </row>
    <row r="4253">
      <c r="A4253" s="1" t="str">
        <f>IFERROR(__xludf.DUMMYFUNCTION("""COMPUTED_VALUE"""),"138339;INF223J01GC3;-;PGIM India Ultra Short Duration Fund - Regular Plan - Weekly Dividend;10.5017;21-Jan-2022")</f>
        <v>138339;INF223J01GC3;-;PGIM India Ultra Short Duration Fund - Regular Plan - Weekly Dividend;10.5017;21-Jan-2022</v>
      </c>
      <c r="B4253" s="1"/>
    </row>
    <row r="4254">
      <c r="A4254" s="1" t="str">
        <f>IFERROR(__xludf.DUMMYFUNCTION("""COMPUTED_VALUE"""),"138341;INF223J01FO0;INF223J01FP7;PGIM India Ultra Short Duration Fund - Weekly Dividend;10.0892;25-Aug-2023")</f>
        <v>138341;INF223J01FO0;INF223J01FP7;PGIM India Ultra Short Duration Fund - Weekly Dividend;10.0892;25-Aug-2023</v>
      </c>
      <c r="B4254" s="1"/>
    </row>
    <row r="4255">
      <c r="A4255" s="1" t="str">
        <f>IFERROR(__xludf.DUMMYFUNCTION("""COMPUTED_VALUE"""),"138368;INF223J01XH7;-;PGIM India Ultra Short Term Fund - Annual Bonus;20.9045;26-Feb-2018")</f>
        <v>138368;INF223J01XH7;-;PGIM India Ultra Short Term Fund - Annual Bonus;20.9045;26-Feb-2018</v>
      </c>
      <c r="B4255" s="1"/>
    </row>
    <row r="4256">
      <c r="A4256" s="1" t="str">
        <f>IFERROR(__xludf.DUMMYFUNCTION("""COMPUTED_VALUE"""),"138354;INF223J01JJ2;-;PGIM India Ultra Short Term Fund - Annual Dividend;10.7885;17-Jun-2019")</f>
        <v>138354;INF223J01JJ2;-;PGIM India Ultra Short Term Fund - Annual Dividend;10.7885;17-Jun-2019</v>
      </c>
      <c r="B4256" s="1"/>
    </row>
    <row r="4257">
      <c r="A4257" s="1" t="str">
        <f>IFERROR(__xludf.DUMMYFUNCTION("""COMPUTED_VALUE"""),"138345;INF223J01FN2;-;PGIM India Ultra Short Term Fund - Bonus;16.1171;09-Jul-2018")</f>
        <v>138345;INF223J01FN2;-;PGIM India Ultra Short Term Fund - Bonus;16.1171;09-Jul-2018</v>
      </c>
      <c r="B4257" s="1"/>
    </row>
    <row r="4258">
      <c r="A4258" s="1" t="str">
        <f>IFERROR(__xludf.DUMMYFUNCTION("""COMPUTED_VALUE"""),"138367;INF223J01XI5;-;PGIM India Ultra Short Term Fund - Direct Plan - Annual Bonus;15.3662;11-Apr-2019")</f>
        <v>138367;INF223J01XI5;-;PGIM India Ultra Short Term Fund - Direct Plan - Annual Bonus;15.3662;11-Apr-2019</v>
      </c>
      <c r="B4258" s="1"/>
    </row>
    <row r="4259">
      <c r="A4259" s="1" t="str">
        <f>IFERROR(__xludf.DUMMYFUNCTION("""COMPUTED_VALUE"""),"138360;INF223J01QI9;INF223J01QJ7;PGIM India Ultra Short Term Fund - Direct Plan - Annual Dividend;11.11;28-Jul-2019")</f>
        <v>138360;INF223J01QI9;INF223J01QJ7;PGIM India Ultra Short Term Fund - Direct Plan - Annual Dividend;11.11;28-Jul-2019</v>
      </c>
      <c r="B4259" s="1"/>
    </row>
    <row r="4260">
      <c r="A4260" s="1" t="str">
        <f>IFERROR(__xludf.DUMMYFUNCTION("""COMPUTED_VALUE"""),"138363;INF223J01QK5;-;PGIM India Ultra Short Term Fund - Direct Plan - Bonus;18.2209;28-Jul-2019")</f>
        <v>138363;INF223J01QK5;-;PGIM India Ultra Short Term Fund - Direct Plan - Bonus;18.2209;28-Jul-2019</v>
      </c>
      <c r="B4260" s="1"/>
    </row>
    <row r="4261">
      <c r="A4261" s="1" t="str">
        <f>IFERROR(__xludf.DUMMYFUNCTION("""COMPUTED_VALUE"""),"138357;INF223J01QM1;INF223J01QN9;PGIM India Ultra Short Term Fund - Direct Plan - Dividend;15.25;28-Jul-2019")</f>
        <v>138357;INF223J01QM1;INF223J01QN9;PGIM India Ultra Short Term Fund - Direct Plan - Dividend;15.25;28-Jul-2019</v>
      </c>
      <c r="B4261" s="1"/>
    </row>
    <row r="4262">
      <c r="A4262" s="1" t="str">
        <f>IFERROR(__xludf.DUMMYFUNCTION("""COMPUTED_VALUE"""),"138366;INF223J01VK5;-;PGIM India Ultra Short Term Fund - Direct Plan - Monthly Bonus;12.7173;03-Apr-2018")</f>
        <v>138366;INF223J01VK5;-;PGIM India Ultra Short Term Fund - Direct Plan - Monthly Bonus;12.7173;03-Apr-2018</v>
      </c>
      <c r="B4262" s="1"/>
    </row>
    <row r="4263">
      <c r="A4263" s="1" t="str">
        <f>IFERROR(__xludf.DUMMYFUNCTION("""COMPUTED_VALUE"""),"138364;INF223J01QT6;INF223J01QU4;PGIM India Ultra Short Term Fund - Direct Plan - Quarterly Dividend;11.2976;28-Jul-2019")</f>
        <v>138364;INF223J01QT6;INF223J01QU4;PGIM India Ultra Short Term Fund - Direct Plan - Quarterly Dividend;11.2976;28-Jul-2019</v>
      </c>
      <c r="B4263" s="1"/>
    </row>
    <row r="4264">
      <c r="A4264" s="1" t="str">
        <f>IFERROR(__xludf.DUMMYFUNCTION("""COMPUTED_VALUE"""),"138349;INF223J01FI2;INF223J01FJ0;PGIM India Ultra Short Term Fund - Dividend;16.077;28-Jul-2019")</f>
        <v>138349;INF223J01FI2;INF223J01FJ0;PGIM India Ultra Short Term Fund - Dividend;16.077;28-Jul-2019</v>
      </c>
      <c r="B4264" s="1"/>
    </row>
    <row r="4265">
      <c r="A4265" s="1" t="str">
        <f>IFERROR(__xludf.DUMMYFUNCTION("""COMPUTED_VALUE"""),"138365;INF223J01VJ7;-;PGIM India Ultra Short Term Fund - Monthly Bonus;13.9637;02-Apr-2019")</f>
        <v>138365;INF223J01VJ7;-;PGIM India Ultra Short Term Fund - Monthly Bonus;13.9637;02-Apr-2019</v>
      </c>
      <c r="B4265" s="1"/>
    </row>
    <row r="4266">
      <c r="A4266" s="1" t="str">
        <f>IFERROR(__xludf.DUMMYFUNCTION("""COMPUTED_VALUE"""),"138353;INF223J01JH6;-;PGIM India Ultra Short Term Fund - Quarterly Dividend;11.5762;28-Jul-2019")</f>
        <v>138353;INF223J01JH6;-;PGIM India Ultra Short Term Fund - Quarterly Dividend;11.5762;28-Jul-2019</v>
      </c>
      <c r="B4266" s="1"/>
    </row>
    <row r="4267">
      <c r="A4267" s="1" t="str">
        <f>IFERROR(__xludf.DUMMYFUNCTION("""COMPUTED_VALUE"""),"138346;INF223J01GA7;-;PGIM India Ultra Short Term Fund - Regular Plan - Bonus;16.6686;31-Jan-2019")</f>
        <v>138346;INF223J01GA7;-;PGIM India Ultra Short Term Fund - Regular Plan - Bonus;16.6686;31-Jan-2019</v>
      </c>
      <c r="B4267" s="1"/>
    </row>
    <row r="4268">
      <c r="A4268" s="1"/>
      <c r="B4268" s="1"/>
    </row>
    <row r="4269">
      <c r="A4269" s="1" t="str">
        <f>IFERROR(__xludf.DUMMYFUNCTION("""COMPUTED_VALUE"""),"SBI Mutual Fund")</f>
        <v>SBI Mutual Fund</v>
      </c>
      <c r="B4269" s="1"/>
    </row>
    <row r="4270">
      <c r="A4270" s="1"/>
      <c r="B4270" s="1"/>
    </row>
    <row r="4271">
      <c r="A4271" s="1" t="str">
        <f>IFERROR(__xludf.DUMMYFUNCTION("""COMPUTED_VALUE"""),"119784;-;INF200K01TG3;SBI Magnum Ultra Short Duration Fund - Direct Plan - Daily Income Distribution cum Capital Withdrawal Option (IDCW);1985.0732;25-Aug-2023")</f>
        <v>119784;-;INF200K01TG3;SBI Magnum Ultra Short Duration Fund - Direct Plan - Daily Income Distribution cum Capital Withdrawal Option (IDCW);1985.0732;25-Aug-2023</v>
      </c>
      <c r="B4271" s="1"/>
    </row>
    <row r="4272">
      <c r="A4272" s="1" t="str">
        <f>IFERROR(__xludf.DUMMYFUNCTION("""COMPUTED_VALUE"""),"119828;INF200K01TF5;-;SBI MAGNUM ULTRA SHORT DURATION FUND - DIRECT PLAN - GROWTH;5308.7407;25-Aug-2023")</f>
        <v>119828;INF200K01TF5;-;SBI MAGNUM ULTRA SHORT DURATION FUND - DIRECT PLAN - GROWTH;5308.7407;25-Aug-2023</v>
      </c>
      <c r="B4272" s="1"/>
    </row>
    <row r="4273">
      <c r="A4273" s="1" t="str">
        <f>IFERROR(__xludf.DUMMYFUNCTION("""COMPUTED_VALUE"""),"119829;INF200K01TH1;INF200K01TI9;SBI Magnum Ultra Short Duration Fund - Direct Plan - Weekly Income Distribution cum Capital Withdrawal Option (IDCW);1274.3563;25-Aug-2023")</f>
        <v>119829;INF200K01TH1;INF200K01TI9;SBI Magnum Ultra Short Duration Fund - Direct Plan - Weekly Income Distribution cum Capital Withdrawal Option (IDCW);1274.3563;25-Aug-2023</v>
      </c>
      <c r="B4273" s="1"/>
    </row>
    <row r="4274">
      <c r="A4274" s="1" t="str">
        <f>IFERROR(__xludf.DUMMYFUNCTION("""COMPUTED_VALUE"""),"105080;-;INF200K01LK2;SBI Magnum Ultra Short Duration Fund - Regular Plan - Daily Income Distribution cum Capital Withdrawal Option (IDCW);1972.9973;25-Aug-2023")</f>
        <v>105080;-;INF200K01LK2;SBI Magnum Ultra Short Duration Fund - Regular Plan - Daily Income Distribution cum Capital Withdrawal Option (IDCW);1972.9973;25-Aug-2023</v>
      </c>
      <c r="B4274" s="1"/>
    </row>
    <row r="4275">
      <c r="A4275" s="1" t="str">
        <f>IFERROR(__xludf.DUMMYFUNCTION("""COMPUTED_VALUE"""),"100641;INF200K01LJ4;-;SBI MAGNUM ULTRA SHORT DURATION FUND - REGULAR PLAN - GROWTH;5238.2139;25-Aug-2023")</f>
        <v>100641;INF200K01LJ4;-;SBI MAGNUM ULTRA SHORT DURATION FUND - REGULAR PLAN - GROWTH;5238.2139;25-Aug-2023</v>
      </c>
      <c r="B4275" s="1"/>
    </row>
    <row r="4276">
      <c r="A4276" s="1" t="str">
        <f>IFERROR(__xludf.DUMMYFUNCTION("""COMPUTED_VALUE"""),"103884;INF200K01LM8;INF200K01LL0;SBI Magnum Ultra Short Duration Fund - Regular Plan - Weekly Income Distribution cum Capital Withdrawal Option (IDCW);1266.3346;25-Aug-2023")</f>
        <v>103884;INF200K01LM8;INF200K01LL0;SBI Magnum Ultra Short Duration Fund - Regular Plan - Weekly Income Distribution cum Capital Withdrawal Option (IDCW);1266.3346;25-Aug-2023</v>
      </c>
      <c r="B4276" s="1"/>
    </row>
    <row r="4277">
      <c r="A4277" s="1"/>
      <c r="B4277" s="1"/>
    </row>
    <row r="4278">
      <c r="A4278" s="1" t="str">
        <f>IFERROR(__xludf.DUMMYFUNCTION("""COMPUTED_VALUE"""),"Sundaram Mutual Fund")</f>
        <v>Sundaram Mutual Fund</v>
      </c>
      <c r="B4278" s="1"/>
    </row>
    <row r="4279">
      <c r="A4279" s="1"/>
      <c r="B4279" s="1"/>
    </row>
    <row r="4280">
      <c r="A4280" s="1" t="str">
        <f>IFERROR(__xludf.DUMMYFUNCTION("""COMPUTED_VALUE"""),"149720;-;INF903JA1JO5;Sundaram Ultra Short Duration Fund (Formerly Known as Principal Ultra Short Term Fund) Direct Plan Fortnightly IDCW;1063.3778;25-Aug-2023")</f>
        <v>149720;-;INF903JA1JO5;Sundaram Ultra Short Duration Fund (Formerly Known as Principal Ultra Short Term Fund) Direct Plan Fortnightly IDCW;1063.3778;25-Aug-2023</v>
      </c>
      <c r="B4280" s="1"/>
    </row>
    <row r="4281">
      <c r="A4281" s="1" t="str">
        <f>IFERROR(__xludf.DUMMYFUNCTION("""COMPUTED_VALUE"""),"149721;-;INF173K01BZ0;Sundaram Ultra Short Duration Fund (Formerly Known as Principal Ultra Short Term Fund) Direct Plan IDCW Daily;1006.1763;25-Aug-2023")</f>
        <v>149721;-;INF173K01BZ0;Sundaram Ultra Short Duration Fund (Formerly Known as Principal Ultra Short Term Fund) Direct Plan IDCW Daily;1006.1763;25-Aug-2023</v>
      </c>
      <c r="B4281" s="1"/>
    </row>
    <row r="4282">
      <c r="A4282" s="1" t="str">
        <f>IFERROR(__xludf.DUMMYFUNCTION("""COMPUTED_VALUE"""),"149724;INF903JA1JQ0;INF903JA1JP2;Sundaram Ultra Short Duration Fund (Formerly Known as Principal Ultra Short Term Fund) Direct Plan Quarterly IDCW;1118.8500;25-Aug-2023")</f>
        <v>149724;INF903JA1JQ0;INF903JA1JP2;Sundaram Ultra Short Duration Fund (Formerly Known as Principal Ultra Short Term Fund) Direct Plan Quarterly IDCW;1118.8500;25-Aug-2023</v>
      </c>
      <c r="B4282" s="1"/>
    </row>
    <row r="4283">
      <c r="A4283" s="1" t="str">
        <f>IFERROR(__xludf.DUMMYFUNCTION("""COMPUTED_VALUE"""),"149540;INF173K01HK9;INF173K01HJ1;Sundaram Ultra Short Duration Fund (Formerly Known as Principal Ultra Short Term Fund)- Direct Plan - Income Distribution CUM Capital Withdrawal Option - Monthly;1062.1065;25-Aug-2023")</f>
        <v>149540;INF173K01HK9;INF173K01HJ1;Sundaram Ultra Short Duration Fund (Formerly Known as Principal Ultra Short Term Fund)- Direct Plan - Income Distribution CUM Capital Withdrawal Option - Monthly;1062.1065;25-Aug-2023</v>
      </c>
      <c r="B4283" s="1"/>
    </row>
    <row r="4284">
      <c r="A4284" s="1" t="str">
        <f>IFERROR(__xludf.DUMMYFUNCTION("""COMPUTED_VALUE"""),"149539;INF173K01HI3;-;Sundaram Ultra Short Duration Fund (Formerly Known as Principal Ultra Short Term Fund)- Direct Plan -Growth Option;2552.6231;25-Aug-2023")</f>
        <v>149539;INF173K01HI3;-;Sundaram Ultra Short Duration Fund (Formerly Known as Principal Ultra Short Term Fund)- Direct Plan -Growth Option;2552.6231;25-Aug-2023</v>
      </c>
      <c r="B4284" s="1"/>
    </row>
    <row r="4285">
      <c r="A4285" s="1" t="str">
        <f>IFERROR(__xludf.DUMMYFUNCTION("""COMPUTED_VALUE"""),"149719;-;INF173K01CA1;Sundaram Ultra Short Duration Fund (Formerly Known as Principal Ultra Short Term Fund)- Direct Plan IDCW Weekly;1020.1955;26-May-2022")</f>
        <v>149719;-;INF173K01CA1;Sundaram Ultra Short Duration Fund (Formerly Known as Principal Ultra Short Term Fund)- Direct Plan IDCW Weekly;1020.1955;26-May-2022</v>
      </c>
      <c r="B4285" s="1"/>
    </row>
    <row r="4286">
      <c r="A4286" s="1" t="str">
        <f>IFERROR(__xludf.DUMMYFUNCTION("""COMPUTED_VALUE"""),"149536;-;INF173K01CV7;Sundaram Ultra Short Duration Fund (Formerly Known as Principal Ultra Short Term Fund)-Daily Income Distribution CUM Capital Withdrawal Option;1005.4300;25-Aug-2023")</f>
        <v>149536;-;INF173K01CV7;Sundaram Ultra Short Duration Fund (Formerly Known as Principal Ultra Short Term Fund)-Daily Income Distribution CUM Capital Withdrawal Option;1005.4300;25-Aug-2023</v>
      </c>
      <c r="B4286" s="1"/>
    </row>
    <row r="4287">
      <c r="A4287" s="1" t="str">
        <f>IFERROR(__xludf.DUMMYFUNCTION("""COMPUTED_VALUE"""),"149535;INF173K01CU9;-;Sundaram Ultra Short Duration Fund (Formerly Known as Principal Ultra Short Term Fund)-Growth Option;2394.6642;25-Aug-2023")</f>
        <v>149535;INF173K01CU9;-;Sundaram Ultra Short Duration Fund (Formerly Known as Principal Ultra Short Term Fund)-Growth Option;2394.6642;25-Aug-2023</v>
      </c>
      <c r="B4287" s="1"/>
    </row>
    <row r="4288">
      <c r="A4288" s="1" t="str">
        <f>IFERROR(__xludf.DUMMYFUNCTION("""COMPUTED_VALUE"""),"149537;INF173K01CX3;INF173K01CY1;Sundaram Ultra Short Duration Fund (Formerly Known as Principal Ultra Short Term Fund)-Monthly Income Distribution CUM Capital Withdrawal Option;1061.4243;25-Aug-2023")</f>
        <v>149537;INF173K01CX3;INF173K01CY1;Sundaram Ultra Short Duration Fund (Formerly Known as Principal Ultra Short Term Fund)-Monthly Income Distribution CUM Capital Withdrawal Option;1061.4243;25-Aug-2023</v>
      </c>
      <c r="B4288" s="1"/>
    </row>
    <row r="4289">
      <c r="A4289" s="1" t="str">
        <f>IFERROR(__xludf.DUMMYFUNCTION("""COMPUTED_VALUE"""),"149538;-;INF173K01CW5;Sundaram Ultra Short Duration Fund (Formerly Known as Principal Ultra Short Term Fund)-Weekly Income Distribution CUM Capital Withdrawal Option;1020.3817;25-Aug-2023")</f>
        <v>149538;-;INF173K01CW5;Sundaram Ultra Short Duration Fund (Formerly Known as Principal Ultra Short Term Fund)-Weekly Income Distribution CUM Capital Withdrawal Option;1020.3817;25-Aug-2023</v>
      </c>
      <c r="B4289" s="1"/>
    </row>
    <row r="4290">
      <c r="A4290" s="1" t="str">
        <f>IFERROR(__xludf.DUMMYFUNCTION("""COMPUTED_VALUE"""),"149722;-;INF903JA1JL1;Sundaram Ultra Short Duration Fund (Formerly Known as Prinicpal Ultra Short Term Fund) Regular Plan Fortnightly IDCW;1062.2677;25-Aug-2023")</f>
        <v>149722;-;INF903JA1JL1;Sundaram Ultra Short Duration Fund (Formerly Known as Prinicpal Ultra Short Term Fund) Regular Plan Fortnightly IDCW;1062.2677;25-Aug-2023</v>
      </c>
      <c r="B4290" s="1"/>
    </row>
    <row r="4291">
      <c r="A4291" s="1" t="str">
        <f>IFERROR(__xludf.DUMMYFUNCTION("""COMPUTED_VALUE"""),"149723;INF903JA1JN7;INF903JA1JM9;Sundaram Ultra Short Duration Fund (Formerly Known as Prinicpal Ultra Short Term Fund) Regular Plan Quarterly IDCW;1095.8632;25-Aug-2023")</f>
        <v>149723;INF903JA1JN7;INF903JA1JM9;Sundaram Ultra Short Duration Fund (Formerly Known as Prinicpal Ultra Short Term Fund) Regular Plan Quarterly IDCW;1095.8632;25-Aug-2023</v>
      </c>
      <c r="B4291" s="1"/>
    </row>
    <row r="4292">
      <c r="A4292" s="1"/>
      <c r="B4292" s="1"/>
    </row>
    <row r="4293">
      <c r="A4293" s="1" t="str">
        <f>IFERROR(__xludf.DUMMYFUNCTION("""COMPUTED_VALUE"""),"Tata Mutual Fund")</f>
        <v>Tata Mutual Fund</v>
      </c>
      <c r="B4293" s="1"/>
    </row>
    <row r="4294">
      <c r="A4294" s="1"/>
      <c r="B4294" s="1"/>
    </row>
    <row r="4295">
      <c r="A4295" s="1" t="str">
        <f>IFERROR(__xludf.DUMMYFUNCTION("""COMPUTED_VALUE"""),"146076;-;INF277K013T6;TATA Ultra Short Term Fund Direct Plan - Monthly Reinvestment of Income Distribution cum capital withdrawal option  ;13.0348;25-Aug-2023")</f>
        <v>146076;-;INF277K013T6;TATA Ultra Short Term Fund Direct Plan - Monthly Reinvestment of Income Distribution cum capital withdrawal option  ;13.0348;25-Aug-2023</v>
      </c>
      <c r="B4295" s="1"/>
    </row>
    <row r="4296">
      <c r="A4296" s="1" t="str">
        <f>IFERROR(__xludf.DUMMYFUNCTION("""COMPUTED_VALUE"""),"146068;-;INF277K015T1;TATA Ultra Short Term Fund Direct Plan - Weekly Reinvestment of Income Distribution cum capital withdrawal option   ;10.4086;25-Aug-2023")</f>
        <v>146068;-;INF277K015T1;TATA Ultra Short Term Fund Direct Plan - Weekly Reinvestment of Income Distribution cum capital withdrawal option   ;10.4086;25-Aug-2023</v>
      </c>
      <c r="B4296" s="1"/>
    </row>
    <row r="4297">
      <c r="A4297" s="1" t="str">
        <f>IFERROR(__xludf.DUMMYFUNCTION("""COMPUTED_VALUE"""),"146073;-;INF277K018S7;TATA Ultra Short Term Fund Regular Plan - Monthly Reinvestment of Income Distribution cum capital withdrawal option  ;12.5192;25-Aug-2023")</f>
        <v>146073;-;INF277K018S7;TATA Ultra Short Term Fund Regular Plan - Monthly Reinvestment of Income Distribution cum capital withdrawal option  ;12.5192;25-Aug-2023</v>
      </c>
      <c r="B4297" s="1"/>
    </row>
    <row r="4298">
      <c r="A4298" s="1" t="str">
        <f>IFERROR(__xludf.DUMMYFUNCTION("""COMPUTED_VALUE"""),"146074;-;INF277K010T2;TATA Ultra Short Term Fund Regular Plan -Weekly Reinvestment of Income Distribution cum capital withdrawal option  ;10.3814;25-Aug-2023")</f>
        <v>146074;-;INF277K010T2;TATA Ultra Short Term Fund Regular Plan -Weekly Reinvestment of Income Distribution cum capital withdrawal option  ;10.3814;25-Aug-2023</v>
      </c>
      <c r="B4298" s="1"/>
    </row>
    <row r="4299">
      <c r="A4299" s="1" t="str">
        <f>IFERROR(__xludf.DUMMYFUNCTION("""COMPUTED_VALUE"""),"146069;INF277K012T8;-;TATA Ultra Short Term Fund-Direct Plan - Monthly Payout of Income Distribution cum capital withdrawal option ;13.0348;25-Aug-2023")</f>
        <v>146069;INF277K012T8;-;TATA Ultra Short Term Fund-Direct Plan - Monthly Payout of Income Distribution cum capital withdrawal option ;13.0348;25-Aug-2023</v>
      </c>
      <c r="B4299" s="1"/>
    </row>
    <row r="4300">
      <c r="A4300" s="1" t="str">
        <f>IFERROR(__xludf.DUMMYFUNCTION("""COMPUTED_VALUE"""),"146067;INF277K014T4;-;TATA Ultra Short Term Fund-Direct Plan - Weekly Payout of Income Distribution cum capital withdrawal option ;10.4086;25-Aug-2023")</f>
        <v>146067;INF277K014T4;-;TATA Ultra Short Term Fund-Direct Plan - Weekly Payout of Income Distribution cum capital withdrawal option ;10.4086;25-Aug-2023</v>
      </c>
      <c r="B4300" s="1"/>
    </row>
    <row r="4301">
      <c r="A4301" s="1" t="str">
        <f>IFERROR(__xludf.DUMMYFUNCTION("""COMPUTED_VALUE"""),"146075;INF277K011T0;-;Tata Ultra Short Term Fund-Direct Plan-Growth;12.9536;25-Aug-2023")</f>
        <v>146075;INF277K011T0;-;Tata Ultra Short Term Fund-Direct Plan-Growth;12.9536;25-Aug-2023</v>
      </c>
      <c r="B4301" s="1"/>
    </row>
    <row r="4302">
      <c r="A4302" s="1" t="str">
        <f>IFERROR(__xludf.DUMMYFUNCTION("""COMPUTED_VALUE"""),"146072;INF277K017S9;-;TATA Ultra Short Term Fund-Regular Plan - Monthly Payout of Income Distribution cum capital withdrawal option ;12.5192;25-Aug-2023")</f>
        <v>146072;INF277K017S9;-;TATA Ultra Short Term Fund-Regular Plan - Monthly Payout of Income Distribution cum capital withdrawal option ;12.5192;25-Aug-2023</v>
      </c>
      <c r="B4302" s="1"/>
    </row>
    <row r="4303">
      <c r="A4303" s="1" t="str">
        <f>IFERROR(__xludf.DUMMYFUNCTION("""COMPUTED_VALUE"""),"146071;INF277K019S5;-;TATA Ultra Short Term Fund-Regular Plan - Weekly Payout of Income Distribution cum capital withdrawal option ;10.3814;25-Aug-2023")</f>
        <v>146071;INF277K019S5;-;TATA Ultra Short Term Fund-Regular Plan - Weekly Payout of Income Distribution cum capital withdrawal option ;10.3814;25-Aug-2023</v>
      </c>
      <c r="B4303" s="1"/>
    </row>
    <row r="4304">
      <c r="A4304" s="1" t="str">
        <f>IFERROR(__xludf.DUMMYFUNCTION("""COMPUTED_VALUE"""),"146070;INF277K016S1;-;Tata Ultra Short Term Fund-Regular Plan-Growth;12.5153;25-Aug-2023")</f>
        <v>146070;INF277K016S1;-;Tata Ultra Short Term Fund-Regular Plan-Growth;12.5153;25-Aug-2023</v>
      </c>
      <c r="B4304" s="1"/>
    </row>
    <row r="4305">
      <c r="A4305" s="1"/>
      <c r="B4305" s="1"/>
    </row>
    <row r="4306">
      <c r="A4306" s="1" t="str">
        <f>IFERROR(__xludf.DUMMYFUNCTION("""COMPUTED_VALUE"""),"UTI Mutual Fund")</f>
        <v>UTI Mutual Fund</v>
      </c>
      <c r="B4306" s="1"/>
    </row>
    <row r="4307">
      <c r="A4307" s="1"/>
      <c r="B4307" s="1"/>
    </row>
    <row r="4308">
      <c r="A4308" s="1" t="str">
        <f>IFERROR(__xludf.DUMMYFUNCTION("""COMPUTED_VALUE"""),"120746;INF789F01TI1;-;UTI - Ultra Short Term Fund - Direct Plan - Growth Option;3961.4774;25-Aug-2023")</f>
        <v>120746;INF789F01TI1;-;UTI - Ultra Short Term Fund - Direct Plan - Growth Option;3961.4774;25-Aug-2023</v>
      </c>
      <c r="B4308" s="1"/>
    </row>
    <row r="4309">
      <c r="A4309" s="1" t="str">
        <f>IFERROR(__xludf.DUMMYFUNCTION("""COMPUTED_VALUE"""),"112083;INF789F01PM1;-;UTI - Ultra Short Term Fund - Discontinued - INSTN GROWTH OPTION;2668.4775;25-Aug-2023")</f>
        <v>112083;INF789F01PM1;-;UTI - Ultra Short Term Fund - Discontinued - INSTN GROWTH OPTION;2668.4775;25-Aug-2023</v>
      </c>
      <c r="B4309" s="1"/>
    </row>
    <row r="4310">
      <c r="A4310" s="1" t="str">
        <f>IFERROR(__xludf.DUMMYFUNCTION("""COMPUTED_VALUE"""),"112082;-;INF789F01PL3;UTI - Ultra Short Term Fund - Discontinued - INSTN PLAN - PERIODIC DIVIDEND OPTION;1003.5556;25-Feb-2021")</f>
        <v>112082;-;INF789F01PL3;UTI - Ultra Short Term Fund - Discontinued - INSTN PLAN - PERIODIC DIVIDEND OPTION;1003.5556;25-Feb-2021</v>
      </c>
      <c r="B4310" s="1"/>
    </row>
    <row r="4311">
      <c r="A4311" s="1" t="str">
        <f>IFERROR(__xludf.DUMMYFUNCTION("""COMPUTED_VALUE"""),"102532;INF789F01570;-;UTI - Ultra Short Term Fund - Regular Plan - Growth Option;3732.093;25-Aug-2023")</f>
        <v>102532;INF789F01570;-;UTI - Ultra Short Term Fund - Regular Plan - Growth Option;3732.093;25-Aug-2023</v>
      </c>
      <c r="B4311" s="1"/>
    </row>
    <row r="4312">
      <c r="A4312" s="1" t="str">
        <f>IFERROR(__xludf.DUMMYFUNCTION("""COMPUTED_VALUE"""),"139568;INF789FA1Q42;INF789FA1Q59;UTI Ultra Short Term Fund - Direct Plan - Annual IDCW;1246.0636;25-Aug-2023")</f>
        <v>139568;INF789FA1Q42;INF789FA1Q59;UTI Ultra Short Term Fund - Direct Plan - Annual IDCW;1246.0636;25-Aug-2023</v>
      </c>
      <c r="B4312" s="1"/>
    </row>
    <row r="4313">
      <c r="A4313" s="1" t="str">
        <f>IFERROR(__xludf.DUMMYFUNCTION("""COMPUTED_VALUE"""),"120744;INF789F01TG5;INF789F01TH3;UTI Ultra Short Term Fund - Direct Plan - Daily IDCW (Reinvestment);1317.9175;25-Aug-2023")</f>
        <v>120744;INF789F01TG5;INF789F01TH3;UTI Ultra Short Term Fund - Direct Plan - Daily IDCW (Reinvestment);1317.9175;25-Aug-2023</v>
      </c>
      <c r="B4313" s="1"/>
    </row>
    <row r="4314">
      <c r="A4314" s="1" t="str">
        <f>IFERROR(__xludf.DUMMYFUNCTION("""COMPUTED_VALUE"""),"121892;INF789FB1KQ0;INF789FB1KR8;UTI Ultra Short Term Fund - Direct Plan - Flexi IDCW;1922.0113;25-Aug-2023")</f>
        <v>121892;INF789FB1KQ0;INF789FB1KR8;UTI Ultra Short Term Fund - Direct Plan - Flexi IDCW;1922.0113;25-Aug-2023</v>
      </c>
      <c r="B4314" s="1"/>
    </row>
    <row r="4315">
      <c r="A4315" s="1" t="str">
        <f>IFERROR(__xludf.DUMMYFUNCTION("""COMPUTED_VALUE"""),"131512;INF789FA1P68;INF789FA1P76;UTI Ultra Short Term Fund - Direct Plan - Fortnightly IDCW;1326.8022;25-Aug-2023")</f>
        <v>131512;INF789FA1P68;INF789FA1P76;UTI Ultra Short Term Fund - Direct Plan - Fortnightly IDCW;1326.8022;25-Aug-2023</v>
      </c>
      <c r="B4315" s="1"/>
    </row>
    <row r="4316">
      <c r="A4316" s="1" t="str">
        <f>IFERROR(__xludf.DUMMYFUNCTION("""COMPUTED_VALUE"""),"147128;INF789FA1Q26;INF789FA1Q34;UTI Ultra Short Term Fund - Direct Plan - Half-Yearly IDCW;1256.0499;25-Aug-2023")</f>
        <v>147128;INF789FA1Q26;INF789FA1Q34;UTI Ultra Short Term Fund - Direct Plan - Half-Yearly IDCW;1256.0499;25-Aug-2023</v>
      </c>
      <c r="B4316" s="1"/>
    </row>
    <row r="4317">
      <c r="A4317" s="1" t="str">
        <f>IFERROR(__xludf.DUMMYFUNCTION("""COMPUTED_VALUE"""),"131444;INF789FA1P84;INF789FA1P92;UTI Ultra Short Term Fund - Direct Plan - Monthly IDCW;1112.4913;25-Aug-2023")</f>
        <v>131444;INF789FA1P84;INF789FA1P92;UTI Ultra Short Term Fund - Direct Plan - Monthly IDCW;1112.4913;25-Aug-2023</v>
      </c>
      <c r="B4317" s="1"/>
    </row>
    <row r="4318">
      <c r="A4318" s="1" t="str">
        <f>IFERROR(__xludf.DUMMYFUNCTION("""COMPUTED_VALUE"""),"133059;INF789FA1Q00;INF789FA1Q18;UTI Ultra Short Term Fund - Direct Plan - Quarterly IDCW;1644.8514;25-Aug-2023")</f>
        <v>133059;INF789FA1Q00;INF789FA1Q18;UTI Ultra Short Term Fund - Direct Plan - Quarterly IDCW;1644.8514;25-Aug-2023</v>
      </c>
      <c r="B4318" s="1"/>
    </row>
    <row r="4319">
      <c r="A4319" s="1" t="str">
        <f>IFERROR(__xludf.DUMMYFUNCTION("""COMPUTED_VALUE"""),"120745;INF789FB1S63;-;UTI Ultra Short Term Fund - Direct Plan - Weekly IDCW (Reinvestment);1083.6599;25-Aug-2023")</f>
        <v>120745;INF789FB1S63;-;UTI Ultra Short Term Fund - Direct Plan - Weekly IDCW (Reinvestment);1083.6599;25-Aug-2023</v>
      </c>
      <c r="B4319" s="1"/>
    </row>
    <row r="4320">
      <c r="A4320" s="1" t="str">
        <f>IFERROR(__xludf.DUMMYFUNCTION("""COMPUTED_VALUE"""),"134484;INF789FA1P43;INF789FA1P50;UTI Ultra Short Term Fund - Regular Plan - Annual IDCW;1221.2746;25-Aug-2023")</f>
        <v>134484;INF789FA1P43;INF789FA1P50;UTI Ultra Short Term Fund - Regular Plan - Annual IDCW;1221.2746;25-Aug-2023</v>
      </c>
      <c r="B4320" s="1"/>
    </row>
    <row r="4321">
      <c r="A4321" s="1" t="str">
        <f>IFERROR(__xludf.DUMMYFUNCTION("""COMPUTED_VALUE"""),"109501;-;INF789F01554;UTI Ultra Short Term Fund - Regular Plan - Daily IDCW (Reinvestment);1046.1477;25-Aug-2023")</f>
        <v>109501;-;INF789F01554;UTI Ultra Short Term Fund - Regular Plan - Daily IDCW (Reinvestment);1046.1477;25-Aug-2023</v>
      </c>
      <c r="B4321" s="1"/>
    </row>
    <row r="4322">
      <c r="A4322" s="1" t="str">
        <f>IFERROR(__xludf.DUMMYFUNCTION("""COMPUTED_VALUE"""),"121891;INF789FB1KS6;INF789FB1KT4;UTI Ultra Short Term Fund - Regular Plan - Flexi IDCW;1440.7136;25-Aug-2023")</f>
        <v>121891;INF789FB1KS6;INF789FB1KT4;UTI Ultra Short Term Fund - Regular Plan - Flexi IDCW;1440.7136;25-Aug-2023</v>
      </c>
      <c r="B4322" s="1"/>
    </row>
    <row r="4323">
      <c r="A4323" s="1" t="str">
        <f>IFERROR(__xludf.DUMMYFUNCTION("""COMPUTED_VALUE"""),"131511;INF789FA1O69;INF789FA1O77;UTI Ultra Short Term Fund - Regular Plan - Fortnightly IDCW;1322.4117;25-Aug-2023")</f>
        <v>131511;INF789FA1O69;INF789FA1O77;UTI Ultra Short Term Fund - Regular Plan - Fortnightly IDCW;1322.4117;25-Aug-2023</v>
      </c>
      <c r="B4323" s="1"/>
    </row>
    <row r="4324">
      <c r="A4324" s="1" t="str">
        <f>IFERROR(__xludf.DUMMYFUNCTION("""COMPUTED_VALUE"""),"134799;INF789FA1P27;INF789FA1P35;UTI Ultra Short Term Fund - Regular Plan - Half-Yearly IDCW;1204.9007;25-Aug-2023")</f>
        <v>134799;INF789FA1P27;INF789FA1P35;UTI Ultra Short Term Fund - Regular Plan - Half-Yearly IDCW;1204.9007;25-Aug-2023</v>
      </c>
      <c r="B4324" s="1"/>
    </row>
    <row r="4325">
      <c r="A4325" s="1" t="str">
        <f>IFERROR(__xludf.DUMMYFUNCTION("""COMPUTED_VALUE"""),"131445;INF789FA1O85;INF789FA1O93;UTI Ultra Short Term Fund - Regular Plan - Monthly IDCW;1039.907;25-Aug-2023")</f>
        <v>131445;INF789FA1O85;INF789FA1O93;UTI Ultra Short Term Fund - Regular Plan - Monthly IDCW;1039.907;25-Aug-2023</v>
      </c>
      <c r="B4325" s="1"/>
    </row>
    <row r="4326">
      <c r="A4326" s="1" t="str">
        <f>IFERROR(__xludf.DUMMYFUNCTION("""COMPUTED_VALUE"""),"133873;INF789FA1P01;INF789FA1P19;UTI Ultra Short Term Fund - Regular Plan - Quarterly IDCW;1167.9051;25-Aug-2023")</f>
        <v>133873;INF789FA1P01;INF789FA1P19;UTI Ultra Short Term Fund - Regular Plan - Quarterly IDCW;1167.9051;25-Aug-2023</v>
      </c>
      <c r="B4326" s="1"/>
    </row>
    <row r="4327">
      <c r="A4327" s="1" t="str">
        <f>IFERROR(__xludf.DUMMYFUNCTION("""COMPUTED_VALUE"""),"102531;-;INF789F01562;UTI Ultra Short Term Fund - Regular Plan - Weekly IDCW (Reinvestment);1195.3249;25-Aug-2023")</f>
        <v>102531;-;INF789F01562;UTI Ultra Short Term Fund - Regular Plan - Weekly IDCW (Reinvestment);1195.3249;25-Aug-2023</v>
      </c>
      <c r="B4327" s="1"/>
    </row>
    <row r="4328">
      <c r="A4328" s="1"/>
      <c r="B4328" s="1"/>
    </row>
    <row r="4329">
      <c r="A4329" s="1" t="str">
        <f>IFERROR(__xludf.DUMMYFUNCTION("""COMPUTED_VALUE"""),"WhiteOak Capital Mutual Fund")</f>
        <v>WhiteOak Capital Mutual Fund</v>
      </c>
      <c r="B4329" s="1"/>
    </row>
    <row r="4330">
      <c r="A4330" s="1"/>
      <c r="B4330" s="1"/>
    </row>
    <row r="4331">
      <c r="A4331" s="1" t="str">
        <f>IFERROR(__xludf.DUMMYFUNCTION("""COMPUTED_VALUE"""),"147316;-;INF03VN01175;WhiteOak Capital Ultra Short Term Fund- Direct plan-Daily Reinvestment of Income Distribution cum capital withdrawal option (IDCW);1001.6530;25-Aug-2023")</f>
        <v>147316;-;INF03VN01175;WhiteOak Capital Ultra Short Term Fund- Direct plan-Daily Reinvestment of Income Distribution cum capital withdrawal option (IDCW);1001.6530;25-Aug-2023</v>
      </c>
      <c r="B4331" s="1"/>
    </row>
    <row r="4332">
      <c r="A4332" s="1" t="str">
        <f>IFERROR(__xludf.DUMMYFUNCTION("""COMPUTED_VALUE"""),"147315;INF03VN01183;INF03VN01191;WhiteOak Capital Ultra Short Term Fund- Direct plan-Fortnightly Payout/ Reinvestment of Income Distribution cum capital withdrawal option (IDCW);1003.1164;25-Aug-2023")</f>
        <v>147315;INF03VN01183;INF03VN01191;WhiteOak Capital Ultra Short Term Fund- Direct plan-Fortnightly Payout/ Reinvestment of Income Distribution cum capital withdrawal option (IDCW);1003.1164;25-Aug-2023</v>
      </c>
      <c r="B4332" s="1"/>
    </row>
    <row r="4333">
      <c r="A4333" s="1" t="str">
        <f>IFERROR(__xludf.DUMMYFUNCTION("""COMPUTED_VALUE"""),"147311;INF03VN01209;-;WhiteOak Capital Ultra Short Term Fund- Direct plan-Growth Option;1234.7415;25-Aug-2023")</f>
        <v>147311;INF03VN01209;-;WhiteOak Capital Ultra Short Term Fund- Direct plan-Growth Option;1234.7415;25-Aug-2023</v>
      </c>
      <c r="B4333" s="1"/>
    </row>
    <row r="4334">
      <c r="A4334" s="1" t="str">
        <f>IFERROR(__xludf.DUMMYFUNCTION("""COMPUTED_VALUE"""),"147312;INF03VN01217;INF03VN01225;WhiteOak Capital Ultra Short Term Fund- Direct plan-Monthly Payout/ Reinvestment of Income Distribution cum capital withdrawal option (IDCW);1003.4379;25-Aug-2023")</f>
        <v>147312;INF03VN01217;INF03VN01225;WhiteOak Capital Ultra Short Term Fund- Direct plan-Monthly Payout/ Reinvestment of Income Distribution cum capital withdrawal option (IDCW);1003.4379;25-Aug-2023</v>
      </c>
      <c r="B4334" s="1"/>
    </row>
    <row r="4335">
      <c r="A4335" s="1" t="str">
        <f>IFERROR(__xludf.DUMMYFUNCTION("""COMPUTED_VALUE"""),"147313;INF03VN01233;INF03VN01241;WhiteOak Capital Ultra Short Term Fund- Direct plan-Weekly Payout/ Reinvestment of Income Distribution cum capital withdrawal option (IDCW);1002.5897;25-Aug-2023")</f>
        <v>147313;INF03VN01233;INF03VN01241;WhiteOak Capital Ultra Short Term Fund- Direct plan-Weekly Payout/ Reinvestment of Income Distribution cum capital withdrawal option (IDCW);1002.5897;25-Aug-2023</v>
      </c>
      <c r="B4335" s="1"/>
    </row>
    <row r="4336">
      <c r="A4336" s="1" t="str">
        <f>IFERROR(__xludf.DUMMYFUNCTION("""COMPUTED_VALUE"""),"147308;-;INF03VN01258;WhiteOak Capital Ultra Short Term Fund- Regular plan-Daily Reinvestment of Income Distribution cum capital withdrawal option (IDCW);1001.6477;25-Aug-2023")</f>
        <v>147308;-;INF03VN01258;WhiteOak Capital Ultra Short Term Fund- Regular plan-Daily Reinvestment of Income Distribution cum capital withdrawal option (IDCW);1001.6477;25-Aug-2023</v>
      </c>
      <c r="B4336" s="1"/>
    </row>
    <row r="4337">
      <c r="A4337" s="1" t="str">
        <f>IFERROR(__xludf.DUMMYFUNCTION("""COMPUTED_VALUE"""),"147309;INF03VN01266;INF03VN01274;WhiteOak Capital Ultra Short Term Fund- Regular plan-Fortnightly Payout/ Reinvestment of Income Distribution cum capital withdrawal option (IDCW);1002.9948;25-Aug-2023")</f>
        <v>147309;INF03VN01266;INF03VN01274;WhiteOak Capital Ultra Short Term Fund- Regular plan-Fortnightly Payout/ Reinvestment of Income Distribution cum capital withdrawal option (IDCW);1002.9948;25-Aug-2023</v>
      </c>
      <c r="B4337" s="1"/>
    </row>
    <row r="4338">
      <c r="A4338" s="1" t="str">
        <f>IFERROR(__xludf.DUMMYFUNCTION("""COMPUTED_VALUE"""),"147307;INF03VN01282;-;WhiteOak Capital Ultra Short Term Fund- Regular plan-Growth Option;1204.8896;25-Aug-2023")</f>
        <v>147307;INF03VN01282;-;WhiteOak Capital Ultra Short Term Fund- Regular plan-Growth Option;1204.8896;25-Aug-2023</v>
      </c>
      <c r="B4338" s="1"/>
    </row>
    <row r="4339">
      <c r="A4339" s="1" t="str">
        <f>IFERROR(__xludf.DUMMYFUNCTION("""COMPUTED_VALUE"""),"147314;INF03VN01290;INF03VN01308;WhiteOak Capital Ultra Short Term Fund- Regular plan-Monthly Payout/ Reinvestment of Income Distribution cum capital withdrawal option (IDCW);1002.7893;25-Aug-2023")</f>
        <v>147314;INF03VN01290;INF03VN01308;WhiteOak Capital Ultra Short Term Fund- Regular plan-Monthly Payout/ Reinvestment of Income Distribution cum capital withdrawal option (IDCW);1002.7893;25-Aug-2023</v>
      </c>
      <c r="B4339" s="1"/>
    </row>
    <row r="4340">
      <c r="A4340" s="1" t="str">
        <f>IFERROR(__xludf.DUMMYFUNCTION("""COMPUTED_VALUE"""),"147310;INF03VN01316;INF03VN01324;WhiteOak Capital Ultra Short Term Fund- Regular plan-Weekly Payout/ Reinvestment of Income Distribution cum capital withdrawal option (IDCW);1003.1336;25-Aug-2023")</f>
        <v>147310;INF03VN01316;INF03VN01324;WhiteOak Capital Ultra Short Term Fund- Regular plan-Weekly Payout/ Reinvestment of Income Distribution cum capital withdrawal option (IDCW);1003.1336;25-Aug-2023</v>
      </c>
      <c r="B4340" s="1"/>
    </row>
    <row r="4341">
      <c r="A4341" s="1"/>
      <c r="B4341" s="1"/>
    </row>
    <row r="4342">
      <c r="A4342" s="1" t="str">
        <f>IFERROR(__xludf.DUMMYFUNCTION("""COMPUTED_VALUE"""),"Open Ended Schemes(Equity Scheme - Contra Fund)")</f>
        <v>Open Ended Schemes(Equity Scheme - Contra Fund)</v>
      </c>
      <c r="B4342" s="1"/>
    </row>
    <row r="4343">
      <c r="A4343" s="1"/>
      <c r="B4343" s="1"/>
    </row>
    <row r="4344">
      <c r="A4344" s="1" t="str">
        <f>IFERROR(__xludf.DUMMYFUNCTION("""COMPUTED_VALUE"""),"Invesco Mutual Fund")</f>
        <v>Invesco Mutual Fund</v>
      </c>
      <c r="B4344" s="1"/>
    </row>
    <row r="4345">
      <c r="A4345" s="1"/>
      <c r="B4345" s="1"/>
    </row>
    <row r="4346">
      <c r="A4346" s="1" t="str">
        <f>IFERROR(__xludf.DUMMYFUNCTION("""COMPUTED_VALUE"""),"120348;INF205K01LE4;-;Invesco India Contra Fund - Direct Plan - Growth;102.01;25-Aug-2023")</f>
        <v>120348;INF205K01LE4;-;Invesco India Contra Fund - Direct Plan - Growth;102.01;25-Aug-2023</v>
      </c>
      <c r="B4346" s="1"/>
    </row>
    <row r="4347">
      <c r="A4347" s="1" t="str">
        <f>IFERROR(__xludf.DUMMYFUNCTION("""COMPUTED_VALUE"""),"120349;INF205K01LC8;INF205K01LD6;Invesco India Contra Fund - Direct Plan - IDCW (Payout / Reinvestment);47.55;25-Aug-2023")</f>
        <v>120349;INF205K01LC8;INF205K01LD6;Invesco India Contra Fund - Direct Plan - IDCW (Payout / Reinvestment);47.55;25-Aug-2023</v>
      </c>
      <c r="B4347" s="1"/>
    </row>
    <row r="4348">
      <c r="A4348" s="1" t="str">
        <f>IFERROR(__xludf.DUMMYFUNCTION("""COMPUTED_VALUE"""),"105460;INF205K01189;-;Invesco India Contra Fund - Growth;88.93;25-Aug-2023")</f>
        <v>105460;INF205K01189;-;Invesco India Contra Fund - Growth;88.93;25-Aug-2023</v>
      </c>
      <c r="B4348" s="1"/>
    </row>
    <row r="4349">
      <c r="A4349" s="1" t="str">
        <f>IFERROR(__xludf.DUMMYFUNCTION("""COMPUTED_VALUE"""),"105459;INF205K01205;INF205K01197;Invesco India Contra Fund - IDCW (Payout / Reinvestment);36.3;25-Aug-2023")</f>
        <v>105459;INF205K01205;INF205K01197;Invesco India Contra Fund - IDCW (Payout / Reinvestment);36.3;25-Aug-2023</v>
      </c>
      <c r="B4349" s="1"/>
    </row>
    <row r="4350">
      <c r="A4350" s="1"/>
      <c r="B4350" s="1"/>
    </row>
    <row r="4351">
      <c r="A4351" s="1" t="str">
        <f>IFERROR(__xludf.DUMMYFUNCTION("""COMPUTED_VALUE"""),"Kotak Mahindra Mutual Fund")</f>
        <v>Kotak Mahindra Mutual Fund</v>
      </c>
      <c r="B4351" s="1"/>
    </row>
    <row r="4352">
      <c r="A4352" s="1"/>
      <c r="B4352" s="1"/>
    </row>
    <row r="4353">
      <c r="A4353" s="1" t="str">
        <f>IFERROR(__xludf.DUMMYFUNCTION("""COMPUTED_VALUE"""),"103040;INF174K01245;-;Kotak India EQ Contra Fund - Growth;99.385;25-Aug-2023")</f>
        <v>103040;INF174K01245;-;Kotak India EQ Contra Fund - Growth;99.385;25-Aug-2023</v>
      </c>
      <c r="B4353" s="1"/>
    </row>
    <row r="4354">
      <c r="A4354" s="1" t="str">
        <f>IFERROR(__xludf.DUMMYFUNCTION("""COMPUTED_VALUE"""),"119769;INF174K01KZ9;-;Kotak India EQ Contra Fund - Growth - Direct;114.308;25-Aug-2023")</f>
        <v>119769;INF174K01KZ9;-;Kotak India EQ Contra Fund - Growth - Direct;114.308;25-Aug-2023</v>
      </c>
      <c r="B4354" s="1"/>
    </row>
    <row r="4355">
      <c r="A4355" s="1" t="str">
        <f>IFERROR(__xludf.DUMMYFUNCTION("""COMPUTED_VALUE"""),"103039;INF174K01260;INF174K01252;Kotak India EQ Contra Fund - Payout of Income Distribution cum capital withdrawal option;34.258;25-Aug-2023")</f>
        <v>103039;INF174K01260;INF174K01252;Kotak India EQ Contra Fund - Payout of Income Distribution cum capital withdrawal option;34.258;25-Aug-2023</v>
      </c>
      <c r="B4355" s="1"/>
    </row>
    <row r="4356">
      <c r="A4356" s="1" t="str">
        <f>IFERROR(__xludf.DUMMYFUNCTION("""COMPUTED_VALUE"""),"119768;INF174K01LA0;-;Kotak India EQ Contra Fund - Payout of Income Distribution cum capital withdrawal option- Direct;40.676;25-Aug-2023")</f>
        <v>119768;INF174K01LA0;-;Kotak India EQ Contra Fund - Payout of Income Distribution cum capital withdrawal option- Direct;40.676;25-Aug-2023</v>
      </c>
      <c r="B4356" s="1"/>
    </row>
    <row r="4357">
      <c r="A4357" s="1"/>
      <c r="B4357" s="1"/>
    </row>
    <row r="4358">
      <c r="A4358" s="1" t="str">
        <f>IFERROR(__xludf.DUMMYFUNCTION("""COMPUTED_VALUE"""),"SBI Mutual Fund")</f>
        <v>SBI Mutual Fund</v>
      </c>
      <c r="B4358" s="1"/>
    </row>
    <row r="4359">
      <c r="A4359" s="1"/>
      <c r="B4359" s="1"/>
    </row>
    <row r="4360">
      <c r="A4360" s="1" t="str">
        <f>IFERROR(__xludf.DUMMYFUNCTION("""COMPUTED_VALUE"""),"119835;INF200K01RA0;-;SBI CONTRA FUND - DIRECT PLAN - GROWTH;288.5252;25-Aug-2023")</f>
        <v>119835;INF200K01RA0;-;SBI CONTRA FUND - DIRECT PLAN - GROWTH;288.5252;25-Aug-2023</v>
      </c>
      <c r="B4360" s="1"/>
    </row>
    <row r="4361">
      <c r="A4361" s="1" t="str">
        <f>IFERROR(__xludf.DUMMYFUNCTION("""COMPUTED_VALUE"""),"119724;INF200K01QY2;INF200K01QZ9;SBI Contra Fund - Direct Plan - Income Distribution cum Capital Withdrawal Option (IDCW);60.8917;25-Aug-2023")</f>
        <v>119724;INF200K01QY2;INF200K01QZ9;SBI Contra Fund - Direct Plan - Income Distribution cum Capital Withdrawal Option (IDCW);60.8917;25-Aug-2023</v>
      </c>
      <c r="B4361" s="1"/>
    </row>
    <row r="4362">
      <c r="A4362" s="1" t="str">
        <f>IFERROR(__xludf.DUMMYFUNCTION("""COMPUTED_VALUE"""),"100915;INF200K01347;INF200K01354;SBI Contra Fund - Regular Plan - Income Distribution cum Capital Withdrawal Option (IDCW);46.6217;25-Aug-2023")</f>
        <v>100915;INF200K01347;INF200K01354;SBI Contra Fund - Regular Plan - Income Distribution cum Capital Withdrawal Option (IDCW);46.6217;25-Aug-2023</v>
      </c>
      <c r="B4362" s="1"/>
    </row>
    <row r="4363">
      <c r="A4363" s="1" t="str">
        <f>IFERROR(__xludf.DUMMYFUNCTION("""COMPUTED_VALUE"""),"102414;INF200K01362;-;SBI CONTRA FUND - REGULAR PLAN -GROWTH;268.8602;25-Aug-2023")</f>
        <v>102414;INF200K01362;-;SBI CONTRA FUND - REGULAR PLAN -GROWTH;268.8602;25-Aug-2023</v>
      </c>
      <c r="B4363" s="1"/>
    </row>
    <row r="4364">
      <c r="A4364" s="1"/>
      <c r="B4364" s="1"/>
    </row>
    <row r="4365">
      <c r="A4365" s="1" t="str">
        <f>IFERROR(__xludf.DUMMYFUNCTION("""COMPUTED_VALUE"""),"Open Ended Schemes(Equity Scheme - Dividend Yield Fund)")</f>
        <v>Open Ended Schemes(Equity Scheme - Dividend Yield Fund)</v>
      </c>
      <c r="B4365" s="1"/>
    </row>
    <row r="4366">
      <c r="A4366" s="1"/>
      <c r="B4366" s="1"/>
    </row>
    <row r="4367">
      <c r="A4367" s="1" t="str">
        <f>IFERROR(__xludf.DUMMYFUNCTION("""COMPUTED_VALUE"""),"Aditya Birla Sun Life Mutual Fund")</f>
        <v>Aditya Birla Sun Life Mutual Fund</v>
      </c>
      <c r="B4367" s="1"/>
    </row>
    <row r="4368">
      <c r="A4368" s="1"/>
      <c r="B4368" s="1"/>
    </row>
    <row r="4369">
      <c r="A4369" s="1" t="str">
        <f>IFERROR(__xludf.DUMMYFUNCTION("""COMPUTED_VALUE"""),"119507;INF209K01WA1;-;Aditya Birla Sun Life Dividend Yield Fund - Growth - Direct Plan;336.24;25-Aug-2023")</f>
        <v>119507;INF209K01WA1;-;Aditya Birla Sun Life Dividend Yield Fund - Growth - Direct Plan;336.24;25-Aug-2023</v>
      </c>
      <c r="B4369" s="1"/>
    </row>
    <row r="4370">
      <c r="A4370" s="1" t="str">
        <f>IFERROR(__xludf.DUMMYFUNCTION("""COMPUTED_VALUE"""),"101738;INF209K01405;-;Aditya Birla Sun Life Dividend Yield Fund - Growth - Regular Plan;310.85;25-Aug-2023")</f>
        <v>101738;INF209K01405;-;Aditya Birla Sun Life Dividend Yield Fund - Growth - Regular Plan;310.85;25-Aug-2023</v>
      </c>
      <c r="B4370" s="1"/>
    </row>
    <row r="4371">
      <c r="A4371" s="1" t="str">
        <f>IFERROR(__xludf.DUMMYFUNCTION("""COMPUTED_VALUE"""),"119506;INF209K01Q55;INF209K01WB9;Aditya Birla Sun Life Dividend Yield Fund -DIRECT - IDCW;37.99;25-Aug-2023")</f>
        <v>119506;INF209K01Q55;INF209K01WB9;Aditya Birla Sun Life Dividend Yield Fund -DIRECT - IDCW;37.99;25-Aug-2023</v>
      </c>
      <c r="B4371" s="1"/>
    </row>
    <row r="4372">
      <c r="A4372" s="1" t="str">
        <f>IFERROR(__xludf.DUMMYFUNCTION("""COMPUTED_VALUE"""),"101737;INF209K01397;INF209K01CP1;Aditya Birla Sun Life Dividend Yield Fund -REGULAR - IDCW;21.26;25-Aug-2023")</f>
        <v>101737;INF209K01397;INF209K01CP1;Aditya Birla Sun Life Dividend Yield Fund -REGULAR - IDCW;21.26;25-Aug-2023</v>
      </c>
      <c r="B4372" s="1"/>
    </row>
    <row r="4373">
      <c r="A4373" s="1"/>
      <c r="B4373" s="1"/>
    </row>
    <row r="4374">
      <c r="A4374" s="1" t="str">
        <f>IFERROR(__xludf.DUMMYFUNCTION("""COMPUTED_VALUE"""),"Franklin Templeton Mutual Fund")</f>
        <v>Franklin Templeton Mutual Fund</v>
      </c>
      <c r="B4374" s="1"/>
    </row>
    <row r="4375">
      <c r="A4375" s="1"/>
      <c r="B4375" s="1"/>
    </row>
    <row r="4376">
      <c r="A4376" s="1" t="str">
        <f>IFERROR(__xludf.DUMMYFUNCTION("""COMPUTED_VALUE"""),"118527;INF090I01IT8;-;Templeton India Equity Income Fund - Direct - Growth;103.5685;25-Aug-2023")</f>
        <v>118527;INF090I01IT8;-;Templeton India Equity Income Fund - Direct - Growth;103.5685;25-Aug-2023</v>
      </c>
      <c r="B4376" s="1"/>
    </row>
    <row r="4377">
      <c r="A4377" s="1" t="str">
        <f>IFERROR(__xludf.DUMMYFUNCTION("""COMPUTED_VALUE"""),"118526;INF090I01IR2;INF090I01IS0;Templeton India EQUITY INCOME FUND - Direct - IDCW ;23.6500;25-Aug-2023")</f>
        <v>118526;INF090I01IR2;INF090I01IS0;Templeton India EQUITY INCOME FUND - Direct - IDCW ;23.6500;25-Aug-2023</v>
      </c>
      <c r="B4377" s="1"/>
    </row>
    <row r="4378">
      <c r="A4378" s="1" t="str">
        <f>IFERROR(__xludf.DUMMYFUNCTION("""COMPUTED_VALUE"""),"103679;INF090I01932;INF090I01940;Templeton India EQUITY INCOME FUND - IDCW ;21.2792;25-Aug-2023")</f>
        <v>103679;INF090I01932;INF090I01940;Templeton India EQUITY INCOME FUND - IDCW ;21.2792;25-Aug-2023</v>
      </c>
      <c r="B4378" s="1"/>
    </row>
    <row r="4379">
      <c r="A4379" s="1" t="str">
        <f>IFERROR(__xludf.DUMMYFUNCTION("""COMPUTED_VALUE"""),"103678;INF090I01957;-;Templeton India Equity Income Fund-Growth Plan;96.1143;25-Aug-2023")</f>
        <v>103678;INF090I01957;-;Templeton India Equity Income Fund-Growth Plan;96.1143;25-Aug-2023</v>
      </c>
      <c r="B4379" s="1"/>
    </row>
    <row r="4380">
      <c r="A4380" s="1"/>
      <c r="B4380" s="1"/>
    </row>
    <row r="4381">
      <c r="A4381" s="1" t="str">
        <f>IFERROR(__xludf.DUMMYFUNCTION("""COMPUTED_VALUE"""),"HDFC Mutual Fund")</f>
        <v>HDFC Mutual Fund</v>
      </c>
      <c r="B4381" s="1"/>
    </row>
    <row r="4382">
      <c r="A4382" s="1"/>
      <c r="B4382" s="1"/>
    </row>
    <row r="4383">
      <c r="A4383" s="1" t="str">
        <f>IFERROR(__xludf.DUMMYFUNCTION("""COMPUTED_VALUE"""),"148609;INF179KC1AO6;-;HDFC Dividend Yield Fund - Growth Option Direct Plan;18.572;25-Aug-2023")</f>
        <v>148609;INF179KC1AO6;-;HDFC Dividend Yield Fund - Growth Option Direct Plan;18.572;25-Aug-2023</v>
      </c>
      <c r="B4383" s="1"/>
    </row>
    <row r="4384">
      <c r="A4384" s="1" t="str">
        <f>IFERROR(__xludf.DUMMYFUNCTION("""COMPUTED_VALUE"""),"148610;INF179KC1AR9;-;HDFC Dividend Yield Fund - Growth Plan;17.802;25-Aug-2023")</f>
        <v>148610;INF179KC1AR9;-;HDFC Dividend Yield Fund - Growth Plan;17.802;25-Aug-2023</v>
      </c>
      <c r="B4384" s="1"/>
    </row>
    <row r="4385">
      <c r="A4385" s="1" t="str">
        <f>IFERROR(__xludf.DUMMYFUNCTION("""COMPUTED_VALUE"""),"148608;INF179KC1AP3;INF179KC1AQ1;HDFC Dividend Yield Fund - IDCW Option Direct Plan;17.321;25-Aug-2023")</f>
        <v>148608;INF179KC1AP3;INF179KC1AQ1;HDFC Dividend Yield Fund - IDCW Option Direct Plan;17.321;25-Aug-2023</v>
      </c>
      <c r="B4385" s="1"/>
    </row>
    <row r="4386">
      <c r="A4386" s="1" t="str">
        <f>IFERROR(__xludf.DUMMYFUNCTION("""COMPUTED_VALUE"""),"148611;INF179KC1AS7;INF179KC1AT5;HDFC Dividend Yield Fund - IDCW Plan;16.516;25-Aug-2023")</f>
        <v>148611;INF179KC1AS7;INF179KC1AT5;HDFC Dividend Yield Fund - IDCW Plan;16.516;25-Aug-2023</v>
      </c>
      <c r="B4386" s="1"/>
    </row>
    <row r="4387">
      <c r="A4387" s="1"/>
      <c r="B4387" s="1"/>
    </row>
    <row r="4388">
      <c r="A4388" s="1" t="str">
        <f>IFERROR(__xludf.DUMMYFUNCTION("""COMPUTED_VALUE"""),"ICICI Prudential Mutual Fund")</f>
        <v>ICICI Prudential Mutual Fund</v>
      </c>
      <c r="B4388" s="1"/>
    </row>
    <row r="4389">
      <c r="A4389" s="1"/>
      <c r="B4389" s="1"/>
    </row>
    <row r="4390">
      <c r="A4390" s="1" t="str">
        <f>IFERROR(__xludf.DUMMYFUNCTION("""COMPUTED_VALUE"""),"129312;INF109KA1UA0;-;ICICI Prudential Dividend Yield Equity Fund Direct Plan Growth Option;36.62;25-Aug-2023")</f>
        <v>129312;INF109KA1UA0;-;ICICI Prudential Dividend Yield Equity Fund Direct Plan Growth Option;36.62;25-Aug-2023</v>
      </c>
      <c r="B4390" s="1"/>
    </row>
    <row r="4391">
      <c r="A4391" s="1" t="str">
        <f>IFERROR(__xludf.DUMMYFUNCTION("""COMPUTED_VALUE"""),"129309;INF109KA1UB8;INF109KA1UC6;ICICI Prudential Dividend Yield Equity Fund Direct Plan IDCW Option;20.01;25-Aug-2023")</f>
        <v>129309;INF109KA1UB8;INF109KA1UC6;ICICI Prudential Dividend Yield Equity Fund Direct Plan IDCW Option;20.01;25-Aug-2023</v>
      </c>
      <c r="B4391" s="1"/>
    </row>
    <row r="4392">
      <c r="A4392" s="1" t="str">
        <f>IFERROR(__xludf.DUMMYFUNCTION("""COMPUTED_VALUE"""),"129310;INF109KA1TX4;-;ICICI Prudential Dividend Yield Equity Fund Growth Option;33.65;25-Aug-2023")</f>
        <v>129310;INF109KA1TX4;-;ICICI Prudential Dividend Yield Equity Fund Growth Option;33.65;25-Aug-2023</v>
      </c>
      <c r="B4392" s="1"/>
    </row>
    <row r="4393">
      <c r="A4393" s="1" t="str">
        <f>IFERROR(__xludf.DUMMYFUNCTION("""COMPUTED_VALUE"""),"129311;INF109KA1TY2;INF109KA1TZ9;ICICI Prudential Dividend Yield Equity Fund IDCW Option;16.65;25-Aug-2023")</f>
        <v>129311;INF109KA1TY2;INF109KA1TZ9;ICICI Prudential Dividend Yield Equity Fund IDCW Option;16.65;25-Aug-2023</v>
      </c>
      <c r="B4393" s="1"/>
    </row>
    <row r="4394">
      <c r="A4394" s="1"/>
      <c r="B4394" s="1"/>
    </row>
    <row r="4395">
      <c r="A4395" s="1" t="str">
        <f>IFERROR(__xludf.DUMMYFUNCTION("""COMPUTED_VALUE"""),"LIC Mutual Fund")</f>
        <v>LIC Mutual Fund</v>
      </c>
      <c r="B4395" s="1"/>
    </row>
    <row r="4396">
      <c r="A4396" s="1"/>
      <c r="B4396" s="1"/>
    </row>
    <row r="4397">
      <c r="A4397" s="1" t="str">
        <f>IFERROR(__xludf.DUMMYFUNCTION("""COMPUTED_VALUE"""),"152022;INF397L01LC1;-;LIC MF Dividend Yield Fund-Direct Plan-Growth;20.57;25-Aug-2023")</f>
        <v>152022;INF397L01LC1;-;LIC MF Dividend Yield Fund-Direct Plan-Growth;20.57;25-Aug-2023</v>
      </c>
      <c r="B4397" s="1"/>
    </row>
    <row r="4398">
      <c r="A4398" s="1" t="str">
        <f>IFERROR(__xludf.DUMMYFUNCTION("""COMPUTED_VALUE"""),"152021;INF397L01KZ4;INF397L01LA5;LIC MF Dividend Yield Fund-Direct Plan-IDCW;20.57;25-Aug-2023")</f>
        <v>152021;INF397L01KZ4;INF397L01LA5;LIC MF Dividend Yield Fund-Direct Plan-IDCW;20.57;25-Aug-2023</v>
      </c>
      <c r="B4398" s="1"/>
    </row>
    <row r="4399">
      <c r="A4399" s="1" t="str">
        <f>IFERROR(__xludf.DUMMYFUNCTION("""COMPUTED_VALUE"""),"152019;INF397L01KY7;-;LIC MF Dividend Yield Fund-Regular Plan-Growth;19.44;25-Aug-2023")</f>
        <v>152019;INF397L01KY7;-;LIC MF Dividend Yield Fund-Regular Plan-Growth;19.44;25-Aug-2023</v>
      </c>
      <c r="B4399" s="1"/>
    </row>
    <row r="4400">
      <c r="A4400" s="1" t="str">
        <f>IFERROR(__xludf.DUMMYFUNCTION("""COMPUTED_VALUE"""),"152020;INF397L01KV3;INF397L01KW1;LIC MF Dividend Yield Fund-Regular Plan-IDCW;19.44;25-Aug-2023")</f>
        <v>152020;INF397L01KV3;INF397L01KW1;LIC MF Dividend Yield Fund-Regular Plan-IDCW;19.44;25-Aug-2023</v>
      </c>
      <c r="B4400" s="1"/>
    </row>
    <row r="4401">
      <c r="A4401" s="1"/>
      <c r="B4401" s="1"/>
    </row>
    <row r="4402">
      <c r="A4402" s="1" t="str">
        <f>IFERROR(__xludf.DUMMYFUNCTION("""COMPUTED_VALUE"""),"SBI Mutual Fund")</f>
        <v>SBI Mutual Fund</v>
      </c>
      <c r="B4402" s="1"/>
    </row>
    <row r="4403">
      <c r="A4403" s="1"/>
      <c r="B4403" s="1"/>
    </row>
    <row r="4404">
      <c r="A4404" s="1" t="str">
        <f>IFERROR(__xludf.DUMMYFUNCTION("""COMPUTED_VALUE"""),"151478;INF200KA14W3;-;SBI Dividend Yield Fund - Direct Plan - Growth;11.2683;25-Aug-2023")</f>
        <v>151478;INF200KA14W3;-;SBI Dividend Yield Fund - Direct Plan - Growth;11.2683;25-Aug-2023</v>
      </c>
      <c r="B4404" s="1"/>
    </row>
    <row r="4405">
      <c r="A4405" s="1" t="str">
        <f>IFERROR(__xludf.DUMMYFUNCTION("""COMPUTED_VALUE"""),"151475;INF200KA15W0;INF200KA16W8;SBI Dividend Yield Fund - Direct Plan - Income Distribution cum Capital Withdrawal (IDCW) Option;11.2682;25-Aug-2023")</f>
        <v>151475;INF200KA15W0;INF200KA16W8;SBI Dividend Yield Fund - Direct Plan - Income Distribution cum Capital Withdrawal (IDCW) Option;11.2682;25-Aug-2023</v>
      </c>
      <c r="B4405" s="1"/>
    </row>
    <row r="4406">
      <c r="A4406" s="1" t="str">
        <f>IFERROR(__xludf.DUMMYFUNCTION("""COMPUTED_VALUE"""),"151476;INF200KA11W9;-;SBI Dividend Yield Fund - Regular Plan - Growth;11.2115;25-Aug-2023")</f>
        <v>151476;INF200KA11W9;-;SBI Dividend Yield Fund - Regular Plan - Growth;11.2115;25-Aug-2023</v>
      </c>
      <c r="B4406" s="1"/>
    </row>
    <row r="4407">
      <c r="A4407" s="1" t="str">
        <f>IFERROR(__xludf.DUMMYFUNCTION("""COMPUTED_VALUE"""),"151477;INF200KA12W7;INF200KA13W5;SBI Dividend Yield Fund - Regular Plan - Income Distribution cum Capital Withdrawal (IDCW) Option;11.2116;25-Aug-2023")</f>
        <v>151477;INF200KA12W7;INF200KA13W5;SBI Dividend Yield Fund - Regular Plan - Income Distribution cum Capital Withdrawal (IDCW) Option;11.2116;25-Aug-2023</v>
      </c>
      <c r="B4407" s="1"/>
    </row>
    <row r="4408">
      <c r="A4408" s="1"/>
      <c r="B4408" s="1"/>
    </row>
    <row r="4409">
      <c r="A4409" s="1" t="str">
        <f>IFERROR(__xludf.DUMMYFUNCTION("""COMPUTED_VALUE"""),"Sundaram Mutual Fund")</f>
        <v>Sundaram Mutual Fund</v>
      </c>
      <c r="B4409" s="1"/>
    </row>
    <row r="4410">
      <c r="A4410" s="1"/>
      <c r="B4410" s="1"/>
    </row>
    <row r="4411">
      <c r="A4411" s="1" t="str">
        <f>IFERROR(__xludf.DUMMYFUNCTION("""COMPUTED_VALUE"""),"149700;INF173K01EV3;-;Sundaram Dividend Yield Fund (Formerly Known as Principal Dividend Yield Fund) - Direct Plan - Growth Option;104.3672;25-Aug-2023")</f>
        <v>149700;INF173K01EV3;-;Sundaram Dividend Yield Fund (Formerly Known as Principal Dividend Yield Fund) - Direct Plan - Growth Option;104.3672;25-Aug-2023</v>
      </c>
      <c r="B4411" s="1"/>
    </row>
    <row r="4412">
      <c r="A4412" s="1" t="str">
        <f>IFERROR(__xludf.DUMMYFUNCTION("""COMPUTED_VALUE"""),"149699;INF173K01ES9;INF173K01ET7;Sundaram Dividend Yield Fund (Formerly Known as Principal Dividend Yield Fund)- Direct Plan - Half Yearly Income Distribution CUM Capital Withdrawal Option;53.7763;25-Aug-2023")</f>
        <v>149699;INF173K01ES9;INF173K01ET7;Sundaram Dividend Yield Fund (Formerly Known as Principal Dividend Yield Fund)- Direct Plan - Half Yearly Income Distribution CUM Capital Withdrawal Option;53.7763;25-Aug-2023</v>
      </c>
      <c r="B4412" s="1"/>
    </row>
    <row r="4413">
      <c r="A4413" s="1" t="str">
        <f>IFERROR(__xludf.DUMMYFUNCTION("""COMPUTED_VALUE"""),"149698;INF173K01AD9;INF173K01AE7;Sundaram Dividend Yield Fund (Formerly Known as Principal Dividend Yield Fund)- Half Yearly Income Distribution CUM Capital Withdrawal Plan;32.9096;25-Aug-2023")</f>
        <v>149698;INF173K01AD9;INF173K01AE7;Sundaram Dividend Yield Fund (Formerly Known as Principal Dividend Yield Fund)- Half Yearly Income Distribution CUM Capital Withdrawal Plan;32.9096;25-Aug-2023</v>
      </c>
      <c r="B4413" s="1"/>
    </row>
    <row r="4414">
      <c r="A4414" s="1" t="str">
        <f>IFERROR(__xludf.DUMMYFUNCTION("""COMPUTED_VALUE"""),"149697;INF173K01AC1;-;Sundaram Dividend Yield Fund (Formerly Known as Principal Dividend Yield Fund)-Growth Plan;97.9623;25-Aug-2023")</f>
        <v>149697;INF173K01AC1;-;Sundaram Dividend Yield Fund (Formerly Known as Principal Dividend Yield Fund)-Growth Plan;97.9623;25-Aug-2023</v>
      </c>
      <c r="B4414" s="1"/>
    </row>
    <row r="4415">
      <c r="A4415" s="1"/>
      <c r="B4415" s="1"/>
    </row>
    <row r="4416">
      <c r="A4416" s="1" t="str">
        <f>IFERROR(__xludf.DUMMYFUNCTION("""COMPUTED_VALUE"""),"Tata Mutual Fund")</f>
        <v>Tata Mutual Fund</v>
      </c>
      <c r="B4416" s="1"/>
    </row>
    <row r="4417">
      <c r="A4417" s="1"/>
      <c r="B4417" s="1"/>
    </row>
    <row r="4418">
      <c r="A4418" s="1" t="str">
        <f>IFERROR(__xludf.DUMMYFUNCTION("""COMPUTED_VALUE"""),"148947;INF277K015Z8;-;Tata Dividend Yield Fund-Direct Plan-Growth;13.8655;25-Aug-2023")</f>
        <v>148947;INF277K015Z8;-;Tata Dividend Yield Fund-Direct Plan-Growth;13.8655;25-Aug-2023</v>
      </c>
      <c r="B4418" s="1"/>
    </row>
    <row r="4419">
      <c r="A4419" s="1" t="str">
        <f>IFERROR(__xludf.DUMMYFUNCTION("""COMPUTED_VALUE"""),"148952;INF277K017Z4;-;Tata Dividend Yield Fund-Direct Plan-IDCW Payout;13.8655;25-Aug-2023")</f>
        <v>148952;INF277K017Z4;-;Tata Dividend Yield Fund-Direct Plan-IDCW Payout;13.8655;25-Aug-2023</v>
      </c>
      <c r="B4419" s="1"/>
    </row>
    <row r="4420">
      <c r="A4420" s="1" t="str">
        <f>IFERROR(__xludf.DUMMYFUNCTION("""COMPUTED_VALUE"""),"148951;-;INF277K016Z6;Tata Dividend Yield Fund-Direct Plan-IDCW Reinvestment;13.8655;25-Aug-2023")</f>
        <v>148951;-;INF277K016Z6;Tata Dividend Yield Fund-Direct Plan-IDCW Reinvestment;13.8655;25-Aug-2023</v>
      </c>
      <c r="B4420" s="1"/>
    </row>
    <row r="4421">
      <c r="A4421" s="1" t="str">
        <f>IFERROR(__xludf.DUMMYFUNCTION("""COMPUTED_VALUE"""),"148948;INF277K018Z2;-;Tata Dividend Yield Fund-Regular Plan-Growth;13.2962;25-Aug-2023")</f>
        <v>148948;INF277K018Z2;-;Tata Dividend Yield Fund-Regular Plan-Growth;13.2962;25-Aug-2023</v>
      </c>
      <c r="B4421" s="1"/>
    </row>
    <row r="4422">
      <c r="A4422" s="1" t="str">
        <f>IFERROR(__xludf.DUMMYFUNCTION("""COMPUTED_VALUE"""),"148950;INF277KA1018;-;Tata Dividend Yield Fund-Regular Plan-IDCW Payout;13.2962;25-Aug-2023")</f>
        <v>148950;INF277KA1018;-;Tata Dividend Yield Fund-Regular Plan-IDCW Payout;13.2962;25-Aug-2023</v>
      </c>
      <c r="B4422" s="1"/>
    </row>
    <row r="4423">
      <c r="A4423" s="1" t="str">
        <f>IFERROR(__xludf.DUMMYFUNCTION("""COMPUTED_VALUE"""),"148949;-;INF277K019Z0;Tata Dividend Yield Fund-Regular Plan-IDCW Reinvestment;13.2962;25-Aug-2023")</f>
        <v>148949;-;INF277K019Z0;Tata Dividend Yield Fund-Regular Plan-IDCW Reinvestment;13.2962;25-Aug-2023</v>
      </c>
      <c r="B4423" s="1"/>
    </row>
    <row r="4424">
      <c r="A4424" s="1"/>
      <c r="B4424" s="1"/>
    </row>
    <row r="4425">
      <c r="A4425" s="1" t="str">
        <f>IFERROR(__xludf.DUMMYFUNCTION("""COMPUTED_VALUE"""),"UTI Mutual Fund")</f>
        <v>UTI Mutual Fund</v>
      </c>
      <c r="B4425" s="1"/>
    </row>
    <row r="4426">
      <c r="A4426" s="1"/>
      <c r="B4426" s="1"/>
    </row>
    <row r="4427">
      <c r="A4427" s="1" t="str">
        <f>IFERROR(__xludf.DUMMYFUNCTION("""COMPUTED_VALUE"""),"120750;INF789F01SU8;INF789F01SV6;UTI Dividend Yield Fund - Direct Plan - IDCW;28.4006;25-Aug-2023")</f>
        <v>120750;INF789F01SU8;INF789F01SV6;UTI Dividend Yield Fund - Direct Plan - IDCW;28.4006;25-Aug-2023</v>
      </c>
      <c r="B4427" s="1"/>
    </row>
    <row r="4428">
      <c r="A4428" s="1" t="str">
        <f>IFERROR(__xludf.DUMMYFUNCTION("""COMPUTED_VALUE"""),"103025;INF789F01448;INF789F01455;UTI Dividend Yield Fund - Regular Plan - IDCW;24.1482;25-Aug-2023")</f>
        <v>103025;INF789F01448;INF789F01455;UTI Dividend Yield Fund - Regular Plan - IDCW;24.1482;25-Aug-2023</v>
      </c>
      <c r="B4428" s="1"/>
    </row>
    <row r="4429">
      <c r="A4429" s="1" t="str">
        <f>IFERROR(__xludf.DUMMYFUNCTION("""COMPUTED_VALUE"""),"103026;INF789F01463;-;UTI-Dividend Yield Fund.-Growth;119.2136;25-Aug-2023")</f>
        <v>103026;INF789F01463;-;UTI-Dividend Yield Fund.-Growth;119.2136;25-Aug-2023</v>
      </c>
      <c r="B4429" s="1"/>
    </row>
    <row r="4430">
      <c r="A4430" s="1" t="str">
        <f>IFERROR(__xludf.DUMMYFUNCTION("""COMPUTED_VALUE"""),"120749;INF789F01SW4;-;UTI-Dividend Yield Fund.-Growth-Direct;127.2181;25-Aug-2023")</f>
        <v>120749;INF789F01SW4;-;UTI-Dividend Yield Fund.-Growth-Direct;127.2181;25-Aug-2023</v>
      </c>
      <c r="B4430" s="1"/>
    </row>
    <row r="4431">
      <c r="A4431" s="1"/>
      <c r="B4431" s="1"/>
    </row>
    <row r="4432">
      <c r="A4432" s="1" t="str">
        <f>IFERROR(__xludf.DUMMYFUNCTION("""COMPUTED_VALUE"""),"Open Ended Schemes(Equity Scheme - ELSS)")</f>
        <v>Open Ended Schemes(Equity Scheme - ELSS)</v>
      </c>
      <c r="B4432" s="1"/>
    </row>
    <row r="4433">
      <c r="A4433" s="1"/>
      <c r="B4433" s="1"/>
    </row>
    <row r="4434">
      <c r="A4434" s="1" t="str">
        <f>IFERROR(__xludf.DUMMYFUNCTION("""COMPUTED_VALUE"""),"360 ONE Mutual Fund (Formerly Known as IIFL Mutual Fund)")</f>
        <v>360 ONE Mutual Fund (Formerly Known as IIFL Mutual Fund)</v>
      </c>
      <c r="B4434" s="1"/>
    </row>
    <row r="4435">
      <c r="A4435" s="1"/>
      <c r="B4435" s="1"/>
    </row>
    <row r="4436">
      <c r="A4436" s="1" t="str">
        <f>IFERROR(__xludf.DUMMYFUNCTION("""COMPUTED_VALUE"""),"151165;INF579M01AN2;-;360 ONE ELSS Nifty 50 Tax Saver Index Fund - Direct Plan - Growth;10.6829;25-Aug-2023")</f>
        <v>151165;INF579M01AN2;-;360 ONE ELSS Nifty 50 Tax Saver Index Fund - Direct Plan - Growth;10.6829;25-Aug-2023</v>
      </c>
      <c r="B4436" s="1"/>
    </row>
    <row r="4437">
      <c r="A4437" s="1" t="str">
        <f>IFERROR(__xludf.DUMMYFUNCTION("""COMPUTED_VALUE"""),"151166;INF579M01AO0;-;360 ONE ELSS Nifty 50 Tax Saver Index Fund - Direct Plan - IDCW Payout;10.6829;25-Aug-2023")</f>
        <v>151166;INF579M01AO0;-;360 ONE ELSS Nifty 50 Tax Saver Index Fund - Direct Plan - IDCW Payout;10.6829;25-Aug-2023</v>
      </c>
      <c r="B4437" s="1"/>
    </row>
    <row r="4438">
      <c r="A4438" s="1" t="str">
        <f>IFERROR(__xludf.DUMMYFUNCTION("""COMPUTED_VALUE"""),"151164;INF579M01AL6;-;360 ONE ELSS Nifty 50 Tax Saver Index Fund - Regular Plan - Growth;10.6653;25-Aug-2023")</f>
        <v>151164;INF579M01AL6;-;360 ONE ELSS Nifty 50 Tax Saver Index Fund - Regular Plan - Growth;10.6653;25-Aug-2023</v>
      </c>
      <c r="B4438" s="1"/>
    </row>
    <row r="4439">
      <c r="A4439" s="1" t="str">
        <f>IFERROR(__xludf.DUMMYFUNCTION("""COMPUTED_VALUE"""),"151167;INF579M01AM4;-;360 ONE ELSS Nifty 50 Tax Saver Index Fund - Regular Plan - IDCW Payout;10.6653;25-Aug-2023")</f>
        <v>151167;INF579M01AM4;-;360 ONE ELSS Nifty 50 Tax Saver Index Fund - Regular Plan - IDCW Payout;10.6653;25-Aug-2023</v>
      </c>
      <c r="B4439" s="1"/>
    </row>
    <row r="4440">
      <c r="A4440" s="1"/>
      <c r="B4440" s="1"/>
    </row>
    <row r="4441">
      <c r="A4441" s="1" t="str">
        <f>IFERROR(__xludf.DUMMYFUNCTION("""COMPUTED_VALUE"""),"Aditya Birla Sun Life Mutual Fund")</f>
        <v>Aditya Birla Sun Life Mutual Fund</v>
      </c>
      <c r="B4441" s="1"/>
    </row>
    <row r="4442">
      <c r="A4442" s="1"/>
      <c r="B4442" s="1"/>
    </row>
    <row r="4443">
      <c r="A4443" s="1" t="str">
        <f>IFERROR(__xludf.DUMMYFUNCTION("""COMPUTED_VALUE"""),"119544;INF209K01UN8;-;Aditya Birla Sun Life ELSS Tax Relief '96 - Growth - Direct Plan;48.51;25-Aug-2023")</f>
        <v>119544;INF209K01UN8;-;Aditya Birla Sun Life ELSS Tax Relief '96 - Growth - Direct Plan;48.51;25-Aug-2023</v>
      </c>
      <c r="B4443" s="1"/>
    </row>
    <row r="4444">
      <c r="A4444" s="1" t="str">
        <f>IFERROR(__xludf.DUMMYFUNCTION("""COMPUTED_VALUE"""),"107745;INF209K01108;-;Aditya Birla Sun Life ELSS Tax Relief '96 - Growth Option;44.08;25-Aug-2023")</f>
        <v>107745;INF209K01108;-;Aditya Birla Sun Life ELSS Tax Relief '96 - Growth Option;44.08;25-Aug-2023</v>
      </c>
      <c r="B4444" s="1"/>
    </row>
    <row r="4445">
      <c r="A4445" s="1" t="str">
        <f>IFERROR(__xludf.DUMMYFUNCTION("""COMPUTED_VALUE"""),"119543;INF209K01P23;INF209K01UM0;Aditya Birla Sun Life ELSS Tax Relief '96 -DIRECT - IDCW;334.52;25-Aug-2023")</f>
        <v>119543;INF209K01P23;INF209K01UM0;Aditya Birla Sun Life ELSS Tax Relief '96 -DIRECT - IDCW;334.52;25-Aug-2023</v>
      </c>
      <c r="B4445" s="1"/>
    </row>
    <row r="4446">
      <c r="A4446" s="1" t="str">
        <f>IFERROR(__xludf.DUMMYFUNCTION("""COMPUTED_VALUE"""),"103164;INF209K01090;INF209K01CB1;Aditya Birla Sun Life ELSS Tax Relief '96 -Regular - IDCW;166.52;25-Aug-2023")</f>
        <v>103164;INF209K01090;INF209K01CB1;Aditya Birla Sun Life ELSS Tax Relief '96 -Regular - IDCW;166.52;25-Aug-2023</v>
      </c>
      <c r="B4446" s="1"/>
    </row>
    <row r="4447">
      <c r="A4447" s="1"/>
      <c r="B4447" s="1"/>
    </row>
    <row r="4448">
      <c r="A4448" s="1" t="str">
        <f>IFERROR(__xludf.DUMMYFUNCTION("""COMPUTED_VALUE"""),"Axis Mutual Fund")</f>
        <v>Axis Mutual Fund</v>
      </c>
      <c r="B4448" s="1"/>
    </row>
    <row r="4449">
      <c r="A4449" s="1"/>
      <c r="B4449" s="1"/>
    </row>
    <row r="4450">
      <c r="A4450" s="1" t="str">
        <f>IFERROR(__xludf.DUMMYFUNCTION("""COMPUTED_VALUE"""),"120503;INF846K01EW2;-;Axis Long Term Equity Fund - Direct Plan - Growth Option;77.7906;25-Aug-2023")</f>
        <v>120503;INF846K01EW2;-;Axis Long Term Equity Fund - Direct Plan - Growth Option;77.7906;25-Aug-2023</v>
      </c>
      <c r="B4450" s="1"/>
    </row>
    <row r="4451">
      <c r="A4451" s="1" t="str">
        <f>IFERROR(__xludf.DUMMYFUNCTION("""COMPUTED_VALUE"""),"120502;INF846K01EX0;INF846K01EY8;Axis Long Term Equity Fund - Direct Plan - IDCW;46.6456;25-Aug-2023")</f>
        <v>120502;INF846K01EX0;INF846K01EY8;Axis Long Term Equity Fund - Direct Plan - IDCW;46.6456;25-Aug-2023</v>
      </c>
      <c r="B4451" s="1"/>
    </row>
    <row r="4452">
      <c r="A4452" s="1" t="str">
        <f>IFERROR(__xludf.DUMMYFUNCTION("""COMPUTED_VALUE"""),"112323;INF846K01131;-;Axis Long Term Equity Fund - Regular Plan - Growth;69.8563;25-Aug-2023")</f>
        <v>112323;INF846K01131;-;Axis Long Term Equity Fund - Regular Plan - Growth;69.8563;25-Aug-2023</v>
      </c>
      <c r="B4452" s="1"/>
    </row>
    <row r="4453">
      <c r="A4453" s="1" t="str">
        <f>IFERROR(__xludf.DUMMYFUNCTION("""COMPUTED_VALUE"""),"112322;INF846K01149;INF846K01156;Axis Long Term Equity Fund - Regular Plan - IDCW;22.1309;25-Aug-2023")</f>
        <v>112322;INF846K01149;INF846K01156;Axis Long Term Equity Fund - Regular Plan - IDCW;22.1309;25-Aug-2023</v>
      </c>
      <c r="B4453" s="1"/>
    </row>
    <row r="4454">
      <c r="A4454" s="1"/>
      <c r="B4454" s="1"/>
    </row>
    <row r="4455">
      <c r="A4455" s="1" t="str">
        <f>IFERROR(__xludf.DUMMYFUNCTION("""COMPUTED_VALUE"""),"Bandhan Mutual Fund")</f>
        <v>Bandhan Mutual Fund</v>
      </c>
      <c r="B4455" s="1"/>
    </row>
    <row r="4456">
      <c r="A4456" s="1"/>
      <c r="B4456" s="1"/>
    </row>
    <row r="4457">
      <c r="A4457" s="1" t="str">
        <f>IFERROR(__xludf.DUMMYFUNCTION("""COMPUTED_VALUE"""),"111569;INF194K01292;-;BANDHAN Tax Advantage (ELSS) Fund - Regular Plan - Growth;116.883;25-Aug-2023")</f>
        <v>111569;INF194K01292;-;BANDHAN Tax Advantage (ELSS) Fund - Regular Plan - Growth;116.883;25-Aug-2023</v>
      </c>
      <c r="B4457" s="1"/>
    </row>
    <row r="4458">
      <c r="A4458" s="1" t="str">
        <f>IFERROR(__xludf.DUMMYFUNCTION("""COMPUTED_VALUE"""),"111570;INF194K01300;INF194K01318;BANDHAN Tax Advantage (ELSS) Fund - Regular Plan - IDCW;29.171;25-Aug-2023")</f>
        <v>111570;INF194K01300;INF194K01318;BANDHAN Tax Advantage (ELSS) Fund - Regular Plan - IDCW;29.171;25-Aug-2023</v>
      </c>
      <c r="B4458" s="1"/>
    </row>
    <row r="4459">
      <c r="A4459" s="1" t="str">
        <f>IFERROR(__xludf.DUMMYFUNCTION("""COMPUTED_VALUE"""),"118473;INF194K01Y29;-;BANDHAN Tax Advantage (ELSS) Fund-Direct Plan-Growth;131.424;25-Aug-2023")</f>
        <v>118473;INF194K01Y29;-;BANDHAN Tax Advantage (ELSS) Fund-Direct Plan-Growth;131.424;25-Aug-2023</v>
      </c>
      <c r="B4459" s="1"/>
    </row>
    <row r="4460">
      <c r="A4460" s="1" t="str">
        <f>IFERROR(__xludf.DUMMYFUNCTION("""COMPUTED_VALUE"""),"118472;INF194K01Y37;INF194K01Y45;BANDHAN Tax Advantage (ELSS) Fund-Direct Plan-IDCW;37.579;25-Aug-2023")</f>
        <v>118472;INF194K01Y37;INF194K01Y45;BANDHAN Tax Advantage (ELSS) Fund-Direct Plan-IDCW;37.579;25-Aug-2023</v>
      </c>
      <c r="B4460" s="1"/>
    </row>
    <row r="4461">
      <c r="A4461" s="1"/>
      <c r="B4461" s="1"/>
    </row>
    <row r="4462">
      <c r="A4462" s="1" t="str">
        <f>IFERROR(__xludf.DUMMYFUNCTION("""COMPUTED_VALUE"""),"Bank of India Mutual Fund")</f>
        <v>Bank of India Mutual Fund</v>
      </c>
      <c r="B4462" s="1"/>
    </row>
    <row r="4463">
      <c r="A4463" s="1"/>
      <c r="B4463" s="1"/>
    </row>
    <row r="4464">
      <c r="A4464" s="1" t="str">
        <f>IFERROR(__xludf.DUMMYFUNCTION("""COMPUTED_VALUE"""),"119351;INF761K01884;-;BANK OF INDIA Tax Advantage Fund-Direct Plan- Growth;129.50;25-Aug-2023")</f>
        <v>119351;INF761K01884;-;BANK OF INDIA Tax Advantage Fund-Direct Plan- Growth;129.50;25-Aug-2023</v>
      </c>
      <c r="B4464" s="1"/>
    </row>
    <row r="4465">
      <c r="A4465" s="1" t="str">
        <f>IFERROR(__xludf.DUMMYFUNCTION("""COMPUTED_VALUE"""),"119352;INF761K01876;INF761K01868;BANK OF INDIA Tax Advantage Fund-Direct Plan-IDCW;51.72;25-Aug-2023")</f>
        <v>119352;INF761K01876;INF761K01868;BANK OF INDIA Tax Advantage Fund-Direct Plan-IDCW;51.72;25-Aug-2023</v>
      </c>
      <c r="B4465" s="1"/>
    </row>
    <row r="4466">
      <c r="A4466" s="1" t="str">
        <f>IFERROR(__xludf.DUMMYFUNCTION("""COMPUTED_VALUE"""),"111709;INF761K01157;-;BANK OF INDIA Tax Advantage Fund-ECO Plan-Growth;122.23;25-Aug-2023")</f>
        <v>111709;INF761K01157;-;BANK OF INDIA Tax Advantage Fund-ECO Plan-Growth;122.23;25-Aug-2023</v>
      </c>
      <c r="B4466" s="1"/>
    </row>
    <row r="4467">
      <c r="A4467" s="1" t="str">
        <f>IFERROR(__xludf.DUMMYFUNCTION("""COMPUTED_VALUE"""),"111711;INF761K01132;INF761K01140;BANK OF INDIA Tax Advantage Fund-ECO Plan-IDCW;20.29;25-Aug-2023")</f>
        <v>111711;INF761K01132;INF761K01140;BANK OF INDIA Tax Advantage Fund-ECO Plan-IDCW;20.29;25-Aug-2023</v>
      </c>
      <c r="B4467" s="1"/>
    </row>
    <row r="4468">
      <c r="A4468" s="1" t="str">
        <f>IFERROR(__xludf.DUMMYFUNCTION("""COMPUTED_VALUE"""),"111710;INF761K01181;-;BANK OF INDIA Tax Advantage Fund-Regular Plan- Growth;113.54;25-Aug-2023")</f>
        <v>111710;INF761K01181;-;BANK OF INDIA Tax Advantage Fund-Regular Plan- Growth;113.54;25-Aug-2023</v>
      </c>
      <c r="B4468" s="1"/>
    </row>
    <row r="4469">
      <c r="A4469" s="1" t="str">
        <f>IFERROR(__xludf.DUMMYFUNCTION("""COMPUTED_VALUE"""),"111708;INF761K01165;INF761K01173;BANK OF INDIA Tax Advantage Fund-Regular Plan-IDCW;21.87;25-Aug-2023")</f>
        <v>111708;INF761K01165;INF761K01173;BANK OF INDIA Tax Advantage Fund-Regular Plan-IDCW;21.87;25-Aug-2023</v>
      </c>
      <c r="B4469" s="1"/>
    </row>
    <row r="4470">
      <c r="A4470" s="1"/>
      <c r="B4470" s="1"/>
    </row>
    <row r="4471">
      <c r="A4471" s="1" t="str">
        <f>IFERROR(__xludf.DUMMYFUNCTION("""COMPUTED_VALUE"""),"Baroda BNP Paribas Mutual Fund")</f>
        <v>Baroda BNP Paribas Mutual Fund</v>
      </c>
      <c r="B4471" s="1"/>
    </row>
    <row r="4472">
      <c r="A4472" s="1"/>
      <c r="B4472" s="1"/>
    </row>
    <row r="4473">
      <c r="A4473" s="1" t="str">
        <f>IFERROR(__xludf.DUMMYFUNCTION("""COMPUTED_VALUE"""),"150159;INF251K01HF3;-;BARODA BNP PARIBAS ELSS Fund - Direct Plan - Growth Option;71.9131;25-Aug-2023")</f>
        <v>150159;INF251K01HF3;-;BARODA BNP PARIBAS ELSS Fund - Direct Plan - Growth Option;71.9131;25-Aug-2023</v>
      </c>
      <c r="B4473" s="1"/>
    </row>
    <row r="4474">
      <c r="A4474" s="1" t="str">
        <f>IFERROR(__xludf.DUMMYFUNCTION("""COMPUTED_VALUE"""),"150158;INF251K01HH9;INF251K01HG1;BARODA BNP PARIBAS ELSS Fund - Direct Plan - IDCW Option;23.3381;25-Aug-2023")</f>
        <v>150158;INF251K01HH9;INF251K01HG1;BARODA BNP PARIBAS ELSS Fund - Direct Plan - IDCW Option;23.3381;25-Aug-2023</v>
      </c>
      <c r="B4474" s="1"/>
    </row>
    <row r="4475">
      <c r="A4475" s="1" t="str">
        <f>IFERROR(__xludf.DUMMYFUNCTION("""COMPUTED_VALUE"""),"150156;INF251K01985;-;BARODA BNP PARIBAS ELSS Fund - Regular - Growth Option;65.2736;25-Aug-2023")</f>
        <v>150156;INF251K01985;-;BARODA BNP PARIBAS ELSS Fund - Regular - Growth Option;65.2736;25-Aug-2023</v>
      </c>
      <c r="B4475" s="1"/>
    </row>
    <row r="4476">
      <c r="A4476" s="1" t="str">
        <f>IFERROR(__xludf.DUMMYFUNCTION("""COMPUTED_VALUE"""),"150157;INF251K01AA9;INF251K01993;BARODA BNP PARIBAS ELSS Fund- Regular - IDCW Option;18.8199;25-Aug-2023")</f>
        <v>150157;INF251K01AA9;INF251K01993;BARODA BNP PARIBAS ELSS Fund- Regular - IDCW Option;18.8199;25-Aug-2023</v>
      </c>
      <c r="B4476" s="1"/>
    </row>
    <row r="4477">
      <c r="A4477" s="1"/>
      <c r="B4477" s="1"/>
    </row>
    <row r="4478">
      <c r="A4478" s="1" t="str">
        <f>IFERROR(__xludf.DUMMYFUNCTION("""COMPUTED_VALUE"""),"Canara Robeco Mutual Fund")</f>
        <v>Canara Robeco Mutual Fund</v>
      </c>
      <c r="B4478" s="1"/>
    </row>
    <row r="4479">
      <c r="A4479" s="1"/>
      <c r="B4479" s="1"/>
    </row>
    <row r="4480">
      <c r="A4480" s="1" t="str">
        <f>IFERROR(__xludf.DUMMYFUNCTION("""COMPUTED_VALUE"""),"118285;INF760K01EL8;-;CANARA ROBECO EQUITY TAX SAVER FUND - DIRECT PLAN - GROWTH OPTION;139.7200;25-Aug-2023")</f>
        <v>118285;INF760K01EL8;-;CANARA ROBECO EQUITY TAX SAVER FUND - DIRECT PLAN - GROWTH OPTION;139.7200;25-Aug-2023</v>
      </c>
      <c r="B4480" s="1"/>
    </row>
    <row r="4481">
      <c r="A4481" s="1" t="str">
        <f>IFERROR(__xludf.DUMMYFUNCTION("""COMPUTED_VALUE"""),"118286;INF760K01EJ2;INF760K01EK0;CANARA ROBECO EQUITY TAX SAVER FUND - DIRECT PLAN - IDCW (Payout);63.0200;25-Aug-2023")</f>
        <v>118286;INF760K01EJ2;INF760K01EK0;CANARA ROBECO EQUITY TAX SAVER FUND - DIRECT PLAN - IDCW (Payout);63.0200;25-Aug-2023</v>
      </c>
      <c r="B4481" s="1"/>
    </row>
    <row r="4482">
      <c r="A4482" s="1" t="str">
        <f>IFERROR(__xludf.DUMMYFUNCTION("""COMPUTED_VALUE"""),"111722;INF760K01100;-;CANARA ROBECO EQUITY TAX SAVER FUND - REGULAR PLAN - GROWTH OPTION;127.7900;25-Aug-2023")</f>
        <v>111722;INF760K01100;-;CANARA ROBECO EQUITY TAX SAVER FUND - REGULAR PLAN - GROWTH OPTION;127.7900;25-Aug-2023</v>
      </c>
      <c r="B4482" s="1"/>
    </row>
    <row r="4483">
      <c r="A4483" s="1" t="str">
        <f>IFERROR(__xludf.DUMMYFUNCTION("""COMPUTED_VALUE"""),"100593;INF760K01084;INF760K01092;CANARA ROBECO EQUITY TAX SAVER FUND - REGULAR PLAN -IDCW (Payout);39.7700;25-Aug-2023")</f>
        <v>100593;INF760K01084;INF760K01092;CANARA ROBECO EQUITY TAX SAVER FUND - REGULAR PLAN -IDCW (Payout);39.7700;25-Aug-2023</v>
      </c>
      <c r="B4483" s="1"/>
    </row>
    <row r="4484">
      <c r="A4484" s="1"/>
      <c r="B4484" s="1"/>
    </row>
    <row r="4485">
      <c r="A4485" s="1" t="str">
        <f>IFERROR(__xludf.DUMMYFUNCTION("""COMPUTED_VALUE"""),"DSP Mutual Fund")</f>
        <v>DSP Mutual Fund</v>
      </c>
      <c r="B4485" s="1"/>
    </row>
    <row r="4486">
      <c r="A4486" s="1"/>
      <c r="B4486" s="1"/>
    </row>
    <row r="4487">
      <c r="A4487" s="1" t="str">
        <f>IFERROR(__xludf.DUMMYFUNCTION("""COMPUTED_VALUE"""),"119242;INF740K01OK1;-;DSP Tax Saver Fund - Direct Plan - Growth;102.591;25-Aug-2023")</f>
        <v>119242;INF740K01OK1;-;DSP Tax Saver Fund - Direct Plan - Growth;102.591;25-Aug-2023</v>
      </c>
      <c r="B4487" s="1"/>
    </row>
    <row r="4488">
      <c r="A4488" s="1" t="str">
        <f>IFERROR(__xludf.DUMMYFUNCTION("""COMPUTED_VALUE"""),"119241;INF740K01OL9;INF740K01OM7;DSP Tax Saver Fund - Direct Plan - IDCW;65.502;25-Aug-2023")</f>
        <v>119241;INF740K01OL9;INF740K01OM7;DSP Tax Saver Fund - Direct Plan - IDCW;65.502;25-Aug-2023</v>
      </c>
      <c r="B4488" s="1"/>
    </row>
    <row r="4489">
      <c r="A4489" s="1" t="str">
        <f>IFERROR(__xludf.DUMMYFUNCTION("""COMPUTED_VALUE"""),"104772;INF740K01185;-;DSP Tax Saver Fund - Regular Plan - Growth;94.006;25-Aug-2023")</f>
        <v>104772;INF740K01185;-;DSP Tax Saver Fund - Regular Plan - Growth;94.006;25-Aug-2023</v>
      </c>
      <c r="B4489" s="1"/>
    </row>
    <row r="4490">
      <c r="A4490" s="1" t="str">
        <f>IFERROR(__xludf.DUMMYFUNCTION("""COMPUTED_VALUE"""),"104773;INF740K01169;INF740K01177;DSP Tax Saver Fund - Regular Plan - IDCW;19.684;25-Aug-2023")</f>
        <v>104773;INF740K01169;INF740K01177;DSP Tax Saver Fund - Regular Plan - IDCW;19.684;25-Aug-2023</v>
      </c>
      <c r="B4490" s="1"/>
    </row>
    <row r="4491">
      <c r="A4491" s="1"/>
      <c r="B4491" s="1"/>
    </row>
    <row r="4492">
      <c r="A4492" s="1" t="str">
        <f>IFERROR(__xludf.DUMMYFUNCTION("""COMPUTED_VALUE"""),"Edelweiss Mutual Fund")</f>
        <v>Edelweiss Mutual Fund</v>
      </c>
      <c r="B4492" s="1"/>
    </row>
    <row r="4493">
      <c r="A4493" s="1"/>
      <c r="B4493" s="1"/>
    </row>
    <row r="4494">
      <c r="A4494" s="1" t="str">
        <f>IFERROR(__xludf.DUMMYFUNCTION("""COMPUTED_VALUE"""),"118620;INF754K01CA8;-;Edelweiss Long Term Equity Fund (Tax Savings) - Direct Plan-Growth Option;91.48;25-Aug-2023")</f>
        <v>118620;INF754K01CA8;-;Edelweiss Long Term Equity Fund (Tax Savings) - Direct Plan-Growth Option;91.48;25-Aug-2023</v>
      </c>
      <c r="B4494" s="1"/>
    </row>
    <row r="4495">
      <c r="A4495" s="1" t="str">
        <f>IFERROR(__xludf.DUMMYFUNCTION("""COMPUTED_VALUE"""),"111638;INF754K01517;-;Edelweiss Long Term Equity Fund (Tax Savings) - Regular Plan - Growth Option;79.81;25-Aug-2023")</f>
        <v>111638;INF754K01517;-;Edelweiss Long Term Equity Fund (Tax Savings) - Regular Plan - Growth Option;79.81;25-Aug-2023</v>
      </c>
      <c r="B4495" s="1"/>
    </row>
    <row r="4496">
      <c r="A4496" s="1" t="str">
        <f>IFERROR(__xludf.DUMMYFUNCTION("""COMPUTED_VALUE"""),"118619;INF754K01BX2;INF754K01BY0;Edelweiss Long Term Equity Savings Fund (Tax Savings) - Direct Plan - IDCW Option;31.3;25-Aug-2023")</f>
        <v>118619;INF754K01BX2;INF754K01BY0;Edelweiss Long Term Equity Savings Fund (Tax Savings) - Direct Plan - IDCW Option;31.3;25-Aug-2023</v>
      </c>
      <c r="B4496" s="1"/>
    </row>
    <row r="4497">
      <c r="A4497" s="1" t="str">
        <f>IFERROR(__xludf.DUMMYFUNCTION("""COMPUTED_VALUE"""),"111639;INF754K01525;INF754K01541;Edelweiss Long Term Equity Savings Fund (Tax Savings) - Regular Plan - IDCW Option;21.73;25-Aug-2023")</f>
        <v>111639;INF754K01525;INF754K01541;Edelweiss Long Term Equity Savings Fund (Tax Savings) - Regular Plan - IDCW Option;21.73;25-Aug-2023</v>
      </c>
      <c r="B4497" s="1"/>
    </row>
    <row r="4498">
      <c r="A4498" s="1"/>
      <c r="B4498" s="1"/>
    </row>
    <row r="4499">
      <c r="A4499" s="1" t="str">
        <f>IFERROR(__xludf.DUMMYFUNCTION("""COMPUTED_VALUE"""),"Franklin Templeton Mutual Fund")</f>
        <v>Franklin Templeton Mutual Fund</v>
      </c>
      <c r="B4499" s="1"/>
    </row>
    <row r="4500">
      <c r="A4500" s="1"/>
      <c r="B4500" s="1"/>
    </row>
    <row r="4501">
      <c r="A4501" s="1" t="str">
        <f>IFERROR(__xludf.DUMMYFUNCTION("""COMPUTED_VALUE"""),"118540;INF090I01JS8;-;Franklin India TAXSHIELD - Direct - Growth;1121.8862;25-Aug-2023")</f>
        <v>118540;INF090I01JS8;-;Franklin India TAXSHIELD - Direct - Growth;1121.8862;25-Aug-2023</v>
      </c>
      <c r="B4501" s="1"/>
    </row>
    <row r="4502">
      <c r="A4502" s="1" t="str">
        <f>IFERROR(__xludf.DUMMYFUNCTION("""COMPUTED_VALUE"""),"118541;INF090I01JT6;INF090I01JU4;Franklin India TAXSHIELD - Direct - IDCW ;60.5674;25-Aug-2023")</f>
        <v>118541;INF090I01JT6;INF090I01JU4;Franklin India TAXSHIELD - Direct - IDCW ;60.5674;25-Aug-2023</v>
      </c>
      <c r="B4502" s="1"/>
    </row>
    <row r="4503">
      <c r="A4503" s="1" t="str">
        <f>IFERROR(__xludf.DUMMYFUNCTION("""COMPUTED_VALUE"""),"100525;INF090I01783;INF090I01791;Franklin India TAXSHIELD - IDCW ;52.8378;25-Aug-2023")</f>
        <v>100525;INF090I01783;INF090I01791;Franklin India TAXSHIELD - IDCW ;52.8378;25-Aug-2023</v>
      </c>
      <c r="B4503" s="1"/>
    </row>
    <row r="4504">
      <c r="A4504" s="1" t="str">
        <f>IFERROR(__xludf.DUMMYFUNCTION("""COMPUTED_VALUE"""),"100526;INF090I01775;-;Franklin India Taxshield-Growth;1021.3776;25-Aug-2023")</f>
        <v>100526;INF090I01775;-;Franklin India Taxshield-Growth;1021.3776;25-Aug-2023</v>
      </c>
      <c r="B4504" s="1"/>
    </row>
    <row r="4505">
      <c r="A4505" s="1"/>
      <c r="B4505" s="1"/>
    </row>
    <row r="4506">
      <c r="A4506" s="1" t="str">
        <f>IFERROR(__xludf.DUMMYFUNCTION("""COMPUTED_VALUE"""),"Groww Mutual Fund")</f>
        <v>Groww Mutual Fund</v>
      </c>
      <c r="B4506" s="1"/>
    </row>
    <row r="4507">
      <c r="A4507" s="1"/>
      <c r="B4507" s="1"/>
    </row>
    <row r="4508">
      <c r="A4508" s="1" t="str">
        <f>IFERROR(__xludf.DUMMYFUNCTION("""COMPUTED_VALUE"""),"141807;INF666M01DL5;-;Groww ELSS Tax Saver Fund (formerly known as Indiabulls Tax Savings Fund)- Direct Plan- Dividend Option;15.96;25-Aug-2023")</f>
        <v>141807;INF666M01DL5;-;Groww ELSS Tax Saver Fund (formerly known as Indiabulls Tax Savings Fund)- Direct Plan- Dividend Option;15.96;25-Aug-2023</v>
      </c>
      <c r="B4508" s="1"/>
    </row>
    <row r="4509">
      <c r="A4509" s="1" t="str">
        <f>IFERROR(__xludf.DUMMYFUNCTION("""COMPUTED_VALUE"""),"141808;INF666M01DK7;-;Groww ELSS Tax Saver Fund (formerly known as Indiabulls Tax Savings Fund)- Direct Plan- Growth Option;15.98;25-Aug-2023")</f>
        <v>141808;INF666M01DK7;-;Groww ELSS Tax Saver Fund (formerly known as Indiabulls Tax Savings Fund)- Direct Plan- Growth Option;15.98;25-Aug-2023</v>
      </c>
      <c r="B4509" s="1"/>
    </row>
    <row r="4510">
      <c r="A4510" s="1" t="str">
        <f>IFERROR(__xludf.DUMMYFUNCTION("""COMPUTED_VALUE"""),"141810;INF666M01DO9;-;Groww ELSS Tax Saver Fund (formerly known as Indiabulls Tax Savings Fund)- Regular Plan- - Income Distribution cum capital withdrawal Option (Payout);14.52;25-Aug-2023")</f>
        <v>141810;INF666M01DO9;-;Groww ELSS Tax Saver Fund (formerly known as Indiabulls Tax Savings Fund)- Regular Plan- - Income Distribution cum capital withdrawal Option (Payout);14.52;25-Aug-2023</v>
      </c>
      <c r="B4510" s="1"/>
    </row>
    <row r="4511">
      <c r="A4511" s="1" t="str">
        <f>IFERROR(__xludf.DUMMYFUNCTION("""COMPUTED_VALUE"""),"141862;INF666M01DN1;-;Groww ELSS Tax Saver Fund (formerly known as Indiabulls Tax Savings Fund)-Regular Plan-Growth Option;14.52;25-Aug-2023")</f>
        <v>141862;INF666M01DN1;-;Groww ELSS Tax Saver Fund (formerly known as Indiabulls Tax Savings Fund)-Regular Plan-Growth Option;14.52;25-Aug-2023</v>
      </c>
      <c r="B4511" s="1"/>
    </row>
    <row r="4512">
      <c r="A4512" s="1"/>
      <c r="B4512" s="1"/>
    </row>
    <row r="4513">
      <c r="A4513" s="1" t="str">
        <f>IFERROR(__xludf.DUMMYFUNCTION("""COMPUTED_VALUE"""),"HDFC Mutual Fund")</f>
        <v>HDFC Mutual Fund</v>
      </c>
      <c r="B4513" s="1"/>
    </row>
    <row r="4514">
      <c r="A4514" s="1"/>
      <c r="B4514" s="1"/>
    </row>
    <row r="4515">
      <c r="A4515" s="1" t="str">
        <f>IFERROR(__xludf.DUMMYFUNCTION("""COMPUTED_VALUE"""),"118929;INF179K01WX8;-;HDFC Long Term Advantage Plan - Growth Option - Direct Plan;625.385;14-Jan-2022")</f>
        <v>118929;INF179K01WX8;-;HDFC Long Term Advantage Plan - Growth Option - Direct Plan;625.385;14-Jan-2022</v>
      </c>
      <c r="B4515" s="1"/>
    </row>
    <row r="4516">
      <c r="A4516" s="1" t="str">
        <f>IFERROR(__xludf.DUMMYFUNCTION("""COMPUTED_VALUE"""),"100998;INF179K01996;-;HDFC Long Term Advantage Plan - Growth Plan;595.168;14-Jan-2022")</f>
        <v>100998;INF179K01996;-;HDFC Long Term Advantage Plan - Growth Plan;595.168;14-Jan-2022</v>
      </c>
      <c r="B4516" s="1"/>
    </row>
    <row r="4517">
      <c r="A4517" s="1" t="str">
        <f>IFERROR(__xludf.DUMMYFUNCTION("""COMPUTED_VALUE"""),"118928;INF179K01WV2;INF179K01WW0;HDFC Long Term Advantage Plan - IDCW Option - Direct Plan;57.515;14-Jan-2022")</f>
        <v>118928;INF179K01WV2;INF179K01WW0;HDFC Long Term Advantage Plan - IDCW Option - Direct Plan;57.515;14-Jan-2022</v>
      </c>
      <c r="B4517" s="1"/>
    </row>
    <row r="4518">
      <c r="A4518" s="1" t="str">
        <f>IFERROR(__xludf.DUMMYFUNCTION("""COMPUTED_VALUE"""),"100997;INF179K01970;INF179K01988;HDFC Long Term Advantage Plan - IDCW Plan;51.722;14-Jan-2022")</f>
        <v>100997;INF179K01970;INF179K01988;HDFC Long Term Advantage Plan - IDCW Plan;51.722;14-Jan-2022</v>
      </c>
      <c r="B4518" s="1"/>
    </row>
    <row r="4519">
      <c r="A4519" s="1" t="str">
        <f>IFERROR(__xludf.DUMMYFUNCTION("""COMPUTED_VALUE"""),"119060;INF179K01YS4;-;HDFC Taxsaver - Growth Option - Direct Plan;989.86;25-Aug-2023")</f>
        <v>119060;INF179K01YS4;-;HDFC Taxsaver - Growth Option - Direct Plan;989.86;25-Aug-2023</v>
      </c>
      <c r="B4519" s="1"/>
    </row>
    <row r="4520">
      <c r="A4520" s="1" t="str">
        <f>IFERROR(__xludf.DUMMYFUNCTION("""COMPUTED_VALUE"""),"101979;INF179K01BB8;-;HDFC Taxsaver - Growth Plan;927.323;25-Aug-2023")</f>
        <v>101979;INF179K01BB8;-;HDFC Taxsaver - Growth Plan;927.323;25-Aug-2023</v>
      </c>
      <c r="B4520" s="1"/>
    </row>
    <row r="4521">
      <c r="A4521" s="1" t="str">
        <f>IFERROR(__xludf.DUMMYFUNCTION("""COMPUTED_VALUE"""),"119059;INF179K01YQ8;INF179K01YR6;HDFC Taxsaver - IDCW Option - Direct Plan;77.029;25-Aug-2023")</f>
        <v>119059;INF179K01YQ8;INF179K01YR6;HDFC Taxsaver - IDCW Option - Direct Plan;77.029;25-Aug-2023</v>
      </c>
      <c r="B4521" s="1"/>
    </row>
    <row r="4522">
      <c r="A4522" s="1" t="str">
        <f>IFERROR(__xludf.DUMMYFUNCTION("""COMPUTED_VALUE"""),"101980;INF179K01AZ9;INF179K01BA0;HDFC Taxsaver - IDCW Plan;60.286;25-Aug-2023")</f>
        <v>101980;INF179K01AZ9;INF179K01BA0;HDFC Taxsaver - IDCW Plan;60.286;25-Aug-2023</v>
      </c>
      <c r="B4522" s="1"/>
    </row>
    <row r="4523">
      <c r="A4523" s="1"/>
      <c r="B4523" s="1"/>
    </row>
    <row r="4524">
      <c r="A4524" s="1" t="str">
        <f>IFERROR(__xludf.DUMMYFUNCTION("""COMPUTED_VALUE"""),"HSBC Mutual Fund")</f>
        <v>HSBC Mutual Fund</v>
      </c>
      <c r="B4524" s="1"/>
    </row>
    <row r="4525">
      <c r="A4525" s="1"/>
      <c r="B4525" s="1"/>
    </row>
    <row r="4526">
      <c r="A4526" s="1" t="str">
        <f>IFERROR(__xludf.DUMMYFUNCTION("""COMPUTED_VALUE"""),"151078;INF917K01GP0;-;HSBC ELSS Fund - Direct Growth;95.8992;25-Aug-2023")</f>
        <v>151078;INF917K01GP0;-;HSBC ELSS Fund - Direct Growth;95.8992;25-Aug-2023</v>
      </c>
      <c r="B4526" s="1"/>
    </row>
    <row r="4527">
      <c r="A4527" s="1" t="str">
        <f>IFERROR(__xludf.DUMMYFUNCTION("""COMPUTED_VALUE"""),"151079;INF917K01GO3;-;HSBC ELSS Fund - Direct IDCW Payout;33.834;25-Aug-2023")</f>
        <v>151079;INF917K01GO3;-;HSBC ELSS Fund - Direct IDCW Payout;33.834;25-Aug-2023</v>
      </c>
      <c r="B4527" s="1"/>
    </row>
    <row r="4528">
      <c r="A4528" s="1" t="str">
        <f>IFERROR(__xludf.DUMMYFUNCTION("""COMPUTED_VALUE"""),"151076;INF677K01064;-;HSBC ELSS Fund - Regular Growth;89.2983;25-Aug-2023")</f>
        <v>151076;INF677K01064;-;HSBC ELSS Fund - Regular Growth;89.2983;25-Aug-2023</v>
      </c>
      <c r="B4528" s="1"/>
    </row>
    <row r="4529">
      <c r="A4529" s="1" t="str">
        <f>IFERROR(__xludf.DUMMYFUNCTION("""COMPUTED_VALUE"""),"151077;INF677K01072;-;HSBC ELSS Fund - Regular IDCW Payout;24.5059;25-Aug-2023")</f>
        <v>151077;INF677K01072;-;HSBC ELSS Fund - Regular IDCW Payout;24.5059;25-Aug-2023</v>
      </c>
      <c r="B4529" s="1"/>
    </row>
    <row r="4530">
      <c r="A4530" s="1" t="str">
        <f>IFERROR(__xludf.DUMMYFUNCTION("""COMPUTED_VALUE"""),"104707;INF336L01BA4;-;HSBC Tax Saver Equity Fund - Growth;62.8817;25-Aug-2023")</f>
        <v>104707;INF336L01BA4;-;HSBC Tax Saver Equity Fund - Growth;62.8817;25-Aug-2023</v>
      </c>
      <c r="B4530" s="1"/>
    </row>
    <row r="4531">
      <c r="A4531" s="1" t="str">
        <f>IFERROR(__xludf.DUMMYFUNCTION("""COMPUTED_VALUE"""),"120079;INF336L01EE0;-;HSBC Tax Saver Equity Fund - Growth Direct;69.4608;25-Aug-2023")</f>
        <v>120079;INF336L01EE0;-;HSBC Tax Saver Equity Fund - Growth Direct;69.4608;25-Aug-2023</v>
      </c>
      <c r="B4531" s="1"/>
    </row>
    <row r="4532">
      <c r="A4532" s="1" t="str">
        <f>IFERROR(__xludf.DUMMYFUNCTION("""COMPUTED_VALUE"""),"104706;INF336L01AZ3;-;HSBC Tax Saver Equity Fund - IDCW;27.3744;25-Aug-2023")</f>
        <v>104706;INF336L01AZ3;-;HSBC Tax Saver Equity Fund - IDCW;27.3744;25-Aug-2023</v>
      </c>
      <c r="B4532" s="1"/>
    </row>
    <row r="4533">
      <c r="A4533" s="1" t="str">
        <f>IFERROR(__xludf.DUMMYFUNCTION("""COMPUTED_VALUE"""),"120078;INF336L01ER2;-;HSBC Tax Saver Equity Fund - IDCW Direct Plan;29.8272;25-Aug-2023")</f>
        <v>120078;INF336L01ER2;-;HSBC Tax Saver Equity Fund - IDCW Direct Plan;29.8272;25-Aug-2023</v>
      </c>
      <c r="B4533" s="1"/>
    </row>
    <row r="4534">
      <c r="A4534" s="1"/>
      <c r="B4534" s="1"/>
    </row>
    <row r="4535">
      <c r="A4535" s="1" t="str">
        <f>IFERROR(__xludf.DUMMYFUNCTION("""COMPUTED_VALUE"""),"ICICI Prudential Mutual Fund")</f>
        <v>ICICI Prudential Mutual Fund</v>
      </c>
      <c r="B4535" s="1"/>
    </row>
    <row r="4536">
      <c r="A4536" s="1"/>
      <c r="B4536" s="1"/>
    </row>
    <row r="4537">
      <c r="A4537" s="1" t="str">
        <f>IFERROR(__xludf.DUMMYFUNCTION("""COMPUTED_VALUE"""),"120592;INF109K01Y31;-;ICICI Prudential Long Term Equity Fund (Tax Saving) - Direct Plan -  Growth;729.58;25-Aug-2023")</f>
        <v>120592;INF109K01Y31;-;ICICI Prudential Long Term Equity Fund (Tax Saving) - Direct Plan -  Growth;729.58;25-Aug-2023</v>
      </c>
      <c r="B4537" s="1"/>
    </row>
    <row r="4538">
      <c r="A4538" s="1" t="str">
        <f>IFERROR(__xludf.DUMMYFUNCTION("""COMPUTED_VALUE"""),"120593;INF109K01Y15;INF109K01Y23;ICICI Prudential Long Term Equity Fund (Tax Saving) - Direct Plan -  IDCW;37.84;25-Aug-2023")</f>
        <v>120593;INF109K01Y15;INF109K01Y23;ICICI Prudential Long Term Equity Fund (Tax Saving) - Direct Plan -  IDCW;37.84;25-Aug-2023</v>
      </c>
      <c r="B4538" s="1"/>
    </row>
    <row r="4539">
      <c r="A4539" s="1" t="str">
        <f>IFERROR(__xludf.DUMMYFUNCTION("""COMPUTED_VALUE"""),"100354;INF109K01464;-;ICICI Prudential Long Term Equity Fund (Tax Saving) - Growth;665.35;25-Aug-2023")</f>
        <v>100354;INF109K01464;-;ICICI Prudential Long Term Equity Fund (Tax Saving) - Growth;665.35;25-Aug-2023</v>
      </c>
      <c r="B4539" s="1"/>
    </row>
    <row r="4540">
      <c r="A4540" s="1" t="str">
        <f>IFERROR(__xludf.DUMMYFUNCTION("""COMPUTED_VALUE"""),"100353;INF109K01FN1;INF109K01472;ICICI Prudential Long Term Equity Fund (Tax Saving)- IDCW;21.72;25-Aug-2023")</f>
        <v>100353;INF109K01FN1;INF109K01472;ICICI Prudential Long Term Equity Fund (Tax Saving)- IDCW;21.72;25-Aug-2023</v>
      </c>
      <c r="B4540" s="1"/>
    </row>
    <row r="4541">
      <c r="A4541" s="1"/>
      <c r="B4541" s="1"/>
    </row>
    <row r="4542">
      <c r="A4542" s="1" t="str">
        <f>IFERROR(__xludf.DUMMYFUNCTION("""COMPUTED_VALUE"""),"Invesco Mutual Fund")</f>
        <v>Invesco Mutual Fund</v>
      </c>
      <c r="B4542" s="1"/>
    </row>
    <row r="4543">
      <c r="A4543" s="1"/>
      <c r="B4543" s="1"/>
    </row>
    <row r="4544">
      <c r="A4544" s="1" t="str">
        <f>IFERROR(__xludf.DUMMYFUNCTION("""COMPUTED_VALUE"""),"120416;INF205K01NT8;-;Invesco India Tax Plan - Direct Plan - Growth;102.59;25-Aug-2023")</f>
        <v>120416;INF205K01NT8;-;Invesco India Tax Plan - Direct Plan - Growth;102.59;25-Aug-2023</v>
      </c>
      <c r="B4544" s="1"/>
    </row>
    <row r="4545">
      <c r="A4545" s="1" t="str">
        <f>IFERROR(__xludf.DUMMYFUNCTION("""COMPUTED_VALUE"""),"120417;INF205K01NR2;INF205K01NS0;Invesco India Tax Plan - Direct Plan - IDCW (Payout / Reinvestment);28.75;25-Aug-2023")</f>
        <v>120417;INF205K01NR2;INF205K01NS0;Invesco India Tax Plan - Direct Plan - IDCW (Payout / Reinvestment);28.75;25-Aug-2023</v>
      </c>
      <c r="B4545" s="1"/>
    </row>
    <row r="4546">
      <c r="A4546" s="1" t="str">
        <f>IFERROR(__xludf.DUMMYFUNCTION("""COMPUTED_VALUE"""),"104636;INF205K01270;-;Invesco India Tax Plan - Growth;88.68;25-Aug-2023")</f>
        <v>104636;INF205K01270;-;Invesco India Tax Plan - Growth;88.68;25-Aug-2023</v>
      </c>
      <c r="B4546" s="1"/>
    </row>
    <row r="4547">
      <c r="A4547" s="1" t="str">
        <f>IFERROR(__xludf.DUMMYFUNCTION("""COMPUTED_VALUE"""),"104635;INF205K01296;INF205K01288;Invesco India Tax Plan - IDCW (Payout / Reinvestment);23.86;25-Aug-2023")</f>
        <v>104635;INF205K01296;INF205K01288;Invesco India Tax Plan - IDCW (Payout / Reinvestment);23.86;25-Aug-2023</v>
      </c>
      <c r="B4547" s="1"/>
    </row>
    <row r="4548">
      <c r="A4548" s="1"/>
      <c r="B4548" s="1"/>
    </row>
    <row r="4549">
      <c r="A4549" s="1" t="str">
        <f>IFERROR(__xludf.DUMMYFUNCTION("""COMPUTED_VALUE"""),"ITI Mutual Fund")</f>
        <v>ITI Mutual Fund</v>
      </c>
      <c r="B4549" s="1"/>
    </row>
    <row r="4550">
      <c r="A4550" s="1"/>
      <c r="B4550" s="1"/>
    </row>
    <row r="4551">
      <c r="A4551" s="1" t="str">
        <f>IFERROR(__xludf.DUMMYFUNCTION("""COMPUTED_VALUE"""),"147541;INF00XX01390;-;ITI Long Term Equity Fund - Direct Plan - Growth Option;17.3046;25-Aug-2023")</f>
        <v>147541;INF00XX01390;-;ITI Long Term Equity Fund - Direct Plan - Growth Option;17.3046;25-Aug-2023</v>
      </c>
      <c r="B4551" s="1"/>
    </row>
    <row r="4552">
      <c r="A4552" s="1" t="str">
        <f>IFERROR(__xludf.DUMMYFUNCTION("""COMPUTED_VALUE"""),"147542;INF00XX01408;-;ITI Long Term Equity Fund - Direct Plan - IDCW Option;16.5671;25-Aug-2023")</f>
        <v>147542;INF00XX01408;-;ITI Long Term Equity Fund - Direct Plan - IDCW Option;16.5671;25-Aug-2023</v>
      </c>
      <c r="B4552" s="1"/>
    </row>
    <row r="4553">
      <c r="A4553" s="1" t="str">
        <f>IFERROR(__xludf.DUMMYFUNCTION("""COMPUTED_VALUE"""),"147544;INF00XX01374;-;ITI Long Term Equity Fund - Regular Plan - Growth Option;15.9613;25-Aug-2023")</f>
        <v>147544;INF00XX01374;-;ITI Long Term Equity Fund - Regular Plan - Growth Option;15.9613;25-Aug-2023</v>
      </c>
      <c r="B4553" s="1"/>
    </row>
    <row r="4554">
      <c r="A4554" s="1" t="str">
        <f>IFERROR(__xludf.DUMMYFUNCTION("""COMPUTED_VALUE"""),"147543;INF00XX01382;-;ITI Long Term Equity Fund - Regular Plan - IDCW Option;15.2632;25-Aug-2023")</f>
        <v>147543;INF00XX01382;-;ITI Long Term Equity Fund - Regular Plan - IDCW Option;15.2632;25-Aug-2023</v>
      </c>
      <c r="B4554" s="1"/>
    </row>
    <row r="4555">
      <c r="A4555" s="1"/>
      <c r="B4555" s="1"/>
    </row>
    <row r="4556">
      <c r="A4556" s="1" t="str">
        <f>IFERROR(__xludf.DUMMYFUNCTION("""COMPUTED_VALUE"""),"JM Financial Mutual Fund")</f>
        <v>JM Financial Mutual Fund</v>
      </c>
      <c r="B4556" s="1"/>
    </row>
    <row r="4557">
      <c r="A4557" s="1"/>
      <c r="B4557" s="1"/>
    </row>
    <row r="4558">
      <c r="A4558" s="1" t="str">
        <f>IFERROR(__xludf.DUMMYFUNCTION("""COMPUTED_VALUE"""),"120494;INF192K01CE3;-;JM Tax Gain Fund (Direct) - Growth Option;37.3955;25-Aug-2023")</f>
        <v>120494;INF192K01CE3;-;JM Tax Gain Fund (Direct) - Growth Option;37.3955;25-Aug-2023</v>
      </c>
      <c r="B4558" s="1"/>
    </row>
    <row r="4559">
      <c r="A4559" s="1" t="str">
        <f>IFERROR(__xludf.DUMMYFUNCTION("""COMPUTED_VALUE"""),"120493;INF192K01CD5;-;JM Tax Gain Fund (Direct) - IDCW;36.4735;25-Aug-2023")</f>
        <v>120493;INF192K01CD5;-;JM Tax Gain Fund (Direct) - IDCW;36.4735;25-Aug-2023</v>
      </c>
      <c r="B4559" s="1"/>
    </row>
    <row r="4560">
      <c r="A4560" s="1" t="str">
        <f>IFERROR(__xludf.DUMMYFUNCTION("""COMPUTED_VALUE"""),"107288;INF192K01650;-;JM Tax Gain Fund (Regular) - Growth option;33.4976;25-Aug-2023")</f>
        <v>107288;INF192K01650;-;JM Tax Gain Fund (Regular) - Growth option;33.4976;25-Aug-2023</v>
      </c>
      <c r="B4560" s="1"/>
    </row>
    <row r="4561">
      <c r="A4561" s="1" t="str">
        <f>IFERROR(__xludf.DUMMYFUNCTION("""COMPUTED_VALUE"""),"107287;INF192K01643;-;JM Tax Gain Fund (Regular) - IDCW;33.4972;25-Aug-2023")</f>
        <v>107287;INF192K01643;-;JM Tax Gain Fund (Regular) - IDCW;33.4972;25-Aug-2023</v>
      </c>
      <c r="B4561" s="1"/>
    </row>
    <row r="4562">
      <c r="A4562" s="1"/>
      <c r="B4562" s="1"/>
    </row>
    <row r="4563">
      <c r="A4563" s="1" t="str">
        <f>IFERROR(__xludf.DUMMYFUNCTION("""COMPUTED_VALUE"""),"Kotak Mahindra Mutual Fund")</f>
        <v>Kotak Mahindra Mutual Fund</v>
      </c>
      <c r="B4563" s="1"/>
    </row>
    <row r="4564">
      <c r="A4564" s="1"/>
      <c r="B4564" s="1"/>
    </row>
    <row r="4565">
      <c r="A4565" s="1" t="str">
        <f>IFERROR(__xludf.DUMMYFUNCTION("""COMPUTED_VALUE"""),"103339;INF174K01369;-;Kotak Tax Saver-Scheme-Growth;84.885;25-Aug-2023")</f>
        <v>103339;INF174K01369;-;Kotak Tax Saver-Scheme-Growth;84.885;25-Aug-2023</v>
      </c>
      <c r="B4565" s="1"/>
    </row>
    <row r="4566">
      <c r="A4566" s="1" t="str">
        <f>IFERROR(__xludf.DUMMYFUNCTION("""COMPUTED_VALUE"""),"119773;INF174K01LI3;-;Kotak Tax Saver-Scheme-Growth - Direct;97.219;25-Aug-2023")</f>
        <v>119773;INF174K01LI3;-;Kotak Tax Saver-Scheme-Growth - Direct;97.219;25-Aug-2023</v>
      </c>
      <c r="B4566" s="1"/>
    </row>
    <row r="4567">
      <c r="A4567" s="1" t="str">
        <f>IFERROR(__xludf.DUMMYFUNCTION("""COMPUTED_VALUE"""),"103338;INF174K01385;INF174K01377;Kotak Tax Saver-Scheme-Payout of Income Distribution cum capital withdrawal option;31.768;25-Aug-2023")</f>
        <v>103338;INF174K01385;INF174K01377;Kotak Tax Saver-Scheme-Payout of Income Distribution cum capital withdrawal option;31.768;25-Aug-2023</v>
      </c>
      <c r="B4567" s="1"/>
    </row>
    <row r="4568">
      <c r="A4568" s="1" t="str">
        <f>IFERROR(__xludf.DUMMYFUNCTION("""COMPUTED_VALUE"""),"119772;INF174K01LJ1;-;Kotak Tax Saver-Scheme-Payout of Income Distribution cum capital withdrawal option - Direct;40.724;25-Aug-2023")</f>
        <v>119772;INF174K01LJ1;-;Kotak Tax Saver-Scheme-Payout of Income Distribution cum capital withdrawal option - Direct;40.724;25-Aug-2023</v>
      </c>
      <c r="B4568" s="1"/>
    </row>
    <row r="4569">
      <c r="A4569" s="1"/>
      <c r="B4569" s="1"/>
    </row>
    <row r="4570">
      <c r="A4570" s="1" t="str">
        <f>IFERROR(__xludf.DUMMYFUNCTION("""COMPUTED_VALUE"""),"LIC Mutual Fund")</f>
        <v>LIC Mutual Fund</v>
      </c>
      <c r="B4570" s="1"/>
    </row>
    <row r="4571">
      <c r="A4571" s="1"/>
      <c r="B4571" s="1"/>
    </row>
    <row r="4572">
      <c r="A4572" s="1" t="str">
        <f>IFERROR(__xludf.DUMMYFUNCTION("""COMPUTED_VALUE"""),"120270;INF767K01EM1;-;LIC MF ELSS-Direct Plan-Growth;124.9088;25-Aug-2023")</f>
        <v>120270;INF767K01EM1;-;LIC MF ELSS-Direct Plan-Growth;124.9088;25-Aug-2023</v>
      </c>
      <c r="B4572" s="1"/>
    </row>
    <row r="4573">
      <c r="A4573" s="1" t="str">
        <f>IFERROR(__xludf.DUMMYFUNCTION("""COMPUTED_VALUE"""),"120269;INF767K01EL3;INF767K01EN9;LIC MF ELSS-Direct Plan-IDCW;28.051;25-Aug-2023")</f>
        <v>120269;INF767K01EL3;INF767K01EN9;LIC MF ELSS-Direct Plan-IDCW;28.051;25-Aug-2023</v>
      </c>
      <c r="B4573" s="1"/>
    </row>
    <row r="4574">
      <c r="A4574" s="1" t="str">
        <f>IFERROR(__xludf.DUMMYFUNCTION("""COMPUTED_VALUE"""),"100865;INF767K01956;-;LIC MF ELSS-Regular Plan-Growth;111.9193;25-Aug-2023")</f>
        <v>100865;INF767K01956;-;LIC MF ELSS-Regular Plan-Growth;111.9193;25-Aug-2023</v>
      </c>
      <c r="B4574" s="1"/>
    </row>
    <row r="4575">
      <c r="A4575" s="1" t="str">
        <f>IFERROR(__xludf.DUMMYFUNCTION("""COMPUTED_VALUE"""),"100864;INF767K01931;INF767K01949;LIC MF ELSS-Regular Plan-IDCW;23.8884;25-Aug-2023")</f>
        <v>100864;INF767K01931;INF767K01949;LIC MF ELSS-Regular Plan-IDCW;23.8884;25-Aug-2023</v>
      </c>
      <c r="B4575" s="1"/>
    </row>
    <row r="4576">
      <c r="A4576" s="1" t="str">
        <f>IFERROR(__xludf.DUMMYFUNCTION("""COMPUTED_VALUE"""),"134878;-;INF767K01DR2;LIC MF ULIS (10 Yrs. Regular Premium Reducing Cover Half-Yearly)-Direct Plan-IDCW Reinvestment;31.9266;25-Aug-2023")</f>
        <v>134878;-;INF767K01DR2;LIC MF ULIS (10 Yrs. Regular Premium Reducing Cover Half-Yearly)-Direct Plan-IDCW Reinvestment;31.9266;25-Aug-2023</v>
      </c>
      <c r="B4576" s="1"/>
    </row>
    <row r="4577">
      <c r="A4577" s="1" t="str">
        <f>IFERROR(__xludf.DUMMYFUNCTION("""COMPUTED_VALUE"""),"134865;-;INF767K01998;LIC MF ULIS (10 Yrs. Regular Premium Reducing Cover Half-Yearly)-Regular Plan-IDCW Reinvestment;29.2788;25-Aug-2023")</f>
        <v>134865;-;INF767K01998;LIC MF ULIS (10 Yrs. Regular Premium Reducing Cover Half-Yearly)-Regular Plan-IDCW Reinvestment;29.2788;25-Aug-2023</v>
      </c>
      <c r="B4577" s="1"/>
    </row>
    <row r="4578">
      <c r="A4578" s="1" t="str">
        <f>IFERROR(__xludf.DUMMYFUNCTION("""COMPUTED_VALUE"""),"134876;-;INF767K01DQ4;LIC MF ULIS (10 Yrs. Regular Premium Reducing Cover Monthly)-Direct Plan-IDCW Reinvestment;31.9266;25-Aug-2023")</f>
        <v>134876;-;INF767K01DQ4;LIC MF ULIS (10 Yrs. Regular Premium Reducing Cover Monthly)-Direct Plan-IDCW Reinvestment;31.9266;25-Aug-2023</v>
      </c>
      <c r="B4578" s="1"/>
    </row>
    <row r="4579">
      <c r="A4579" s="1" t="str">
        <f>IFERROR(__xludf.DUMMYFUNCTION("""COMPUTED_VALUE"""),"134847;-;INF767K01980;LIC MF ULIS (10 Yrs. Regular Premium Reducing Cover Monthly)-Regular Plan-IDCW Reinvestment;29.2788;25-Aug-2023")</f>
        <v>134847;-;INF767K01980;LIC MF ULIS (10 Yrs. Regular Premium Reducing Cover Monthly)-Regular Plan-IDCW Reinvestment;29.2788;25-Aug-2023</v>
      </c>
      <c r="B4579" s="1"/>
    </row>
    <row r="4580">
      <c r="A4580" s="1" t="str">
        <f>IFERROR(__xludf.DUMMYFUNCTION("""COMPUTED_VALUE"""),"135976;-;INF767K01OY5;LIC MF ULIS (10 Yrs. Regular Premium Reducing Cover Quarterly)-Direct Plan-IDCW Reinvestment;31.9266;25-Aug-2023")</f>
        <v>135976;-;INF767K01OY5;LIC MF ULIS (10 Yrs. Regular Premium Reducing Cover Quarterly)-Direct Plan-IDCW Reinvestment;31.9266;25-Aug-2023</v>
      </c>
      <c r="B4580" s="1"/>
    </row>
    <row r="4581">
      <c r="A4581" s="1" t="str">
        <f>IFERROR(__xludf.DUMMYFUNCTION("""COMPUTED_VALUE"""),"135979;-;INF767K01OV1;LIC MF ULIS (10 Yrs. Regular Premium Reducing Cover Quarterly)-Regular Plan-IDCW Reinvestment;29.2788;25-Aug-2023")</f>
        <v>135979;-;INF767K01OV1;LIC MF ULIS (10 Yrs. Regular Premium Reducing Cover Quarterly)-Regular Plan-IDCW Reinvestment;29.2788;25-Aug-2023</v>
      </c>
      <c r="B4581" s="1"/>
    </row>
    <row r="4582">
      <c r="A4582" s="1" t="str">
        <f>IFERROR(__xludf.DUMMYFUNCTION("""COMPUTED_VALUE"""),"134877;-;INF767K01DS0;LIC MF ULIS (10 Yrs. Regular Premium Reducing Cover Yearly)-Direct Plan-IDCW Reinvestment;31.9266;25-Aug-2023")</f>
        <v>134877;-;INF767K01DS0;LIC MF ULIS (10 Yrs. Regular Premium Reducing Cover Yearly)-Direct Plan-IDCW Reinvestment;31.9266;25-Aug-2023</v>
      </c>
      <c r="B4582" s="1"/>
    </row>
    <row r="4583">
      <c r="A4583" s="1" t="str">
        <f>IFERROR(__xludf.DUMMYFUNCTION("""COMPUTED_VALUE"""),"134864;-;INF767K01AA4;LIC MF ULIS (10 Yrs. Regular Premium Reducing Cover Yearly)-Regular Plan-IDCW Reinvestment;29.2788;25-Aug-2023")</f>
        <v>134864;-;INF767K01AA4;LIC MF ULIS (10 Yrs. Regular Premium Reducing Cover Yearly)-Regular Plan-IDCW Reinvestment;29.2788;25-Aug-2023</v>
      </c>
      <c r="B4583" s="1"/>
    </row>
    <row r="4584">
      <c r="A4584" s="1" t="str">
        <f>IFERROR(__xludf.DUMMYFUNCTION("""COMPUTED_VALUE"""),"134879;-;INF767K01DU6;LIC MF ULIS (10 Yrs. Regular Premium Uniform Cover Half-Yearly)-Direct Plan-IDCW Reinvestment;31.9266;25-Aug-2023")</f>
        <v>134879;-;INF767K01DU6;LIC MF ULIS (10 Yrs. Regular Premium Uniform Cover Half-Yearly)-Direct Plan-IDCW Reinvestment;31.9266;25-Aug-2023</v>
      </c>
      <c r="B4584" s="1"/>
    </row>
    <row r="4585">
      <c r="A4585" s="1" t="str">
        <f>IFERROR(__xludf.DUMMYFUNCTION("""COMPUTED_VALUE"""),"134867;-;INF767K01AC0;LIC MF ULIS (10 Yrs. Regular Premium Uniform Cover Half-Yearly)-Regular Plan-IDCW Reinvestment;29.2788;25-Aug-2023")</f>
        <v>134867;-;INF767K01AC0;LIC MF ULIS (10 Yrs. Regular Premium Uniform Cover Half-Yearly)-Regular Plan-IDCW Reinvestment;29.2788;25-Aug-2023</v>
      </c>
      <c r="B4585" s="1"/>
    </row>
    <row r="4586">
      <c r="A4586" s="1" t="str">
        <f>IFERROR(__xludf.DUMMYFUNCTION("""COMPUTED_VALUE"""),"134881;-;INF767K01DT8;LIC MF ULIS (10 Yrs. Regular Premium Uniform Cover Monthly)-Direct Plan-IDCW Reinvestment;31.9266;25-Aug-2023")</f>
        <v>134881;-;INF767K01DT8;LIC MF ULIS (10 Yrs. Regular Premium Uniform Cover Monthly)-Direct Plan-IDCW Reinvestment;31.9266;25-Aug-2023</v>
      </c>
      <c r="B4586" s="1"/>
    </row>
    <row r="4587">
      <c r="A4587" s="1" t="str">
        <f>IFERROR(__xludf.DUMMYFUNCTION("""COMPUTED_VALUE"""),"134863;-;INF767K01AB2;LIC MF ULIS (10 Yrs. Regular Premium Uniform Cover Monthly)-Regular Plan-IDCW Reinvestment;29.2788;25-Aug-2023")</f>
        <v>134863;-;INF767K01AB2;LIC MF ULIS (10 Yrs. Regular Premium Uniform Cover Monthly)-Regular Plan-IDCW Reinvestment;29.2788;25-Aug-2023</v>
      </c>
      <c r="B4587" s="1"/>
    </row>
    <row r="4588">
      <c r="A4588" s="1" t="str">
        <f>IFERROR(__xludf.DUMMYFUNCTION("""COMPUTED_VALUE"""),"135977;-;INF767K01PB0;LIC MF ULIS (10 Yrs. Regular Premium Uniform Cover Quarterly)-Direct Plan-IDCW Reinvestment;31.9266;25-Aug-2023")</f>
        <v>135977;-;INF767K01PB0;LIC MF ULIS (10 Yrs. Regular Premium Uniform Cover Quarterly)-Direct Plan-IDCW Reinvestment;31.9266;25-Aug-2023</v>
      </c>
      <c r="B4588" s="1"/>
    </row>
    <row r="4589">
      <c r="A4589" s="1" t="str">
        <f>IFERROR(__xludf.DUMMYFUNCTION("""COMPUTED_VALUE"""),"135983;-;INF767K01PA2;LIC MF ULIS (10 Yrs. Regular Premium Uniform Cover Quarterly)-Regular Plan-IDCW Reinvestment;29.2788;25-Aug-2023")</f>
        <v>135983;-;INF767K01PA2;LIC MF ULIS (10 Yrs. Regular Premium Uniform Cover Quarterly)-Regular Plan-IDCW Reinvestment;29.2788;25-Aug-2023</v>
      </c>
      <c r="B4589" s="1"/>
    </row>
    <row r="4590">
      <c r="A4590" s="1" t="str">
        <f>IFERROR(__xludf.DUMMYFUNCTION("""COMPUTED_VALUE"""),"134880;-;INF767K01DV4;LIC MF ULIS (10 Yrs. Regular Premium Uniform Cover Yearly)-Direct Plan-IDCW Reinvestment;31.9266;25-Aug-2023")</f>
        <v>134880;-;INF767K01DV4;LIC MF ULIS (10 Yrs. Regular Premium Uniform Cover Yearly)-Direct Plan-IDCW Reinvestment;31.9266;25-Aug-2023</v>
      </c>
      <c r="B4590" s="1"/>
    </row>
    <row r="4591">
      <c r="A4591" s="1" t="str">
        <f>IFERROR(__xludf.DUMMYFUNCTION("""COMPUTED_VALUE"""),"134868;-;INF767K01AD8;LIC MF ULIS (10 Yrs. Regular Premium Uniform Cover Yearly)-Regular Plan-IDCW Reinvestment;29.2788;25-Aug-2023")</f>
        <v>134868;-;INF767K01AD8;LIC MF ULIS (10 Yrs. Regular Premium Uniform Cover Yearly)-Regular Plan-IDCW Reinvestment;29.2788;25-Aug-2023</v>
      </c>
      <c r="B4591" s="1"/>
    </row>
    <row r="4592">
      <c r="A4592" s="1" t="str">
        <f>IFERROR(__xludf.DUMMYFUNCTION("""COMPUTED_VALUE"""),"134875;-;INF767K01DP6;LIC MF ULIS (10 Yrs. Single Premium)-Direct Plan-IDCW Reinvestment;31.9266;25-Aug-2023")</f>
        <v>134875;-;INF767K01DP6;LIC MF ULIS (10 Yrs. Single Premium)-Direct Plan-IDCW Reinvestment;31.9266;25-Aug-2023</v>
      </c>
      <c r="B4592" s="1"/>
    </row>
    <row r="4593">
      <c r="A4593" s="1" t="str">
        <f>IFERROR(__xludf.DUMMYFUNCTION("""COMPUTED_VALUE"""),"134846;-;INF767K01972;LIC MF ULIS (10 Yrs. Single Premium)-Regular Plan-IDCW Reinvestment;29.2788;25-Aug-2023")</f>
        <v>134846;-;INF767K01972;LIC MF ULIS (10 Yrs. Single Premium)-Regular Plan-IDCW Reinvestment;29.2788;25-Aug-2023</v>
      </c>
      <c r="B4593" s="1"/>
    </row>
    <row r="4594">
      <c r="A4594" s="1" t="str">
        <f>IFERROR(__xludf.DUMMYFUNCTION("""COMPUTED_VALUE"""),"134882;-;INF767K01DX0;LIC MF ULIS (15 Yrs. Regular Premium Reducing Cover Half-Yearly)-Direct Plan-IDCW Reinvestment;31.9266;25-Aug-2023")</f>
        <v>134882;-;INF767K01DX0;LIC MF ULIS (15 Yrs. Regular Premium Reducing Cover Half-Yearly)-Direct Plan-IDCW Reinvestment;31.9266;25-Aug-2023</v>
      </c>
      <c r="B4594" s="1"/>
    </row>
    <row r="4595">
      <c r="A4595" s="1" t="str">
        <f>IFERROR(__xludf.DUMMYFUNCTION("""COMPUTED_VALUE"""),"134870;-;INF767K01AF3;LIC MF ULIS (15 Yrs. Regular Premium Reducing Cover Half-Yearly)-Regular Plan-IDCW Reinvestment;29.2788;25-Aug-2023")</f>
        <v>134870;-;INF767K01AF3;LIC MF ULIS (15 Yrs. Regular Premium Reducing Cover Half-Yearly)-Regular Plan-IDCW Reinvestment;29.2788;25-Aug-2023</v>
      </c>
      <c r="B4595" s="1"/>
    </row>
    <row r="4596">
      <c r="A4596" s="1" t="str">
        <f>IFERROR(__xludf.DUMMYFUNCTION("""COMPUTED_VALUE"""),"134884;-;INF767K01DW2;LIC MF ULIS (15 Yrs. Regular Premium Reducing Cover Monthly)-Direct Plan-IDCW Reinvestment;31.9266;25-Aug-2023")</f>
        <v>134884;-;INF767K01DW2;LIC MF ULIS (15 Yrs. Regular Premium Reducing Cover Monthly)-Direct Plan-IDCW Reinvestment;31.9266;25-Aug-2023</v>
      </c>
      <c r="B4596" s="1"/>
    </row>
    <row r="4597">
      <c r="A4597" s="1" t="str">
        <f>IFERROR(__xludf.DUMMYFUNCTION("""COMPUTED_VALUE"""),"134869;-;INF767K01AE6;LIC MF ULIS (15 Yrs. Regular Premium Reducing Cover Monthly)-Regular Plan-IDCW Reinvestment;29.2788;25-Aug-2023")</f>
        <v>134869;-;INF767K01AE6;LIC MF ULIS (15 Yrs. Regular Premium Reducing Cover Monthly)-Regular Plan-IDCW Reinvestment;29.2788;25-Aug-2023</v>
      </c>
      <c r="B4597" s="1"/>
    </row>
    <row r="4598">
      <c r="A4598" s="1" t="str">
        <f>IFERROR(__xludf.DUMMYFUNCTION("""COMPUTED_VALUE"""),"135978;-;INF767K01OX7;LIC MF ULIS (15 Yrs. Regular Premium Reducing Cover Quarterly)-Direct Plan-IDCW Reinvestment;31.9266;25-Aug-2023")</f>
        <v>135978;-;INF767K01OX7;LIC MF ULIS (15 Yrs. Regular Premium Reducing Cover Quarterly)-Direct Plan-IDCW Reinvestment;31.9266;25-Aug-2023</v>
      </c>
      <c r="B4598" s="1"/>
    </row>
    <row r="4599">
      <c r="A4599" s="1" t="str">
        <f>IFERROR(__xludf.DUMMYFUNCTION("""COMPUTED_VALUE"""),"135981;-;INF767K01OU3;LIC MF ULIS (15 Yrs. Regular Premium Reducing Cover Quarterly)-Regular Plan-IDCW Reinvestment;29.2788;25-Aug-2023")</f>
        <v>135981;-;INF767K01OU3;LIC MF ULIS (15 Yrs. Regular Premium Reducing Cover Quarterly)-Regular Plan-IDCW Reinvestment;29.2788;25-Aug-2023</v>
      </c>
      <c r="B4599" s="1"/>
    </row>
    <row r="4600">
      <c r="A4600" s="1" t="str">
        <f>IFERROR(__xludf.DUMMYFUNCTION("""COMPUTED_VALUE"""),"134883;-;INF767K01DY8;LIC MF ULIS (15 Yrs. Regular Premium Reducing Cover Yearly)-Direct Plan-IDCW Reinvestment;31.9266;25-Aug-2023")</f>
        <v>134883;-;INF767K01DY8;LIC MF ULIS (15 Yrs. Regular Premium Reducing Cover Yearly)-Direct Plan-IDCW Reinvestment;31.9266;25-Aug-2023</v>
      </c>
      <c r="B4600" s="1"/>
    </row>
    <row r="4601">
      <c r="A4601" s="1" t="str">
        <f>IFERROR(__xludf.DUMMYFUNCTION("""COMPUTED_VALUE"""),"134871;-;INF767K01AG1;LIC MF ULIS (15 Yrs. Regular Premium Reducing Cover Yearly)-Regular Plan-IDCW Reinvestment;29.2788;25-Aug-2023")</f>
        <v>134871;-;INF767K01AG1;LIC MF ULIS (15 Yrs. Regular Premium Reducing Cover Yearly)-Regular Plan-IDCW Reinvestment;29.2788;25-Aug-2023</v>
      </c>
      <c r="B4601" s="1"/>
    </row>
    <row r="4602">
      <c r="A4602" s="1" t="str">
        <f>IFERROR(__xludf.DUMMYFUNCTION("""COMPUTED_VALUE"""),"134885;-;INF767K01EA6;LIC MF ULIS (15 Yrs. Regular Premium Uniform Cover Half-Yearly)-Direct Plan-IDCW Reinvestment;31.9266;25-Aug-2023")</f>
        <v>134885;-;INF767K01EA6;LIC MF ULIS (15 Yrs. Regular Premium Uniform Cover Half-Yearly)-Direct Plan-IDCW Reinvestment;31.9266;25-Aug-2023</v>
      </c>
      <c r="B4602" s="1"/>
    </row>
    <row r="4603">
      <c r="A4603" s="1" t="str">
        <f>IFERROR(__xludf.DUMMYFUNCTION("""COMPUTED_VALUE"""),"134873;-;INF767K01AI7;LIC MF ULIS (15 Yrs. Regular Premium Uniform Cover Half-Yearly)-Regular Plan-IDCW Reinvestment;29.2788;25-Aug-2023")</f>
        <v>134873;-;INF767K01AI7;LIC MF ULIS (15 Yrs. Regular Premium Uniform Cover Half-Yearly)-Regular Plan-IDCW Reinvestment;29.2788;25-Aug-2023</v>
      </c>
      <c r="B4603" s="1"/>
    </row>
    <row r="4604">
      <c r="A4604" s="1" t="str">
        <f>IFERROR(__xludf.DUMMYFUNCTION("""COMPUTED_VALUE"""),"134887;-;INF767K01DZ5;LIC MF ULIS (15 Yrs. Regular Premium Uniform Cover Monthly)-Direct Plan-IDCW Reinvestment;31.9266;25-Aug-2023")</f>
        <v>134887;-;INF767K01DZ5;LIC MF ULIS (15 Yrs. Regular Premium Uniform Cover Monthly)-Direct Plan-IDCW Reinvestment;31.9266;25-Aug-2023</v>
      </c>
      <c r="B4604" s="1"/>
    </row>
    <row r="4605">
      <c r="A4605" s="1" t="str">
        <f>IFERROR(__xludf.DUMMYFUNCTION("""COMPUTED_VALUE"""),"134872;-;INF767K01AH9;LIC MF ULIS (15 Yrs. Regular Premium Uniform Cover Monthly)-Regular Plan-IDCW Reinvestment;29.2788;25-Aug-2023")</f>
        <v>134872;-;INF767K01AH9;LIC MF ULIS (15 Yrs. Regular Premium Uniform Cover Monthly)-Regular Plan-IDCW Reinvestment;29.2788;25-Aug-2023</v>
      </c>
      <c r="B4605" s="1"/>
    </row>
    <row r="4606">
      <c r="A4606" s="1" t="str">
        <f>IFERROR(__xludf.DUMMYFUNCTION("""COMPUTED_VALUE"""),"135980;-;INF767K01OZ2;LIC MF ULIS (15 Yrs. Regular Premium Uniform Cover Quarterly)-Direct Plan-IDCW Reinvestment;31.9266;25-Aug-2023")</f>
        <v>135980;-;INF767K01OZ2;LIC MF ULIS (15 Yrs. Regular Premium Uniform Cover Quarterly)-Direct Plan-IDCW Reinvestment;31.9266;25-Aug-2023</v>
      </c>
      <c r="B4606" s="1"/>
    </row>
    <row r="4607">
      <c r="A4607" s="1" t="str">
        <f>IFERROR(__xludf.DUMMYFUNCTION("""COMPUTED_VALUE"""),"135982;-;INF767K01OW9;LIC MF ULIS (15 Yrs. Regular Premium Uniform Cover Quarterly)-Regular Plan-IDCW Reinvestment;29.2788;25-Aug-2023")</f>
        <v>135982;-;INF767K01OW9;LIC MF ULIS (15 Yrs. Regular Premium Uniform Cover Quarterly)-Regular Plan-IDCW Reinvestment;29.2788;25-Aug-2023</v>
      </c>
      <c r="B4607" s="1"/>
    </row>
    <row r="4608">
      <c r="A4608" s="1" t="str">
        <f>IFERROR(__xludf.DUMMYFUNCTION("""COMPUTED_VALUE"""),"134886;-;INF767K01EB4;LIC MF ULIS (15 Yrs. Regular Premium Uniform Cover Yearly)-Direct Plan-IDCW Reinvestment;31.9266;25-Aug-2023")</f>
        <v>134886;-;INF767K01EB4;LIC MF ULIS (15 Yrs. Regular Premium Uniform Cover Yearly)-Direct Plan-IDCW Reinvestment;31.9266;25-Aug-2023</v>
      </c>
      <c r="B4608" s="1"/>
    </row>
    <row r="4609">
      <c r="A4609" s="1" t="str">
        <f>IFERROR(__xludf.DUMMYFUNCTION("""COMPUTED_VALUE"""),"134874;-;INF767K01AJ5;LIC MF ULIS (15Yrs. Regular Premium Uniform Cover Yearly)-Regular Plan-IDCW Reinvestment;29.2788;25-Aug-2023")</f>
        <v>134874;-;INF767K01AJ5;LIC MF ULIS (15Yrs. Regular Premium Uniform Cover Yearly)-Regular Plan-IDCW Reinvestment;29.2788;25-Aug-2023</v>
      </c>
      <c r="B4609" s="1"/>
    </row>
    <row r="4610">
      <c r="A4610" s="1" t="str">
        <f>IFERROR(__xludf.DUMMYFUNCTION("""COMPUTED_VALUE"""),"120259;-;INF767K01DO9;LIC MF ULIS (5 Yrs. Single Premium)-Direct Plan-IDCW Reinvestment;31.9266;25-Aug-2023")</f>
        <v>120259;-;INF767K01DO9;LIC MF ULIS (5 Yrs. Single Premium)-Direct Plan-IDCW Reinvestment;31.9266;25-Aug-2023</v>
      </c>
      <c r="B4610" s="1"/>
    </row>
    <row r="4611">
      <c r="A4611" s="1" t="str">
        <f>IFERROR(__xludf.DUMMYFUNCTION("""COMPUTED_VALUE"""),"100325;-;INF767K01964;LIC MF ULIS (5 Yrs. Single Premium)-Regular Plan-IDCW Reinvestment;29.2788;25-Aug-2023")</f>
        <v>100325;-;INF767K01964;LIC MF ULIS (5 Yrs. Single Premium)-Regular Plan-IDCW Reinvestment;29.2788;25-Aug-2023</v>
      </c>
      <c r="B4611" s="1"/>
    </row>
    <row r="4612">
      <c r="A4612" s="1"/>
      <c r="B4612" s="1"/>
    </row>
    <row r="4613">
      <c r="A4613" s="1" t="str">
        <f>IFERROR(__xludf.DUMMYFUNCTION("""COMPUTED_VALUE"""),"Mahindra Manulife Mutual Fund")</f>
        <v>Mahindra Manulife Mutual Fund</v>
      </c>
      <c r="B4613" s="1"/>
    </row>
    <row r="4614">
      <c r="A4614" s="1"/>
      <c r="B4614" s="1"/>
    </row>
    <row r="4615">
      <c r="A4615" s="1" t="str">
        <f>IFERROR(__xludf.DUMMYFUNCTION("""COMPUTED_VALUE"""),"139781;INF174V01093;-;Mahindra Manulife ELSS Fund - Direct Plan -Growth;24.6834;25-Aug-2023")</f>
        <v>139781;INF174V01093;-;Mahindra Manulife ELSS Fund - Direct Plan -Growth;24.6834;25-Aug-2023</v>
      </c>
      <c r="B4615" s="1"/>
    </row>
    <row r="4616">
      <c r="A4616" s="1" t="str">
        <f>IFERROR(__xludf.DUMMYFUNCTION("""COMPUTED_VALUE"""),"139780;INF174V01085;-;Mahindra Manulife ELSS Fund - Regular Plan - IDCW;15.8043;25-Aug-2023")</f>
        <v>139780;INF174V01085;-;Mahindra Manulife ELSS Fund - Regular Plan - IDCW;15.8043;25-Aug-2023</v>
      </c>
      <c r="B4616" s="1"/>
    </row>
    <row r="4617">
      <c r="A4617" s="1" t="str">
        <f>IFERROR(__xludf.DUMMYFUNCTION("""COMPUTED_VALUE"""),"139782;INF174V01101;-;Mahindra Manulife ELSS Fund- Direct Plan - IDCW;18.4313;25-Aug-2023")</f>
        <v>139782;INF174V01101;-;Mahindra Manulife ELSS Fund- Direct Plan - IDCW;18.4313;25-Aug-2023</v>
      </c>
      <c r="B4617" s="1"/>
    </row>
    <row r="4618">
      <c r="A4618" s="1" t="str">
        <f>IFERROR(__xludf.DUMMYFUNCTION("""COMPUTED_VALUE"""),"139783;INF174V01077;-;Mahindra Manulife ELSS Fund- Regular Plan - Growth;21.6827;25-Aug-2023")</f>
        <v>139783;INF174V01077;-;Mahindra Manulife ELSS Fund- Regular Plan - Growth;21.6827;25-Aug-2023</v>
      </c>
      <c r="B4618" s="1"/>
    </row>
    <row r="4619">
      <c r="A4619" s="1"/>
      <c r="B4619" s="1"/>
    </row>
    <row r="4620">
      <c r="A4620" s="1" t="str">
        <f>IFERROR(__xludf.DUMMYFUNCTION("""COMPUTED_VALUE"""),"Mirae Asset Mutual Fund")</f>
        <v>Mirae Asset Mutual Fund</v>
      </c>
      <c r="B4620" s="1"/>
    </row>
    <row r="4621">
      <c r="A4621" s="1"/>
      <c r="B4621" s="1"/>
    </row>
    <row r="4622">
      <c r="A4622" s="1" t="str">
        <f>IFERROR(__xludf.DUMMYFUNCTION("""COMPUTED_VALUE"""),"135782;INF769K01DN7;-;Mirae Asset Tax Saver Fund Direct IDCW;23.139;25-Aug-2023")</f>
        <v>135782;INF769K01DN7;-;Mirae Asset Tax Saver Fund Direct IDCW;23.139;25-Aug-2023</v>
      </c>
      <c r="B4622" s="1"/>
    </row>
    <row r="4623">
      <c r="A4623" s="1" t="str">
        <f>IFERROR(__xludf.DUMMYFUNCTION("""COMPUTED_VALUE"""),"135783;INF769K01DL1;-;Mirae Asset Tax Saver Fund Regular IDCW;20.020;25-Aug-2023")</f>
        <v>135783;INF769K01DL1;-;Mirae Asset Tax Saver Fund Regular IDCW;20.020;25-Aug-2023</v>
      </c>
      <c r="B4623" s="1"/>
    </row>
    <row r="4624">
      <c r="A4624" s="1" t="str">
        <f>IFERROR(__xludf.DUMMYFUNCTION("""COMPUTED_VALUE"""),"135781;INF769K01DM9;-;Mirae Asset Tax Saver Fund-Direct Plan -Growth;38.974;25-Aug-2023")</f>
        <v>135781;INF769K01DM9;-;Mirae Asset Tax Saver Fund-Direct Plan -Growth;38.974;25-Aug-2023</v>
      </c>
      <c r="B4624" s="1"/>
    </row>
    <row r="4625">
      <c r="A4625" s="1" t="str">
        <f>IFERROR(__xludf.DUMMYFUNCTION("""COMPUTED_VALUE"""),"135784;INF769K01DK3;-;Mirae Asset Tax Saver Fund-Regular Plan-Growth;35.089;25-Aug-2023")</f>
        <v>135784;INF769K01DK3;-;Mirae Asset Tax Saver Fund-Regular Plan-Growth;35.089;25-Aug-2023</v>
      </c>
      <c r="B4625" s="1"/>
    </row>
    <row r="4626">
      <c r="A4626" s="1"/>
      <c r="B4626" s="1"/>
    </row>
    <row r="4627">
      <c r="A4627" s="1" t="str">
        <f>IFERROR(__xludf.DUMMYFUNCTION("""COMPUTED_VALUE"""),"Motilal Oswal Mutual Fund")</f>
        <v>Motilal Oswal Mutual Fund</v>
      </c>
      <c r="B4627" s="1"/>
    </row>
    <row r="4628">
      <c r="A4628" s="1"/>
      <c r="B4628" s="1"/>
    </row>
    <row r="4629">
      <c r="A4629" s="1" t="str">
        <f>IFERROR(__xludf.DUMMYFUNCTION("""COMPUTED_VALUE"""),"133386;INF247L01569;-;Motilal Oswal Long Term Equity Fund (MOFLTE) - Direct Plan - Growth Option;35.5841;25-Aug-2023")</f>
        <v>133386;INF247L01569;-;Motilal Oswal Long Term Equity Fund (MOFLTE) - Direct Plan - Growth Option;35.5841;25-Aug-2023</v>
      </c>
      <c r="B4629" s="1"/>
    </row>
    <row r="4630">
      <c r="A4630" s="1" t="str">
        <f>IFERROR(__xludf.DUMMYFUNCTION("""COMPUTED_VALUE"""),"133385;INF247L01544;-;Motilal Oswal Long Term Equity Fund (MOFLTE) - Regular Plan - Growth Option;31.7714;25-Aug-2023")</f>
        <v>133385;INF247L01544;-;Motilal Oswal Long Term Equity Fund (MOFLTE) - Regular Plan - Growth Option;31.7714;25-Aug-2023</v>
      </c>
      <c r="B4630" s="1"/>
    </row>
    <row r="4631">
      <c r="A4631" s="1" t="str">
        <f>IFERROR(__xludf.DUMMYFUNCTION("""COMPUTED_VALUE"""),"133384;INF247L01577;-;Motilal Oswal Long Term Equity Fund Direct - IDCW Payout;26.4269;25-Aug-2023")</f>
        <v>133384;INF247L01577;-;Motilal Oswal Long Term Equity Fund Direct - IDCW Payout;26.4269;25-Aug-2023</v>
      </c>
      <c r="B4631" s="1"/>
    </row>
    <row r="4632">
      <c r="A4632" s="1" t="str">
        <f>IFERROR(__xludf.DUMMYFUNCTION("""COMPUTED_VALUE"""),"133383;INF247L01551;-;Motilal Oswal Long Term Equity Fund Regular - IDCW Payout;21.6632;25-Aug-2023")</f>
        <v>133383;INF247L01551;-;Motilal Oswal Long Term Equity Fund Regular - IDCW Payout;21.6632;25-Aug-2023</v>
      </c>
      <c r="B4632" s="1"/>
    </row>
    <row r="4633">
      <c r="A4633" s="1"/>
      <c r="B4633" s="1"/>
    </row>
    <row r="4634">
      <c r="A4634" s="1" t="str">
        <f>IFERROR(__xludf.DUMMYFUNCTION("""COMPUTED_VALUE"""),"Navi Mutual Fund")</f>
        <v>Navi Mutual Fund</v>
      </c>
      <c r="B4634" s="1"/>
    </row>
    <row r="4635">
      <c r="A4635" s="1"/>
      <c r="B4635" s="1"/>
    </row>
    <row r="4636">
      <c r="A4636" s="1" t="str">
        <f>IFERROR(__xludf.DUMMYFUNCTION("""COMPUTED_VALUE"""),"135653;INF959L01CE3;-;Navi ELSS Tax Saver Fund - Direct Plan IDCW Payout;26.0112;25-Aug-2023")</f>
        <v>135653;INF959L01CE3;-;Navi ELSS Tax Saver Fund - Direct Plan IDCW Payout;26.0112;25-Aug-2023</v>
      </c>
      <c r="B4636" s="1"/>
    </row>
    <row r="4637">
      <c r="A4637" s="1" t="str">
        <f>IFERROR(__xludf.DUMMYFUNCTION("""COMPUTED_VALUE"""),"135652;INF959L01CG8;-;Navi ELSS Tax Saver Fund - Regular Plan IDCW Payout;23.0182;25-Aug-2023")</f>
        <v>135652;INF959L01CG8;-;Navi ELSS Tax Saver Fund - Regular Plan IDCW Payout;23.0182;25-Aug-2023</v>
      </c>
      <c r="B4637" s="1"/>
    </row>
    <row r="4638">
      <c r="A4638" s="1" t="str">
        <f>IFERROR(__xludf.DUMMYFUNCTION("""COMPUTED_VALUE"""),"135654;INF959L01CD5;-;Navi ELSS Tax Saver Fund- Direct Plan- Growth Option;26.313;25-Aug-2023")</f>
        <v>135654;INF959L01CD5;-;Navi ELSS Tax Saver Fund- Direct Plan- Growth Option;26.313;25-Aug-2023</v>
      </c>
      <c r="B4638" s="1"/>
    </row>
    <row r="4639">
      <c r="A4639" s="1" t="str">
        <f>IFERROR(__xludf.DUMMYFUNCTION("""COMPUTED_VALUE"""),"135655;INF959L01CF0;-;Navi ELSS Tax Saver Fund- Regular Plan- Growth Option;23.0176;25-Aug-2023")</f>
        <v>135655;INF959L01CF0;-;Navi ELSS Tax Saver Fund- Regular Plan- Growth Option;23.0176;25-Aug-2023</v>
      </c>
      <c r="B4639" s="1"/>
    </row>
    <row r="4640">
      <c r="A4640" s="1" t="str">
        <f>IFERROR(__xludf.DUMMYFUNCTION("""COMPUTED_VALUE"""),"151471;INF959L01GR6;-;NAVI ELSS TAX SAVER NIFTY 50 INDEX FUND - DIRECT PLAN GROWTH;11.4197;25-Aug-2023")</f>
        <v>151471;INF959L01GR6;-;NAVI ELSS TAX SAVER NIFTY 50 INDEX FUND - DIRECT PLAN GROWTH;11.4197;25-Aug-2023</v>
      </c>
      <c r="B4640" s="1"/>
    </row>
    <row r="4641">
      <c r="A4641" s="1" t="str">
        <f>IFERROR(__xludf.DUMMYFUNCTION("""COMPUTED_VALUE"""),"151473;INF959L01GT2;-;NAVI ELSS TAX SAVER NIFTY 50 INDEX FUND - DIRECT PLAN IDCW PAYOUT;11.4242;25-Aug-2023")</f>
        <v>151473;INF959L01GT2;-;NAVI ELSS TAX SAVER NIFTY 50 INDEX FUND - DIRECT PLAN IDCW PAYOUT;11.4242;25-Aug-2023</v>
      </c>
      <c r="B4641" s="1"/>
    </row>
    <row r="4642">
      <c r="A4642" s="1" t="str">
        <f>IFERROR(__xludf.DUMMYFUNCTION("""COMPUTED_VALUE"""),"151472;INF959L01GS4;-;NAVI ELSS TAX SAVER NIFTY 50 INDEX FUND - REGULAR PLAN GROWTH;11.3764;25-Aug-2023")</f>
        <v>151472;INF959L01GS4;-;NAVI ELSS TAX SAVER NIFTY 50 INDEX FUND - REGULAR PLAN GROWTH;11.3764;25-Aug-2023</v>
      </c>
      <c r="B4642" s="1"/>
    </row>
    <row r="4643">
      <c r="A4643" s="1" t="str">
        <f>IFERROR(__xludf.DUMMYFUNCTION("""COMPUTED_VALUE"""),"151474;INF959L01GU0;-;NAVI ELSS TAX SAVER NIFTY 50 INDEX FUND - REGULAR PLAN IDCW PAYOUT;11.389;25-Aug-2023")</f>
        <v>151474;INF959L01GU0;-;NAVI ELSS TAX SAVER NIFTY 50 INDEX FUND - REGULAR PLAN IDCW PAYOUT;11.389;25-Aug-2023</v>
      </c>
      <c r="B4643" s="1"/>
    </row>
    <row r="4644">
      <c r="A4644" s="1"/>
      <c r="B4644" s="1"/>
    </row>
    <row r="4645">
      <c r="A4645" s="1" t="str">
        <f>IFERROR(__xludf.DUMMYFUNCTION("""COMPUTED_VALUE"""),"Nippon India Mutual Fund")</f>
        <v>Nippon India Mutual Fund</v>
      </c>
      <c r="B4645" s="1"/>
    </row>
    <row r="4646">
      <c r="A4646" s="1"/>
      <c r="B4646" s="1"/>
    </row>
    <row r="4647">
      <c r="A4647" s="1" t="str">
        <f>IFERROR(__xludf.DUMMYFUNCTION("""COMPUTED_VALUE"""),"133866;INF204KA1E04;-;NIPPON INDIA TAX SAVER (ELSS) FUND - ANNUAL IDCW Option;17.6142;25-Aug-2023")</f>
        <v>133866;INF204KA1E04;-;NIPPON INDIA TAX SAVER (ELSS) FUND - ANNUAL IDCW Option;17.6142;25-Aug-2023</v>
      </c>
      <c r="B4647" s="1"/>
    </row>
    <row r="4648">
      <c r="A4648" s="1" t="str">
        <f>IFERROR(__xludf.DUMMYFUNCTION("""COMPUTED_VALUE"""),"133865;INF204KA1E12;-;NIPPON INDIA TAX SAVER (ELSS) FUND - DIRECT Plan - ANNUAL IDCW Option;18.6992;25-Aug-2023")</f>
        <v>133865;INF204KA1E12;-;NIPPON INDIA TAX SAVER (ELSS) FUND - DIRECT Plan - ANNUAL IDCW Option;18.6992;25-Aug-2023</v>
      </c>
      <c r="B4648" s="1"/>
    </row>
    <row r="4649">
      <c r="A4649" s="1" t="str">
        <f>IFERROR(__xludf.DUMMYFUNCTION("""COMPUTED_VALUE"""),"118801;INF204K01L30;INF204K01L48;NIPPON INDIA TAX SAVER (ELSS) FUND - DIRECT Plan - IDCW Option;37.3857;25-Aug-2023")</f>
        <v>118801;INF204K01L30;INF204K01L48;NIPPON INDIA TAX SAVER (ELSS) FUND - DIRECT Plan - IDCW Option;37.3857;25-Aug-2023</v>
      </c>
      <c r="B4649" s="1"/>
    </row>
    <row r="4650">
      <c r="A4650" s="1" t="str">
        <f>IFERROR(__xludf.DUMMYFUNCTION("""COMPUTED_VALUE"""),"103197;INF204K01GL2;INF204K01GM0;NIPPON INDIA TAX SAVER (ELSS) FUND - IDCW Option;29.0287;25-Aug-2023")</f>
        <v>103197;INF204K01GL2;INF204K01GM0;NIPPON INDIA TAX SAVER (ELSS) FUND - IDCW Option;29.0287;25-Aug-2023</v>
      </c>
      <c r="B4650" s="1"/>
    </row>
    <row r="4651">
      <c r="A4651" s="1" t="str">
        <f>IFERROR(__xludf.DUMMYFUNCTION("""COMPUTED_VALUE"""),"103196;INF204K01GK4;-;Nippon India Tax Saver (ELSS) Fund-Growth Plan-Growth Option;90.1379;25-Aug-2023")</f>
        <v>103196;INF204K01GK4;-;Nippon India Tax Saver (ELSS) Fund-Growth Plan-Growth Option;90.1379;25-Aug-2023</v>
      </c>
      <c r="B4651" s="1"/>
    </row>
    <row r="4652">
      <c r="A4652" s="1" t="str">
        <f>IFERROR(__xludf.DUMMYFUNCTION("""COMPUTED_VALUE"""),"118803;INF204K01L55;-;Nippon India Tax Saver Fund - Direct Plan Growth Plan - Growth Option;97.6803;25-Aug-2023")</f>
        <v>118803;INF204K01L55;-;Nippon India Tax Saver Fund - Direct Plan Growth Plan - Growth Option;97.6803;25-Aug-2023</v>
      </c>
      <c r="B4652" s="1"/>
    </row>
    <row r="4653">
      <c r="A4653" s="1"/>
      <c r="B4653" s="1"/>
    </row>
    <row r="4654">
      <c r="A4654" s="1" t="str">
        <f>IFERROR(__xludf.DUMMYFUNCTION("""COMPUTED_VALUE"""),"NJ Mutual Fund")</f>
        <v>NJ Mutual Fund</v>
      </c>
      <c r="B4654" s="1"/>
    </row>
    <row r="4655">
      <c r="A4655" s="1"/>
      <c r="B4655" s="1"/>
    </row>
    <row r="4656">
      <c r="A4656" s="1" t="str">
        <f>IFERROR(__xludf.DUMMYFUNCTION("""COMPUTED_VALUE"""),"151611;INF0J8L01115;-;NJ ELSS Tax Saver Scheme Direct Growth;10.79;25-Aug-2023")</f>
        <v>151611;INF0J8L01115;-;NJ ELSS Tax Saver Scheme Direct Growth;10.79;25-Aug-2023</v>
      </c>
      <c r="B4656" s="1"/>
    </row>
    <row r="4657">
      <c r="A4657" s="1" t="str">
        <f>IFERROR(__xludf.DUMMYFUNCTION("""COMPUTED_VALUE"""),"151612;INF0J8L01123;-;NJ ELSS Tax Saver Scheme Direct IDCW;10.79;25-Aug-2023")</f>
        <v>151612;INF0J8L01123;-;NJ ELSS Tax Saver Scheme Direct IDCW;10.79;25-Aug-2023</v>
      </c>
      <c r="B4657" s="1"/>
    </row>
    <row r="4658">
      <c r="A4658" s="1" t="str">
        <f>IFERROR(__xludf.DUMMYFUNCTION("""COMPUTED_VALUE"""),"151609;INF0J8L01099;-;NJ ELSS Tax Saver Scheme Regular Growth;10.75;25-Aug-2023")</f>
        <v>151609;INF0J8L01099;-;NJ ELSS Tax Saver Scheme Regular Growth;10.75;25-Aug-2023</v>
      </c>
      <c r="B4658" s="1"/>
    </row>
    <row r="4659">
      <c r="A4659" s="1" t="str">
        <f>IFERROR(__xludf.DUMMYFUNCTION("""COMPUTED_VALUE"""),"151610;INF0J8L01107;-;NJ ELSS Tax Saver Scheme Regular IDCW;10.75;25-Aug-2023")</f>
        <v>151610;INF0J8L01107;-;NJ ELSS Tax Saver Scheme Regular IDCW;10.75;25-Aug-2023</v>
      </c>
      <c r="B4659" s="1"/>
    </row>
    <row r="4660">
      <c r="A4660" s="1"/>
      <c r="B4660" s="1"/>
    </row>
    <row r="4661">
      <c r="A4661" s="1" t="str">
        <f>IFERROR(__xludf.DUMMYFUNCTION("""COMPUTED_VALUE"""),"PGIM India Mutual Fund")</f>
        <v>PGIM India Mutual Fund</v>
      </c>
      <c r="B4661" s="1"/>
    </row>
    <row r="4662">
      <c r="A4662" s="1"/>
      <c r="B4662" s="1"/>
    </row>
    <row r="4663">
      <c r="A4663" s="1" t="str">
        <f>IFERROR(__xludf.DUMMYFUNCTION("""COMPUTED_VALUE"""),"135600;INF663L01FO3;-;PGIM India ELSS Tax Saver Fund - Direct Plan - Dividend Option;17.49;25-Aug-2023")</f>
        <v>135600;INF663L01FO3;-;PGIM India ELSS Tax Saver Fund - Direct Plan - Dividend Option;17.49;25-Aug-2023</v>
      </c>
      <c r="B4663" s="1"/>
    </row>
    <row r="4664">
      <c r="A4664" s="1" t="str">
        <f>IFERROR(__xludf.DUMMYFUNCTION("""COMPUTED_VALUE"""),"135601;INF663L01FN5;-;PGIM India ELSS Tax Saver Fund - Direct Plan - Growth Option;30.06;25-Aug-2023")</f>
        <v>135601;INF663L01FN5;-;PGIM India ELSS Tax Saver Fund - Direct Plan - Growth Option;30.06;25-Aug-2023</v>
      </c>
      <c r="B4664" s="1"/>
    </row>
    <row r="4665">
      <c r="A4665" s="1" t="str">
        <f>IFERROR(__xludf.DUMMYFUNCTION("""COMPUTED_VALUE"""),"135599;INF663L01FR6;-;PGIM India ELSS Tax Saver Fund - Regular Plan - Dividend Option;16.96;25-Aug-2023")</f>
        <v>135599;INF663L01FR6;-;PGIM India ELSS Tax Saver Fund - Regular Plan - Dividend Option;16.96;25-Aug-2023</v>
      </c>
      <c r="B4665" s="1"/>
    </row>
    <row r="4666">
      <c r="A4666" s="1" t="str">
        <f>IFERROR(__xludf.DUMMYFUNCTION("""COMPUTED_VALUE"""),"135598;INF663L01FQ8;-;PGIM India ELSS Tax Saver Fund - Regular Plan - Growth Option;27.03;25-Aug-2023")</f>
        <v>135598;INF663L01FQ8;-;PGIM India ELSS Tax Saver Fund - Regular Plan - Growth Option;27.03;25-Aug-2023</v>
      </c>
      <c r="B4666" s="1"/>
    </row>
    <row r="4667">
      <c r="A4667" s="1"/>
      <c r="B4667" s="1"/>
    </row>
    <row r="4668">
      <c r="A4668" s="1" t="str">
        <f>IFERROR(__xludf.DUMMYFUNCTION("""COMPUTED_VALUE"""),"PPFAS Mutual Fund")</f>
        <v>PPFAS Mutual Fund</v>
      </c>
      <c r="B4668" s="1"/>
    </row>
    <row r="4669">
      <c r="A4669" s="1"/>
      <c r="B4669" s="1"/>
    </row>
    <row r="4670">
      <c r="A4670" s="1" t="str">
        <f>IFERROR(__xludf.DUMMYFUNCTION("""COMPUTED_VALUE"""),"147481;INF879O01100;-;Parag Parikh Tax Saver Fund- Direct Growth;23.2125;25-Aug-2023")</f>
        <v>147481;INF879O01100;-;Parag Parikh Tax Saver Fund- Direct Growth;23.2125;25-Aug-2023</v>
      </c>
      <c r="B4670" s="1"/>
    </row>
    <row r="4671">
      <c r="A4671" s="1" t="str">
        <f>IFERROR(__xludf.DUMMYFUNCTION("""COMPUTED_VALUE"""),"147482;INF879O01092;-;Parag Parikh Tax Saver Fund- Regular Growth;22.0522;25-Aug-2023")</f>
        <v>147482;INF879O01092;-;Parag Parikh Tax Saver Fund- Regular Growth;22.0522;25-Aug-2023</v>
      </c>
      <c r="B4671" s="1"/>
    </row>
    <row r="4672">
      <c r="A4672" s="1"/>
      <c r="B4672" s="1"/>
    </row>
    <row r="4673">
      <c r="A4673" s="1" t="str">
        <f>IFERROR(__xludf.DUMMYFUNCTION("""COMPUTED_VALUE"""),"quant Mutual Fund")</f>
        <v>quant Mutual Fund</v>
      </c>
      <c r="B4673" s="1"/>
    </row>
    <row r="4674">
      <c r="A4674" s="1"/>
      <c r="B4674" s="1"/>
    </row>
    <row r="4675">
      <c r="A4675" s="1" t="str">
        <f>IFERROR(__xludf.DUMMYFUNCTION("""COMPUTED_VALUE"""),"120847;INF966L01986;-;quant Tax Plan - Growth Option - Direct Plan;288.1746;25-Aug-2023")</f>
        <v>120847;INF966L01986;-;quant Tax Plan - Growth Option - Direct Plan;288.1746;25-Aug-2023</v>
      </c>
      <c r="B4675" s="1"/>
    </row>
    <row r="4676">
      <c r="A4676" s="1" t="str">
        <f>IFERROR(__xludf.DUMMYFUNCTION("""COMPUTED_VALUE"""),"100175;INF966L01135;-;quant Tax Plan - Growth Option - Regular Plan;262.8327;25-Aug-2023")</f>
        <v>100175;INF966L01135;-;quant Tax Plan - Growth Option - Regular Plan;262.8327;25-Aug-2023</v>
      </c>
      <c r="B4676" s="1"/>
    </row>
    <row r="4677">
      <c r="A4677" s="1" t="str">
        <f>IFERROR(__xludf.DUMMYFUNCTION("""COMPUTED_VALUE"""),"120846;INF966L01960;INF966L01127;quant Tax Plan - IDCW Option - Direct Plan;38.4145;25-Aug-2023")</f>
        <v>120846;INF966L01960;INF966L01127;quant Tax Plan - IDCW Option - Direct Plan;38.4145;25-Aug-2023</v>
      </c>
      <c r="B4677" s="1"/>
    </row>
    <row r="4678">
      <c r="A4678" s="1" t="str">
        <f>IFERROR(__xludf.DUMMYFUNCTION("""COMPUTED_VALUE"""),"100174;INF966L01119;-;quant Tax Plan - IDCW Option - Regular Plan;36.5031;25-Aug-2023")</f>
        <v>100174;INF966L01119;-;quant Tax Plan - IDCW Option - Regular Plan;36.5031;25-Aug-2023</v>
      </c>
      <c r="B4678" s="1"/>
    </row>
    <row r="4679">
      <c r="A4679" s="1"/>
      <c r="B4679" s="1"/>
    </row>
    <row r="4680">
      <c r="A4680" s="1" t="str">
        <f>IFERROR(__xludf.DUMMYFUNCTION("""COMPUTED_VALUE"""),"Quantum Mutual Fund")</f>
        <v>Quantum Mutual Fund</v>
      </c>
      <c r="B4680" s="1"/>
    </row>
    <row r="4681">
      <c r="A4681" s="1"/>
      <c r="B4681" s="1"/>
    </row>
    <row r="4682">
      <c r="A4682" s="1" t="str">
        <f>IFERROR(__xludf.DUMMYFUNCTION("""COMPUTED_VALUE"""),"111549;INF082J01069;-;Quantum Tax Saving Fund - Direct Plan Growth Option;90.02;25-Aug-2023")</f>
        <v>111549;INF082J01069;-;Quantum Tax Saving Fund - Direct Plan Growth Option;90.02;25-Aug-2023</v>
      </c>
      <c r="B4682" s="1"/>
    </row>
    <row r="4683">
      <c r="A4683" s="1" t="str">
        <f>IFERROR(__xludf.DUMMYFUNCTION("""COMPUTED_VALUE"""),"111550;INF082J01077;INF082J01085;Quantum Tax Saving Fund - Direct Plan IDCW;90.02;25-Aug-2023")</f>
        <v>111550;INF082J01077;INF082J01085;Quantum Tax Saving Fund - Direct Plan IDCW;90.02;25-Aug-2023</v>
      </c>
      <c r="B4683" s="1"/>
    </row>
    <row r="4684">
      <c r="A4684" s="1" t="str">
        <f>IFERROR(__xludf.DUMMYFUNCTION("""COMPUTED_VALUE"""),"141070;INF082J01366;-;Quantum Tax Saving Fund - Regular Plan Growth Option;87.71;25-Aug-2023")</f>
        <v>141070;INF082J01366;-;Quantum Tax Saving Fund - Regular Plan Growth Option;87.71;25-Aug-2023</v>
      </c>
      <c r="B4684" s="1"/>
    </row>
    <row r="4685">
      <c r="A4685" s="1" t="str">
        <f>IFERROR(__xludf.DUMMYFUNCTION("""COMPUTED_VALUE"""),"141071;INF082J01374;-;Quantum Tax Saving Fund - Regular Plan IDCW;87.71;25-Aug-2023")</f>
        <v>141071;INF082J01374;-;Quantum Tax Saving Fund - Regular Plan IDCW;87.71;25-Aug-2023</v>
      </c>
      <c r="B4685" s="1"/>
    </row>
    <row r="4686">
      <c r="A4686" s="1"/>
      <c r="B4686" s="1"/>
    </row>
    <row r="4687">
      <c r="A4687" s="1" t="str">
        <f>IFERROR(__xludf.DUMMYFUNCTION("""COMPUTED_VALUE"""),"Samco Mutual Fund")</f>
        <v>Samco Mutual Fund</v>
      </c>
      <c r="B4687" s="1"/>
    </row>
    <row r="4688">
      <c r="A4688" s="1"/>
      <c r="B4688" s="1"/>
    </row>
    <row r="4689">
      <c r="A4689" s="1" t="str">
        <f>IFERROR(__xludf.DUMMYFUNCTION("""COMPUTED_VALUE"""),"150838;INF0K1H01065;-;Samco ELSS Tax Saver Fund - Direct Plan - Growth Option;11.68;25-Aug-2023")</f>
        <v>150838;INF0K1H01065;-;Samco ELSS Tax Saver Fund - Direct Plan - Growth Option;11.68;25-Aug-2023</v>
      </c>
      <c r="B4689" s="1"/>
    </row>
    <row r="4690">
      <c r="A4690" s="1" t="str">
        <f>IFERROR(__xludf.DUMMYFUNCTION("""COMPUTED_VALUE"""),"150839;INF0K1H01057;-;Samco ELSS Tax Saver Fund - Regular Plan - Growth Option;11.56;25-Aug-2023")</f>
        <v>150839;INF0K1H01057;-;Samco ELSS Tax Saver Fund - Regular Plan - Growth Option;11.56;25-Aug-2023</v>
      </c>
      <c r="B4690" s="1"/>
    </row>
    <row r="4691">
      <c r="A4691" s="1"/>
      <c r="B4691" s="1"/>
    </row>
    <row r="4692">
      <c r="A4692" s="1" t="str">
        <f>IFERROR(__xludf.DUMMYFUNCTION("""COMPUTED_VALUE"""),"SBI Mutual Fund")</f>
        <v>SBI Mutual Fund</v>
      </c>
      <c r="B4692" s="1"/>
    </row>
    <row r="4693">
      <c r="A4693" s="1"/>
      <c r="B4693" s="1"/>
    </row>
    <row r="4694">
      <c r="A4694" s="1" t="str">
        <f>IFERROR(__xludf.DUMMYFUNCTION("""COMPUTED_VALUE"""),"119722;INF200K01UK3;-;SBI Long Term Equity Fund - Direct Plan - Income Distribution cum Capital Withdrawal Option (IDCW);74.7395;25-Aug-2023")</f>
        <v>119722;INF200K01UK3;-;SBI Long Term Equity Fund - Direct Plan - Income Distribution cum Capital Withdrawal Option (IDCW);74.7395;25-Aug-2023</v>
      </c>
      <c r="B4694" s="1"/>
    </row>
    <row r="4695">
      <c r="A4695" s="1" t="str">
        <f>IFERROR(__xludf.DUMMYFUNCTION("""COMPUTED_VALUE"""),"119723;INF200K01UM9;-;SBI LONG TERM EQUITY FUND - DIRECT PLAN -GROWTH;301.7415;25-Aug-2023")</f>
        <v>119723;INF200K01UM9;-;SBI LONG TERM EQUITY FUND - DIRECT PLAN -GROWTH;301.7415;25-Aug-2023</v>
      </c>
      <c r="B4695" s="1"/>
    </row>
    <row r="4696">
      <c r="A4696" s="1" t="str">
        <f>IFERROR(__xludf.DUMMYFUNCTION("""COMPUTED_VALUE"""),"103883;INF200K01479;-;SBI Long Term Equity Fund - Regular Plan - Income Distribution cum Capital Withdrawal Option (IDCW);57.3333;25-Aug-2023")</f>
        <v>103883;INF200K01479;-;SBI Long Term Equity Fund - Regular Plan - Income Distribution cum Capital Withdrawal Option (IDCW);57.3333;25-Aug-2023</v>
      </c>
      <c r="B4696" s="1"/>
    </row>
    <row r="4697">
      <c r="A4697" s="1" t="str">
        <f>IFERROR(__xludf.DUMMYFUNCTION("""COMPUTED_VALUE"""),"105628;INF200K01495;-;SBI LONG TERM EQUITY FUND - REGULAR PLAN- GROWTH;282.7927;25-Aug-2023")</f>
        <v>105628;INF200K01495;-;SBI LONG TERM EQUITY FUND - REGULAR PLAN- GROWTH;282.7927;25-Aug-2023</v>
      </c>
      <c r="B4697" s="1"/>
    </row>
    <row r="4698">
      <c r="A4698" s="1"/>
      <c r="B4698" s="1"/>
    </row>
    <row r="4699">
      <c r="A4699" s="1" t="str">
        <f>IFERROR(__xludf.DUMMYFUNCTION("""COMPUTED_VALUE"""),"Shriram Mutual Fund")</f>
        <v>Shriram Mutual Fund</v>
      </c>
      <c r="B4699" s="1"/>
    </row>
    <row r="4700">
      <c r="A4700" s="1"/>
      <c r="B4700" s="1"/>
    </row>
    <row r="4701">
      <c r="A4701" s="1" t="str">
        <f>IFERROR(__xludf.DUMMYFUNCTION("""COMPUTED_VALUE"""),"145819;INF680P01158;-;Shriram Long Term Equity Fund - Direct Growth;18.2827;25-Aug-2023")</f>
        <v>145819;INF680P01158;-;Shriram Long Term Equity Fund - Direct Growth;18.2827;25-Aug-2023</v>
      </c>
      <c r="B4701" s="1"/>
    </row>
    <row r="4702">
      <c r="A4702" s="1" t="str">
        <f>IFERROR(__xludf.DUMMYFUNCTION("""COMPUTED_VALUE"""),"145822;INF680P01166;-;Shriram Long Term Equity Fund - Direct- IDCW;18.1917;25-Aug-2023")</f>
        <v>145822;INF680P01166;-;Shriram Long Term Equity Fund - Direct- IDCW;18.1917;25-Aug-2023</v>
      </c>
      <c r="B4702" s="1"/>
    </row>
    <row r="4703">
      <c r="A4703" s="1" t="str">
        <f>IFERROR(__xludf.DUMMYFUNCTION("""COMPUTED_VALUE"""),"145820;INF680P01133;-;Shriram Long Term Equity Fund - Regular Growth;16.7897;25-Aug-2023")</f>
        <v>145820;INF680P01133;-;Shriram Long Term Equity Fund - Regular Growth;16.7897;25-Aug-2023</v>
      </c>
      <c r="B4703" s="1"/>
    </row>
    <row r="4704">
      <c r="A4704" s="1" t="str">
        <f>IFERROR(__xludf.DUMMYFUNCTION("""COMPUTED_VALUE"""),"145821;INF680P01141;-;Shriram Long Term Equity Fund - Regular-IDCW;16.7798;25-Aug-2023")</f>
        <v>145821;INF680P01141;-;Shriram Long Term Equity Fund - Regular-IDCW;16.7798;25-Aug-2023</v>
      </c>
      <c r="B4704" s="1"/>
    </row>
    <row r="4705">
      <c r="A4705" s="1"/>
      <c r="B4705" s="1"/>
    </row>
    <row r="4706">
      <c r="A4706" s="1" t="str">
        <f>IFERROR(__xludf.DUMMYFUNCTION("""COMPUTED_VALUE"""),"Sundaram Mutual Fund")</f>
        <v>Sundaram Mutual Fund</v>
      </c>
      <c r="B4706" s="1"/>
    </row>
    <row r="4707">
      <c r="A4707" s="1"/>
      <c r="B4707" s="1"/>
    </row>
    <row r="4708">
      <c r="A4708" s="1" t="str">
        <f>IFERROR(__xludf.DUMMYFUNCTION("""COMPUTED_VALUE"""),"119549;INF903J01NN3;-;Sundaram Diversified Equity (ELSS) Direct Plan - Growth;178.8332;25-Aug-2023")</f>
        <v>119549;INF903J01NN3;-;Sundaram Diversified Equity (ELSS) Direct Plan - Growth;178.8332;25-Aug-2023</v>
      </c>
      <c r="B4708" s="1"/>
    </row>
    <row r="4709">
      <c r="A4709" s="1" t="str">
        <f>IFERROR(__xludf.DUMMYFUNCTION("""COMPUTED_VALUE"""),"119548;INF903J01NL7;INF903J01NM5;Sundaram Diversified Equity (ELSS) Direct Plan - Income Distribution cum Capital Withdrawal (IDCW);16.7513;25-Aug-2023")</f>
        <v>119548;INF903J01NL7;INF903J01NM5;Sundaram Diversified Equity (ELSS) Direct Plan - Income Distribution cum Capital Withdrawal (IDCW);16.7513;25-Aug-2023</v>
      </c>
      <c r="B4709" s="1"/>
    </row>
    <row r="4710">
      <c r="A4710" s="1" t="str">
        <f>IFERROR(__xludf.DUMMYFUNCTION("""COMPUTED_VALUE"""),"101853;INF903J01538;-;Sundaram Diversified Equity (ELSS) Regular Plan - Growth;170.5998;25-Aug-2023")</f>
        <v>101853;INF903J01538;-;Sundaram Diversified Equity (ELSS) Regular Plan - Growth;170.5998;25-Aug-2023</v>
      </c>
      <c r="B4710" s="1"/>
    </row>
    <row r="4711">
      <c r="A4711" s="1" t="str">
        <f>IFERROR(__xludf.DUMMYFUNCTION("""COMPUTED_VALUE"""),"100614;INF903J01512;INF903J01520;Sundaram Diversified Equity (ELSS) Regular Plan - Income Distribution cum Capital Withdrawal (IDCW);13.9325;25-Aug-2023")</f>
        <v>100614;INF903J01512;INF903J01520;Sundaram Diversified Equity (ELSS) Regular Plan - Income Distribution cum Capital Withdrawal (IDCW);13.9325;25-Aug-2023</v>
      </c>
      <c r="B4711" s="1"/>
    </row>
    <row r="4712">
      <c r="A4712" s="1" t="str">
        <f>IFERROR(__xludf.DUMMYFUNCTION("""COMPUTED_VALUE"""),"149570;INF173K01HZ7;-;Sundaram Tax Savings Fund (Formerly Known as Principal Tax Savings Fund) - Direct Plan Growth;400.5303;25-Aug-2023")</f>
        <v>149570;INF173K01HZ7;-;Sundaram Tax Savings Fund (Formerly Known as Principal Tax Savings Fund) - Direct Plan Growth;400.5303;25-Aug-2023</v>
      </c>
      <c r="B4712" s="1"/>
    </row>
    <row r="4713">
      <c r="A4713" s="1" t="str">
        <f>IFERROR(__xludf.DUMMYFUNCTION("""COMPUTED_VALUE"""),"149571;INF173K01NN1;-;Sundaram Tax Savings Fund (Formerly Known as Principal Tax Savings Fund) Direct Plan - Half Yearly Income Distribution CUM Capital Withdrawal Option;400.1436;25-Aug-2023")</f>
        <v>149571;INF173K01NN1;-;Sundaram Tax Savings Fund (Formerly Known as Principal Tax Savings Fund) Direct Plan - Half Yearly Income Distribution CUM Capital Withdrawal Option;400.1436;25-Aug-2023</v>
      </c>
      <c r="B4713" s="1"/>
    </row>
    <row r="4714">
      <c r="A4714" s="1" t="str">
        <f>IFERROR(__xludf.DUMMYFUNCTION("""COMPUTED_VALUE"""),"149569;INF173K01361;-;Sundaram Tax Savings Fund (Formerly Known as Principal Tax Savings Fund) Regular Growth;378.5487;25-Aug-2023")</f>
        <v>149569;INF173K01361;-;Sundaram Tax Savings Fund (Formerly Known as Principal Tax Savings Fund) Regular Growth;378.5487;25-Aug-2023</v>
      </c>
      <c r="B4714" s="1"/>
    </row>
    <row r="4715">
      <c r="A4715" s="1" t="str">
        <f>IFERROR(__xludf.DUMMYFUNCTION("""COMPUTED_VALUE"""),"149572;INF173K01NM3;-;Sundaram Tax Savings Fund (Formerly Known as Principal Tax Savings Fund) Regular Plan - Half Yearly Income Distribution CUM Capital Withdrawal Option;352.0060;25-Aug-2023")</f>
        <v>149572;INF173K01NM3;-;Sundaram Tax Savings Fund (Formerly Known as Principal Tax Savings Fund) Regular Plan - Half Yearly Income Distribution CUM Capital Withdrawal Option;352.0060;25-Aug-2023</v>
      </c>
      <c r="B4715" s="1"/>
    </row>
    <row r="4716">
      <c r="A4716" s="1"/>
      <c r="B4716" s="1"/>
    </row>
    <row r="4717">
      <c r="A4717" s="1" t="str">
        <f>IFERROR(__xludf.DUMMYFUNCTION("""COMPUTED_VALUE"""),"Tata Mutual Fund")</f>
        <v>Tata Mutual Fund</v>
      </c>
      <c r="B4717" s="1"/>
    </row>
    <row r="4718">
      <c r="A4718" s="1"/>
      <c r="B4718" s="1"/>
    </row>
    <row r="4719">
      <c r="A4719" s="1" t="str">
        <f>IFERROR(__xludf.DUMMYFUNCTION("""COMPUTED_VALUE"""),"119281;INF277K01I94;-;Tata India Tax Savings Fund- Direct Plan - Payout of IDCW Option;171.7673;25-Aug-2023")</f>
        <v>119281;INF277K01I94;-;Tata India Tax Savings Fund- Direct Plan - Payout of IDCW Option;171.7673;25-Aug-2023</v>
      </c>
      <c r="B4719" s="1"/>
    </row>
    <row r="4720">
      <c r="A4720" s="1" t="str">
        <f>IFERROR(__xludf.DUMMYFUNCTION("""COMPUTED_VALUE"""),"100474;INF277K01I60;-;Tata India Tax Savings Fund- Regular Plan - Payout of IDCW Option;79.8631;25-Aug-2023")</f>
        <v>100474;INF277K01I60;-;Tata India Tax Savings Fund- Regular Plan - Payout of IDCW Option;79.8631;25-Aug-2023</v>
      </c>
      <c r="B4720" s="1"/>
    </row>
    <row r="4721">
      <c r="A4721" s="1" t="str">
        <f>IFERROR(__xludf.DUMMYFUNCTION("""COMPUTED_VALUE"""),"132756;INF277K01I86;-;Tata India Tax Savings Fund-Growth-Direct Plan;36.8670;25-Aug-2023")</f>
        <v>132756;INF277K01I86;-;Tata India Tax Savings Fund-Growth-Direct Plan;36.8670;25-Aug-2023</v>
      </c>
      <c r="B4721" s="1"/>
    </row>
    <row r="4722">
      <c r="A4722" s="1" t="str">
        <f>IFERROR(__xludf.DUMMYFUNCTION("""COMPUTED_VALUE"""),"132757;INF277K01I52;-;Tata India Tax Savings Fund-Growth-Regular Plan;32.8971;25-Aug-2023")</f>
        <v>132757;INF277K01I52;-;Tata India Tax Savings Fund-Growth-Regular Plan;32.8971;25-Aug-2023</v>
      </c>
      <c r="B4722" s="1"/>
    </row>
    <row r="4723">
      <c r="A4723" s="1"/>
      <c r="B4723" s="1"/>
    </row>
    <row r="4724">
      <c r="A4724" s="1" t="str">
        <f>IFERROR(__xludf.DUMMYFUNCTION("""COMPUTED_VALUE"""),"Taurus Mutual Fund")</f>
        <v>Taurus Mutual Fund</v>
      </c>
      <c r="B4724" s="1"/>
    </row>
    <row r="4725">
      <c r="A4725" s="1"/>
      <c r="B4725" s="1"/>
    </row>
    <row r="4726">
      <c r="A4726" s="1" t="str">
        <f>IFERROR(__xludf.DUMMYFUNCTION("""COMPUTED_VALUE"""),"118866;INF044D01CG6;INF044D01AA3;Taurus Taxshield - Direct Plan - Growth;142.72;25-Aug-2023")</f>
        <v>118866;INF044D01CG6;INF044D01AA3;Taurus Taxshield - Direct Plan - Growth;142.72;25-Aug-2023</v>
      </c>
      <c r="B4726" s="1"/>
    </row>
    <row r="4727">
      <c r="A4727" s="1" t="str">
        <f>IFERROR(__xludf.DUMMYFUNCTION("""COMPUTED_VALUE"""),"118867;INF044D01CH4;INF044D01CI2;Taurus Taxshield - Direct Plan - Payout of Income Distribution cum Capital Withdrawal option;65.78;25-Aug-2023")</f>
        <v>118867;INF044D01CH4;INF044D01CI2;Taurus Taxshield - Direct Plan - Payout of Income Distribution cum Capital Withdrawal option;65.78;25-Aug-2023</v>
      </c>
      <c r="B4727" s="1"/>
    </row>
    <row r="4728">
      <c r="A4728" s="1" t="str">
        <f>IFERROR(__xludf.DUMMYFUNCTION("""COMPUTED_VALUE"""),"100480;INF044D01AC9;-;Taurus Taxshield - Regular Plan - Growth;132.47;25-Aug-2023")</f>
        <v>100480;INF044D01AC9;-;Taurus Taxshield - Regular Plan - Growth;132.47;25-Aug-2023</v>
      </c>
      <c r="B4728" s="1"/>
    </row>
    <row r="4729">
      <c r="A4729" s="1" t="str">
        <f>IFERROR(__xludf.DUMMYFUNCTION("""COMPUTED_VALUE"""),"108402;INF044D01997;-;Taurus Taxshield - Regular Plan - Payout of Income Distribution cum Capital Withdrawal option;62.06;25-Aug-2023")</f>
        <v>108402;INF044D01997;-;Taurus Taxshield - Regular Plan - Payout of Income Distribution cum Capital Withdrawal option;62.06;25-Aug-2023</v>
      </c>
      <c r="B4729" s="1"/>
    </row>
    <row r="4730">
      <c r="A4730" s="1"/>
      <c r="B4730" s="1"/>
    </row>
    <row r="4731">
      <c r="A4731" s="1" t="str">
        <f>IFERROR(__xludf.DUMMYFUNCTION("""COMPUTED_VALUE"""),"Union Mutual Fund")</f>
        <v>Union Mutual Fund</v>
      </c>
      <c r="B4731" s="1"/>
    </row>
    <row r="4732">
      <c r="A4732" s="1"/>
      <c r="B4732" s="1"/>
    </row>
    <row r="4733">
      <c r="A4733" s="1" t="str">
        <f>IFERROR(__xludf.DUMMYFUNCTION("""COMPUTED_VALUE"""),"119307;INF582M01765;-;Union Tax Saver (ELSS) Fund - Direct Plan - Growth Option;51.56;25-Aug-2023")</f>
        <v>119307;INF582M01765;-;Union Tax Saver (ELSS) Fund - Direct Plan - Growth Option;51.56;25-Aug-2023</v>
      </c>
      <c r="B4733" s="1"/>
    </row>
    <row r="4734">
      <c r="A4734" s="1" t="str">
        <f>IFERROR(__xludf.DUMMYFUNCTION("""COMPUTED_VALUE"""),"119306;INF582M01781;INF582M01773;Union Tax Saver (ELSS) Fund - Direct Plan - IDCW Option;51.56;25-Aug-2023")</f>
        <v>119306;INF582M01781;INF582M01773;Union Tax Saver (ELSS) Fund - Direct Plan - IDCW Option;51.56;25-Aug-2023</v>
      </c>
      <c r="B4734" s="1"/>
    </row>
    <row r="4735">
      <c r="A4735" s="1" t="str">
        <f>IFERROR(__xludf.DUMMYFUNCTION("""COMPUTED_VALUE"""),"116051;INF582M01302;-;Union Tax Saver (ELSS) Fund - Growth Option;48.30;25-Aug-2023")</f>
        <v>116051;INF582M01302;-;Union Tax Saver (ELSS) Fund - Growth Option;48.30;25-Aug-2023</v>
      </c>
      <c r="B4735" s="1"/>
    </row>
    <row r="4736">
      <c r="A4736" s="1" t="str">
        <f>IFERROR(__xludf.DUMMYFUNCTION("""COMPUTED_VALUE"""),"116052;INF582M01328;INF582M01310;Union Tax Saver (ELSS) Fund - IDCW Option;27.00;25-Aug-2023")</f>
        <v>116052;INF582M01328;INF582M01310;Union Tax Saver (ELSS) Fund - IDCW Option;27.00;25-Aug-2023</v>
      </c>
      <c r="B4736" s="1"/>
    </row>
    <row r="4737">
      <c r="A4737" s="1"/>
      <c r="B4737" s="1"/>
    </row>
    <row r="4738">
      <c r="A4738" s="1" t="str">
        <f>IFERROR(__xludf.DUMMYFUNCTION("""COMPUTED_VALUE"""),"UTI Mutual Fund")</f>
        <v>UTI Mutual Fund</v>
      </c>
      <c r="B4738" s="1"/>
    </row>
    <row r="4739">
      <c r="A4739" s="1"/>
      <c r="B4739" s="1"/>
    </row>
    <row r="4740">
      <c r="A4740" s="1" t="str">
        <f>IFERROR(__xludf.DUMMYFUNCTION("""COMPUTED_VALUE"""),"120715;INF789F01TF7;-;UTI - Long Term Equity Fund (Tax Saving) - Direct Plan - Growth Option;170.1791;25-Aug-2023")</f>
        <v>120715;INF789F01TF7;-;UTI - Long Term Equity Fund (Tax Saving) - Direct Plan - Growth Option;170.1791;25-Aug-2023</v>
      </c>
      <c r="B4740" s="1"/>
    </row>
    <row r="4741">
      <c r="A4741" s="1" t="str">
        <f>IFERROR(__xludf.DUMMYFUNCTION("""COMPUTED_VALUE"""),"100821;INF789F01547;-;UTI - Long Term Equity Fund (Tax Saving) - Regular Plan - Growth Option;154.9838;25-Aug-2023")</f>
        <v>100821;INF789F01547;-;UTI - Long Term Equity Fund (Tax Saving) - Regular Plan - Growth Option;154.9838;25-Aug-2023</v>
      </c>
      <c r="B4741" s="1"/>
    </row>
    <row r="4742">
      <c r="A4742" s="1" t="str">
        <f>IFERROR(__xludf.DUMMYFUNCTION("""COMPUTED_VALUE"""),"120714;INF789F01TD2;INF789F01TE0;UTI Long Term Equity Fund ( Tax Saving ) - Direct Plan - IDCW;40.105;25-Aug-2023")</f>
        <v>120714;INF789F01TD2;INF789F01TE0;UTI Long Term Equity Fund ( Tax Saving ) - Direct Plan - IDCW;40.105;25-Aug-2023</v>
      </c>
      <c r="B4742" s="1"/>
    </row>
    <row r="4743">
      <c r="A4743" s="1" t="str">
        <f>IFERROR(__xludf.DUMMYFUNCTION("""COMPUTED_VALUE"""),"100820;INF789F01521;INF789F01539;UTI Long Term Equity Fund ( Tax Saving ) - Regular Plan - IDCW;29.6082;25-Aug-2023")</f>
        <v>100820;INF789F01521;INF789F01539;UTI Long Term Equity Fund ( Tax Saving ) - Regular Plan - IDCW;29.6082;25-Aug-2023</v>
      </c>
      <c r="B4743" s="1"/>
    </row>
    <row r="4744">
      <c r="A4744" s="1"/>
      <c r="B4744" s="1"/>
    </row>
    <row r="4745">
      <c r="A4745" s="1" t="str">
        <f>IFERROR(__xludf.DUMMYFUNCTION("""COMPUTED_VALUE"""),"WhiteOak Capital Mutual Fund")</f>
        <v>WhiteOak Capital Mutual Fund</v>
      </c>
      <c r="B4745" s="1"/>
    </row>
    <row r="4746">
      <c r="A4746" s="1"/>
      <c r="B4746" s="1"/>
    </row>
    <row r="4747">
      <c r="A4747" s="1" t="str">
        <f>IFERROR(__xludf.DUMMYFUNCTION("""COMPUTED_VALUE"""),"150587;INF03VN01621;-;WhiteOak Capital Tax Saver Fund Direct Plan Growth;11.793;25-Aug-2023")</f>
        <v>150587;INF03VN01621;-;WhiteOak Capital Tax Saver Fund Direct Plan Growth;11.793;25-Aug-2023</v>
      </c>
      <c r="B4747" s="1"/>
    </row>
    <row r="4748">
      <c r="A4748" s="1" t="str">
        <f>IFERROR(__xludf.DUMMYFUNCTION("""COMPUTED_VALUE"""),"150586;INF03VN01639;-;WhiteOak Capital Tax Saver Fund Direct Plan IDCW;11.793;25-Aug-2023")</f>
        <v>150586;INF03VN01639;-;WhiteOak Capital Tax Saver Fund Direct Plan IDCW;11.793;25-Aug-2023</v>
      </c>
      <c r="B4748" s="1"/>
    </row>
    <row r="4749">
      <c r="A4749" s="1" t="str">
        <f>IFERROR(__xludf.DUMMYFUNCTION("""COMPUTED_VALUE"""),"150589;INF03VN01647;-;WhiteOak Capital Tax Saver Fund Regular Plan Growth;11.602;25-Aug-2023")</f>
        <v>150589;INF03VN01647;-;WhiteOak Capital Tax Saver Fund Regular Plan Growth;11.602;25-Aug-2023</v>
      </c>
      <c r="B4749" s="1"/>
    </row>
    <row r="4750">
      <c r="A4750" s="1" t="str">
        <f>IFERROR(__xludf.DUMMYFUNCTION("""COMPUTED_VALUE"""),"150588;INF03VN01654;-;WhiteOak Capital Tax Saver Fund Regular Plan IDCW;11.602;25-Aug-2023")</f>
        <v>150588;INF03VN01654;-;WhiteOak Capital Tax Saver Fund Regular Plan IDCW;11.602;25-Aug-2023</v>
      </c>
      <c r="B4750" s="1"/>
    </row>
    <row r="4751">
      <c r="A4751" s="1"/>
      <c r="B4751" s="1"/>
    </row>
    <row r="4752">
      <c r="A4752" s="1" t="str">
        <f>IFERROR(__xludf.DUMMYFUNCTION("""COMPUTED_VALUE"""),"Open Ended Schemes(Equity Scheme - Flexi Cap Fund)")</f>
        <v>Open Ended Schemes(Equity Scheme - Flexi Cap Fund)</v>
      </c>
      <c r="B4752" s="1"/>
    </row>
    <row r="4753">
      <c r="A4753" s="1"/>
      <c r="B4753" s="1"/>
    </row>
    <row r="4754">
      <c r="A4754" s="1" t="str">
        <f>IFERROR(__xludf.DUMMYFUNCTION("""COMPUTED_VALUE"""),"360 ONE Mutual Fund (Formerly Known as IIFL Mutual Fund)")</f>
        <v>360 ONE Mutual Fund (Formerly Known as IIFL Mutual Fund)</v>
      </c>
      <c r="B4754" s="1"/>
    </row>
    <row r="4755">
      <c r="A4755" s="1"/>
      <c r="B4755" s="1"/>
    </row>
    <row r="4756">
      <c r="A4756" s="1" t="str">
        <f>IFERROR(__xludf.DUMMYFUNCTION("""COMPUTED_VALUE"""),"151796;INF579M01AS1;-;360 ONE FLEXICAP FUND-DIRECT PLAN- GROWTH;10.1913;25-Aug-2023")</f>
        <v>151796;INF579M01AS1;-;360 ONE FLEXICAP FUND-DIRECT PLAN- GROWTH;10.1913;25-Aug-2023</v>
      </c>
      <c r="B4756" s="1"/>
    </row>
    <row r="4757">
      <c r="A4757" s="1" t="str">
        <f>IFERROR(__xludf.DUMMYFUNCTION("""COMPUTED_VALUE"""),"151798;INF579M01AT9;INF579M01AU7;360 ONE FLEXICAP FUND-DIRECT PLAN- IDCW;10.1913;25-Aug-2023")</f>
        <v>151798;INF579M01AT9;INF579M01AU7;360 ONE FLEXICAP FUND-DIRECT PLAN- IDCW;10.1913;25-Aug-2023</v>
      </c>
      <c r="B4757" s="1"/>
    </row>
    <row r="4758">
      <c r="A4758" s="1" t="str">
        <f>IFERROR(__xludf.DUMMYFUNCTION("""COMPUTED_VALUE"""),"151799;INF579M01AP7;-;360 ONE FLEXICAP FUND-REGULAR PLAN- GROWTH;10.1675;25-Aug-2023")</f>
        <v>151799;INF579M01AP7;-;360 ONE FLEXICAP FUND-REGULAR PLAN- GROWTH;10.1675;25-Aug-2023</v>
      </c>
      <c r="B4758" s="1"/>
    </row>
    <row r="4759">
      <c r="A4759" s="1" t="str">
        <f>IFERROR(__xludf.DUMMYFUNCTION("""COMPUTED_VALUE"""),"151797;INF579M01AQ5;INF579M01AR3;360 ONE FLEXICAP FUND-REGULAR PLAN- IDCW;10.1675;25-Aug-2023")</f>
        <v>151797;INF579M01AQ5;INF579M01AR3;360 ONE FLEXICAP FUND-REGULAR PLAN- IDCW;10.1675;25-Aug-2023</v>
      </c>
      <c r="B4759" s="1"/>
    </row>
    <row r="4760">
      <c r="A4760" s="1"/>
      <c r="B4760" s="1"/>
    </row>
    <row r="4761">
      <c r="A4761" s="1" t="str">
        <f>IFERROR(__xludf.DUMMYFUNCTION("""COMPUTED_VALUE"""),"Aditya Birla Sun Life Mutual Fund")</f>
        <v>Aditya Birla Sun Life Mutual Fund</v>
      </c>
      <c r="B4761" s="1"/>
    </row>
    <row r="4762">
      <c r="A4762" s="1"/>
      <c r="B4762" s="1"/>
    </row>
    <row r="4763">
      <c r="A4763" s="1" t="str">
        <f>IFERROR(__xludf.DUMMYFUNCTION("""COMPUTED_VALUE"""),"120564;INF209K01XX1;-;Aditya Birla Sun Life Flexi Cap Fund - Growth - Direct Plan;1385.14;25-Aug-2023")</f>
        <v>120564;INF209K01XX1;-;Aditya Birla Sun Life Flexi Cap Fund - Growth - Direct Plan;1385.14;25-Aug-2023</v>
      </c>
      <c r="B4763" s="1"/>
    </row>
    <row r="4764">
      <c r="A4764" s="1" t="str">
        <f>IFERROR(__xludf.DUMMYFUNCTION("""COMPUTED_VALUE"""),"103166;INF209K01AJ8;-;Aditya Birla Sun Life Flexi Cap Fund - Growth - Regular Plan;1258.45;25-Aug-2023")</f>
        <v>103166;INF209K01AJ8;-;Aditya Birla Sun Life Flexi Cap Fund - Growth - Regular Plan;1258.45;25-Aug-2023</v>
      </c>
      <c r="B4764" s="1"/>
    </row>
    <row r="4765">
      <c r="A4765" s="1" t="str">
        <f>IFERROR(__xludf.DUMMYFUNCTION("""COMPUTED_VALUE"""),"120565;INF209KA1LE0;INF209K01XY9;Aditya Birla Sun Life Flexi Cap Fund -DIRECT - IDCW;185.17;25-Aug-2023")</f>
        <v>120565;INF209KA1LE0;INF209K01XY9;Aditya Birla Sun Life Flexi Cap Fund -DIRECT - IDCW;185.17;25-Aug-2023</v>
      </c>
      <c r="B4765" s="1"/>
    </row>
    <row r="4766">
      <c r="A4766" s="1" t="str">
        <f>IFERROR(__xludf.DUMMYFUNCTION("""COMPUTED_VALUE"""),"103165;INF209K01AQ3;INF209K01DT1;Aditya Birla Sun Life Flexi Cap Fund -Regular - IDCW;133.11;25-Aug-2023")</f>
        <v>103165;INF209K01AQ3;INF209K01DT1;Aditya Birla Sun Life Flexi Cap Fund -Regular - IDCW;133.11;25-Aug-2023</v>
      </c>
      <c r="B4766" s="1"/>
    </row>
    <row r="4767">
      <c r="A4767" s="1"/>
      <c r="B4767" s="1"/>
    </row>
    <row r="4768">
      <c r="A4768" s="1" t="str">
        <f>IFERROR(__xludf.DUMMYFUNCTION("""COMPUTED_VALUE"""),"Axis Mutual Fund")</f>
        <v>Axis Mutual Fund</v>
      </c>
      <c r="B4768" s="1"/>
    </row>
    <row r="4769">
      <c r="A4769" s="1"/>
      <c r="B4769" s="1"/>
    </row>
    <row r="4770">
      <c r="A4770" s="1" t="str">
        <f>IFERROR(__xludf.DUMMYFUNCTION("""COMPUTED_VALUE"""),"141925;INF846K01B28;-;Axis Flexi Cap Fund - Direct Plan - Growth;20.65;25-Aug-2023")</f>
        <v>141925;INF846K01B28;-;Axis Flexi Cap Fund - Direct Plan - Growth;20.65;25-Aug-2023</v>
      </c>
      <c r="B4770" s="1"/>
    </row>
    <row r="4771">
      <c r="A4771" s="1" t="str">
        <f>IFERROR(__xludf.DUMMYFUNCTION("""COMPUTED_VALUE"""),"141926;INF846K01B02;INF846K01B10;Axis Flexi Cap fund - Direct Plan - IDCW;14.28;25-Aug-2023")</f>
        <v>141926;INF846K01B02;INF846K01B10;Axis Flexi Cap fund - Direct Plan - IDCW;14.28;25-Aug-2023</v>
      </c>
      <c r="B4771" s="1"/>
    </row>
    <row r="4772">
      <c r="A4772" s="1" t="str">
        <f>IFERROR(__xludf.DUMMYFUNCTION("""COMPUTED_VALUE"""),"141927;INF846K01B51;-;Axis Flexi Cap Fund - Regular Plan - Growth;19.07;25-Aug-2023")</f>
        <v>141927;INF846K01B51;-;Axis Flexi Cap Fund - Regular Plan - Growth;19.07;25-Aug-2023</v>
      </c>
      <c r="B4772" s="1"/>
    </row>
    <row r="4773">
      <c r="A4773" s="1" t="str">
        <f>IFERROR(__xludf.DUMMYFUNCTION("""COMPUTED_VALUE"""),"141928;INF846K01B36;INF846K01B44;Axis Flexi Cap Fund - Regular Plan - IDCW;13.32;25-Aug-2023")</f>
        <v>141928;INF846K01B36;INF846K01B44;Axis Flexi Cap Fund - Regular Plan - IDCW;13.32;25-Aug-2023</v>
      </c>
      <c r="B4773" s="1"/>
    </row>
    <row r="4774">
      <c r="A4774" s="1"/>
      <c r="B4774" s="1"/>
    </row>
    <row r="4775">
      <c r="A4775" s="1" t="str">
        <f>IFERROR(__xludf.DUMMYFUNCTION("""COMPUTED_VALUE"""),"Bajaj Finserv Mutual Fund")</f>
        <v>Bajaj Finserv Mutual Fund</v>
      </c>
      <c r="B4775" s="1"/>
    </row>
    <row r="4776">
      <c r="A4776" s="1"/>
      <c r="B4776" s="1"/>
    </row>
    <row r="4777">
      <c r="A4777" s="1" t="str">
        <f>IFERROR(__xludf.DUMMYFUNCTION("""COMPUTED_VALUE"""),"151898;INF0QA701383;-;Bajaj Finserv Flexi Cap Fund -Regular Plan-Growth;10.027;25-Aug-2023")</f>
        <v>151898;INF0QA701383;-;Bajaj Finserv Flexi Cap Fund -Regular Plan-Growth;10.027;25-Aug-2023</v>
      </c>
      <c r="B4777" s="1"/>
    </row>
    <row r="4778">
      <c r="A4778" s="1" t="str">
        <f>IFERROR(__xludf.DUMMYFUNCTION("""COMPUTED_VALUE"""),"151895;INF0QA701342;-;Bajaj Finserv Flexi Cap Fund-Direct Plan-Growth;10.031;25-Aug-2023")</f>
        <v>151895;INF0QA701342;-;Bajaj Finserv Flexi Cap Fund-Direct Plan-Growth;10.031;25-Aug-2023</v>
      </c>
      <c r="B4778" s="1"/>
    </row>
    <row r="4779">
      <c r="A4779" s="1" t="str">
        <f>IFERROR(__xludf.DUMMYFUNCTION("""COMPUTED_VALUE"""),"151896;INF0QA701359;INF0QA701367;Bajaj Finserv Flexi Cap Fund-Direct Plan-IDCW;10.031;25-Aug-2023")</f>
        <v>151896;INF0QA701359;INF0QA701367;Bajaj Finserv Flexi Cap Fund-Direct Plan-IDCW;10.031;25-Aug-2023</v>
      </c>
      <c r="B4779" s="1"/>
    </row>
    <row r="4780">
      <c r="A4780" s="1" t="str">
        <f>IFERROR(__xludf.DUMMYFUNCTION("""COMPUTED_VALUE"""),"151897;INF0QA701409;INF0QA701417;Bajaj Finserv Flexi Cap Fund-Regular Plan-IDCW;10.027;25-Aug-2023")</f>
        <v>151897;INF0QA701409;INF0QA701417;Bajaj Finserv Flexi Cap Fund-Regular Plan-IDCW;10.027;25-Aug-2023</v>
      </c>
      <c r="B4780" s="1"/>
    </row>
    <row r="4781">
      <c r="A4781" s="1"/>
      <c r="B4781" s="1"/>
    </row>
    <row r="4782">
      <c r="A4782" s="1" t="str">
        <f>IFERROR(__xludf.DUMMYFUNCTION("""COMPUTED_VALUE"""),"Bandhan Mutual Fund")</f>
        <v>Bandhan Mutual Fund</v>
      </c>
      <c r="B4782" s="1"/>
    </row>
    <row r="4783">
      <c r="A4783" s="1"/>
      <c r="B4783" s="1"/>
    </row>
    <row r="4784">
      <c r="A4784" s="1" t="str">
        <f>IFERROR(__xludf.DUMMYFUNCTION("""COMPUTED_VALUE"""),"108594;INF194K01391;-;BANDHAN Flexi Cap Fund - Regular Plan - Growth;151.148;25-Aug-2023")</f>
        <v>108594;INF194K01391;-;BANDHAN Flexi Cap Fund - Regular Plan - Growth;151.148;25-Aug-2023</v>
      </c>
      <c r="B4784" s="1"/>
    </row>
    <row r="4785">
      <c r="A4785" s="1" t="str">
        <f>IFERROR(__xludf.DUMMYFUNCTION("""COMPUTED_VALUE"""),"108595;INF194K01409;INF194K01417;BANDHAN Flexi Cap Fund - Regular Plan - IDCW;41.757;25-Aug-2023")</f>
        <v>108595;INF194K01409;INF194K01417;BANDHAN Flexi Cap Fund - Regular Plan - IDCW;41.757;25-Aug-2023</v>
      </c>
      <c r="B4785" s="1"/>
    </row>
    <row r="4786">
      <c r="A4786" s="1" t="str">
        <f>IFERROR(__xludf.DUMMYFUNCTION("""COMPUTED_VALUE"""),"118424;INF194K01W62;-;BANDHAN Flexi Cap Fund-Direct Plan-Growth;163.021;25-Aug-2023")</f>
        <v>118424;INF194K01W62;-;BANDHAN Flexi Cap Fund-Direct Plan-Growth;163.021;25-Aug-2023</v>
      </c>
      <c r="B4786" s="1"/>
    </row>
    <row r="4787">
      <c r="A4787" s="1" t="str">
        <f>IFERROR(__xludf.DUMMYFUNCTION("""COMPUTED_VALUE"""),"118423;INF194K01W70;INF194K01W88;BANDHAN Flexi Cap Fund-Direct Plan-IDCW;44.892;25-Aug-2023")</f>
        <v>118423;INF194K01W70;INF194K01W88;BANDHAN Flexi Cap Fund-Direct Plan-IDCW;44.892;25-Aug-2023</v>
      </c>
      <c r="B4787" s="1"/>
    </row>
    <row r="4788">
      <c r="A4788" s="1"/>
      <c r="B4788" s="1"/>
    </row>
    <row r="4789">
      <c r="A4789" s="1" t="str">
        <f>IFERROR(__xludf.DUMMYFUNCTION("""COMPUTED_VALUE"""),"Bank of India Mutual Fund")</f>
        <v>Bank of India Mutual Fund</v>
      </c>
      <c r="B4789" s="1"/>
    </row>
    <row r="4790">
      <c r="A4790" s="1"/>
      <c r="B4790" s="1"/>
    </row>
    <row r="4791">
      <c r="A4791" s="1" t="str">
        <f>IFERROR(__xludf.DUMMYFUNCTION("""COMPUTED_VALUE"""),"148404;INF761K01FF5;-;BANK OF INDIA Flexi Cap Fund Direct Plan -Growth;23.39;25-Aug-2023")</f>
        <v>148404;INF761K01FF5;-;BANK OF INDIA Flexi Cap Fund Direct Plan -Growth;23.39;25-Aug-2023</v>
      </c>
      <c r="B4791" s="1"/>
    </row>
    <row r="4792">
      <c r="A4792" s="1" t="str">
        <f>IFERROR(__xludf.DUMMYFUNCTION("""COMPUTED_VALUE"""),"148406;INF761K01FE8;INF761K01FG3;BANK OF INDIA Flexi Cap Fund Direct Plan -IDCW;19.99;25-Aug-2023")</f>
        <v>148406;INF761K01FE8;INF761K01FG3;BANK OF INDIA Flexi Cap Fund Direct Plan -IDCW;19.99;25-Aug-2023</v>
      </c>
      <c r="B4792" s="1"/>
    </row>
    <row r="4793">
      <c r="A4793" s="1" t="str">
        <f>IFERROR(__xludf.DUMMYFUNCTION("""COMPUTED_VALUE"""),"148405;INF761K01FI9;-;BANK OF INDIA Flexi Cap Fund Regular Plan -Growth;22.20;25-Aug-2023")</f>
        <v>148405;INF761K01FI9;-;BANK OF INDIA Flexi Cap Fund Regular Plan -Growth;22.20;25-Aug-2023</v>
      </c>
      <c r="B4793" s="1"/>
    </row>
    <row r="4794">
      <c r="A4794" s="1" t="str">
        <f>IFERROR(__xludf.DUMMYFUNCTION("""COMPUTED_VALUE"""),"148407;INF761K01FH1;INF761K01FJ7;BANK OF INDIA Flexi Cap Fund Regular Plan -IDCW;20.17;25-Aug-2023")</f>
        <v>148407;INF761K01FH1;INF761K01FJ7;BANK OF INDIA Flexi Cap Fund Regular Plan -IDCW;20.17;25-Aug-2023</v>
      </c>
      <c r="B4794" s="1"/>
    </row>
    <row r="4795">
      <c r="A4795" s="1"/>
      <c r="B4795" s="1"/>
    </row>
    <row r="4796">
      <c r="A4796" s="1" t="str">
        <f>IFERROR(__xludf.DUMMYFUNCTION("""COMPUTED_VALUE"""),"Baroda BNP Paribas Mutual Fund")</f>
        <v>Baroda BNP Paribas Mutual Fund</v>
      </c>
      <c r="B4796" s="1"/>
    </row>
    <row r="4797">
      <c r="A4797" s="1"/>
      <c r="B4797" s="1"/>
    </row>
    <row r="4798">
      <c r="A4798" s="1" t="str">
        <f>IFERROR(__xludf.DUMMYFUNCTION("""COMPUTED_VALUE"""),"150387;INF251K01QZ2;-;Baroda BNP Paribas Flexi Cap Fund - Direct Plan - Growth Option;11.3612;25-Aug-2023")</f>
        <v>150387;INF251K01QZ2;-;Baroda BNP Paribas Flexi Cap Fund - Direct Plan - Growth Option;11.3612;25-Aug-2023</v>
      </c>
      <c r="B4798" s="1"/>
    </row>
    <row r="4799">
      <c r="A4799" s="1" t="str">
        <f>IFERROR(__xludf.DUMMYFUNCTION("""COMPUTED_VALUE"""),"150388;INF251K01RA3;INF251K01RB1;Baroda BNP Paribas Flexi Cap Fund - Direct Plan - IDCW Option;11.3612;25-Aug-2023")</f>
        <v>150388;INF251K01RA3;INF251K01RB1;Baroda BNP Paribas Flexi Cap Fund - Direct Plan - IDCW Option;11.3612;25-Aug-2023</v>
      </c>
      <c r="B4799" s="1"/>
    </row>
    <row r="4800">
      <c r="A4800" s="1" t="str">
        <f>IFERROR(__xludf.DUMMYFUNCTION("""COMPUTED_VALUE"""),"150385;INF251K01QW9;-;Baroda BNP Paribas Flexi Cap Fund - Regular Plan - Growth Option;11.1522;25-Aug-2023")</f>
        <v>150385;INF251K01QW9;-;Baroda BNP Paribas Flexi Cap Fund - Regular Plan - Growth Option;11.1522;25-Aug-2023</v>
      </c>
      <c r="B4800" s="1"/>
    </row>
    <row r="4801">
      <c r="A4801" s="1" t="str">
        <f>IFERROR(__xludf.DUMMYFUNCTION("""COMPUTED_VALUE"""),"150386;INF251K01QX7;INF251K01QY5;Baroda BNP Paribas Flexi Cap Fund - Regular Plan - IDCW Option;11.1522;25-Aug-2023")</f>
        <v>150386;INF251K01QX7;INF251K01QY5;Baroda BNP Paribas Flexi Cap Fund - Regular Plan - IDCW Option;11.1522;25-Aug-2023</v>
      </c>
      <c r="B4801" s="1"/>
    </row>
    <row r="4802">
      <c r="A4802" s="1"/>
      <c r="B4802" s="1"/>
    </row>
    <row r="4803">
      <c r="A4803" s="1" t="str">
        <f>IFERROR(__xludf.DUMMYFUNCTION("""COMPUTED_VALUE"""),"Canara Robeco Mutual Fund")</f>
        <v>Canara Robeco Mutual Fund</v>
      </c>
      <c r="B4803" s="1"/>
    </row>
    <row r="4804">
      <c r="A4804" s="1"/>
      <c r="B4804" s="1"/>
    </row>
    <row r="4805">
      <c r="A4805" s="1" t="str">
        <f>IFERROR(__xludf.DUMMYFUNCTION("""COMPUTED_VALUE"""),"118275;INF760K01EF0;-;CANARA ROBECO FLEXICAP FUND - DIRECT PLAN - GROWTH OPTION;268.7000;25-Aug-2023")</f>
        <v>118275;INF760K01EF0;-;CANARA ROBECO FLEXICAP FUND - DIRECT PLAN - GROWTH OPTION;268.7000;25-Aug-2023</v>
      </c>
      <c r="B4805" s="1"/>
    </row>
    <row r="4806">
      <c r="A4806" s="1" t="str">
        <f>IFERROR(__xludf.DUMMYFUNCTION("""COMPUTED_VALUE"""),"118276;INF760K01ED5;INF760K01EE3;CANARA ROBECO FLEXICAP FUND - DIRECT PLAN - IDCW (Payout/Reinvestment);74.2700;25-Aug-2023")</f>
        <v>118276;INF760K01ED5;INF760K01EE3;CANARA ROBECO FLEXICAP FUND - DIRECT PLAN - IDCW (Payout/Reinvestment);74.2700;25-Aug-2023</v>
      </c>
      <c r="B4806" s="1"/>
    </row>
    <row r="4807">
      <c r="A4807" s="1" t="str">
        <f>IFERROR(__xludf.DUMMYFUNCTION("""COMPUTED_VALUE"""),"101922;INF760K01019;-;CANARA ROBECO FLEXICAP FUND - REGULAR PLAN - GROWTH OPTION;244.8700;25-Aug-2023")</f>
        <v>101922;INF760K01019;-;CANARA ROBECO FLEXICAP FUND - REGULAR PLAN - GROWTH OPTION;244.8700;25-Aug-2023</v>
      </c>
      <c r="B4807" s="1"/>
    </row>
    <row r="4808">
      <c r="A4808" s="1" t="str">
        <f>IFERROR(__xludf.DUMMYFUNCTION("""COMPUTED_VALUE"""),"101923;INF760K01027;INF760K01035;CANARA ROBECO FLEXICAP FUND - REGULAR PLAN - IDCW (Payout/Reinvestment);49.9400;25-Aug-2023")</f>
        <v>101923;INF760K01027;INF760K01035;CANARA ROBECO FLEXICAP FUND - REGULAR PLAN - IDCW (Payout/Reinvestment);49.9400;25-Aug-2023</v>
      </c>
      <c r="B4808" s="1"/>
    </row>
    <row r="4809">
      <c r="A4809" s="1"/>
      <c r="B4809" s="1"/>
    </row>
    <row r="4810">
      <c r="A4810" s="1" t="str">
        <f>IFERROR(__xludf.DUMMYFUNCTION("""COMPUTED_VALUE"""),"DSP Mutual Fund")</f>
        <v>DSP Mutual Fund</v>
      </c>
      <c r="B4810" s="1"/>
    </row>
    <row r="4811">
      <c r="A4811" s="1"/>
      <c r="B4811" s="1"/>
    </row>
    <row r="4812">
      <c r="A4812" s="1" t="str">
        <f>IFERROR(__xludf.DUMMYFUNCTION("""COMPUTED_VALUE"""),"119076;INF740K01PI2;-;DSP Flexi Cap Fund - Direct Plan - Growth;81.661;25-Aug-2023")</f>
        <v>119076;INF740K01PI2;-;DSP Flexi Cap Fund - Direct Plan - Growth;81.661;25-Aug-2023</v>
      </c>
      <c r="B4812" s="1"/>
    </row>
    <row r="4813">
      <c r="A4813" s="1" t="str">
        <f>IFERROR(__xludf.DUMMYFUNCTION("""COMPUTED_VALUE"""),"119077;INF740K01PJ0;INF740K01PK8;DSP Flexi Cap Fund - Direct Plan - IDCW;77.373;25-Aug-2023")</f>
        <v>119077;INF740K01PJ0;INF740K01PK8;DSP Flexi Cap Fund - Direct Plan - IDCW;77.373;25-Aug-2023</v>
      </c>
      <c r="B4813" s="1"/>
    </row>
    <row r="4814">
      <c r="A4814" s="1" t="str">
        <f>IFERROR(__xludf.DUMMYFUNCTION("""COMPUTED_VALUE"""),"105875;INF740K01037;-;DSP Flexi Cap Fund - Regular Plan - Growth;74.900;25-Aug-2023")</f>
        <v>105875;INF740K01037;-;DSP Flexi Cap Fund - Regular Plan - Growth;74.900;25-Aug-2023</v>
      </c>
      <c r="B4814" s="1"/>
    </row>
    <row r="4815">
      <c r="A4815" s="1" t="str">
        <f>IFERROR(__xludf.DUMMYFUNCTION("""COMPUTED_VALUE"""),"100080;INF740K01011;INF740K01029;DSP Flexi Cap Fund - Regular Plan - IDCW;54.712;25-Aug-2023")</f>
        <v>100080;INF740K01011;INF740K01029;DSP Flexi Cap Fund - Regular Plan - IDCW;54.712;25-Aug-2023</v>
      </c>
      <c r="B4815" s="1"/>
    </row>
    <row r="4816">
      <c r="A4816" s="1"/>
      <c r="B4816" s="1"/>
    </row>
    <row r="4817">
      <c r="A4817" s="1" t="str">
        <f>IFERROR(__xludf.DUMMYFUNCTION("""COMPUTED_VALUE"""),"Edelweiss Mutual Fund")</f>
        <v>Edelweiss Mutual Fund</v>
      </c>
      <c r="B4817" s="1"/>
    </row>
    <row r="4818">
      <c r="A4818" s="1"/>
      <c r="B4818" s="1"/>
    </row>
    <row r="4819">
      <c r="A4819" s="1" t="str">
        <f>IFERROR(__xludf.DUMMYFUNCTION("""COMPUTED_VALUE"""),"140353;INF843K01KK1;-;Edelweiss Flexi Cap Fund - Direct Plan - Growth Option;29.307;25-Aug-2023")</f>
        <v>140353;INF843K01KK1;-;Edelweiss Flexi Cap Fund - Direct Plan - Growth Option;29.307;25-Aug-2023</v>
      </c>
      <c r="B4819" s="1"/>
    </row>
    <row r="4820">
      <c r="A4820" s="1" t="str">
        <f>IFERROR(__xludf.DUMMYFUNCTION("""COMPUTED_VALUE"""),"140354;INF843K01KL9;INF843K01KM7;Edelweiss Flexi Cap Fund - Direct Plan - IDCW Option;24.061;25-Aug-2023")</f>
        <v>140354;INF843K01KL9;INF843K01KM7;Edelweiss Flexi Cap Fund - Direct Plan - IDCW Option;24.061;25-Aug-2023</v>
      </c>
      <c r="B4820" s="1"/>
    </row>
    <row r="4821">
      <c r="A4821" s="1" t="str">
        <f>IFERROR(__xludf.DUMMYFUNCTION("""COMPUTED_VALUE"""),"140356;INF843K01KO3;INF843K01KP0;Edelweiss Flexi Cap Fund - Regular - IDCW Option;21.425;25-Aug-2023")</f>
        <v>140356;INF843K01KO3;INF843K01KP0;Edelweiss Flexi Cap Fund - Regular - IDCW Option;21.425;25-Aug-2023</v>
      </c>
      <c r="B4821" s="1"/>
    </row>
    <row r="4822">
      <c r="A4822" s="1" t="str">
        <f>IFERROR(__xludf.DUMMYFUNCTION("""COMPUTED_VALUE"""),"140355;INF843K01KN5;-;Edelweiss Flexi Cap Fund - Regular Plan - Growth Option;26.093;25-Aug-2023")</f>
        <v>140355;INF843K01KN5;-;Edelweiss Flexi Cap Fund - Regular Plan - Growth Option;26.093;25-Aug-2023</v>
      </c>
      <c r="B4822" s="1"/>
    </row>
    <row r="4823">
      <c r="A4823" s="1"/>
      <c r="B4823" s="1"/>
    </row>
    <row r="4824">
      <c r="A4824" s="1" t="str">
        <f>IFERROR(__xludf.DUMMYFUNCTION("""COMPUTED_VALUE"""),"Franklin Templeton Mutual Fund")</f>
        <v>Franklin Templeton Mutual Fund</v>
      </c>
      <c r="B4824" s="1"/>
    </row>
    <row r="4825">
      <c r="A4825" s="1"/>
      <c r="B4825" s="1"/>
    </row>
    <row r="4826">
      <c r="A4826" s="1" t="str">
        <f>IFERROR(__xludf.DUMMYFUNCTION("""COMPUTED_VALUE"""),"118535;INF090I01FK3;-;Franklin India Flexi Cap Fund - Direct - Growth;1244.1549;25-Aug-2023")</f>
        <v>118535;INF090I01FK3;-;Franklin India Flexi Cap Fund - Direct - Growth;1244.1549;25-Aug-2023</v>
      </c>
      <c r="B4826" s="1"/>
    </row>
    <row r="4827">
      <c r="A4827" s="1" t="str">
        <f>IFERROR(__xludf.DUMMYFUNCTION("""COMPUTED_VALUE"""),"118534;INF090I01FL1;INF090I01FM9;Franklin India Flexi Cap Fund - Direct - IDCW ;58.8981;25-Aug-2023")</f>
        <v>118534;INF090I01FL1;INF090I01FM9;Franklin India Flexi Cap Fund - Direct - IDCW ;58.8981;25-Aug-2023</v>
      </c>
      <c r="B4827" s="1"/>
    </row>
    <row r="4828">
      <c r="A4828" s="1" t="str">
        <f>IFERROR(__xludf.DUMMYFUNCTION("""COMPUTED_VALUE"""),"100520;INF090I01239;-;Franklin India Flexi Cap Fund - Growth;1133.9622;25-Aug-2023")</f>
        <v>100520;INF090I01239;-;Franklin India Flexi Cap Fund - Growth;1133.9622;25-Aug-2023</v>
      </c>
      <c r="B4828" s="1"/>
    </row>
    <row r="4829">
      <c r="A4829" s="1" t="str">
        <f>IFERROR(__xludf.DUMMYFUNCTION("""COMPUTED_VALUE"""),"100519;INF090I01213;INF090I01221;Franklin India Flexi Cap Fund - IDCW ;52.3045;25-Aug-2023")</f>
        <v>100519;INF090I01213;INF090I01221;Franklin India Flexi Cap Fund - IDCW ;52.3045;25-Aug-2023</v>
      </c>
      <c r="B4829" s="1"/>
    </row>
    <row r="4830">
      <c r="A4830" s="1"/>
      <c r="B4830" s="1"/>
    </row>
    <row r="4831">
      <c r="A4831" s="1" t="str">
        <f>IFERROR(__xludf.DUMMYFUNCTION("""COMPUTED_VALUE"""),"HDFC Mutual Fund")</f>
        <v>HDFC Mutual Fund</v>
      </c>
      <c r="B4831" s="1"/>
    </row>
    <row r="4832">
      <c r="A4832" s="1"/>
      <c r="B4832" s="1"/>
    </row>
    <row r="4833">
      <c r="A4833" s="1" t="str">
        <f>IFERROR(__xludf.DUMMYFUNCTION("""COMPUTED_VALUE"""),"118955;INF179K01UT0;-;HDFC Flexi Cap Fund - Growth Option - Direct Plan;1406.021;25-Aug-2023")</f>
        <v>118955;INF179K01UT0;-;HDFC Flexi Cap Fund - Growth Option - Direct Plan;1406.021;25-Aug-2023</v>
      </c>
      <c r="B4833" s="1"/>
    </row>
    <row r="4834">
      <c r="A4834" s="1" t="str">
        <f>IFERROR(__xludf.DUMMYFUNCTION("""COMPUTED_VALUE"""),"101762;INF179K01608;-;HDFC Flexi Cap Fund - Growth Plan;1302.32;25-Aug-2023")</f>
        <v>101762;INF179K01608;-;HDFC Flexi Cap Fund - Growth Plan;1302.32;25-Aug-2023</v>
      </c>
      <c r="B4834" s="1"/>
    </row>
    <row r="4835">
      <c r="A4835" s="1" t="str">
        <f>IFERROR(__xludf.DUMMYFUNCTION("""COMPUTED_VALUE"""),"118954;INF179K01VL5;INF179K01VM3;HDFC Flexi Cap Fund - IDCW Option - Direct Plan;72.242;25-Aug-2023")</f>
        <v>118954;INF179K01VL5;INF179K01VM3;HDFC Flexi Cap Fund - IDCW Option - Direct Plan;72.242;25-Aug-2023</v>
      </c>
      <c r="B4835" s="1"/>
    </row>
    <row r="4836">
      <c r="A4836" s="1" t="str">
        <f>IFERROR(__xludf.DUMMYFUNCTION("""COMPUTED_VALUE"""),"101763;INF179K01582;INF179K01590;HDFC Flexi Cap Fund - IDCW Plan;62.589;25-Aug-2023")</f>
        <v>101763;INF179K01582;INF179K01590;HDFC Flexi Cap Fund - IDCW Plan;62.589;25-Aug-2023</v>
      </c>
      <c r="B4836" s="1"/>
    </row>
    <row r="4837">
      <c r="A4837" s="1"/>
      <c r="B4837" s="1"/>
    </row>
    <row r="4838">
      <c r="A4838" s="1" t="str">
        <f>IFERROR(__xludf.DUMMYFUNCTION("""COMPUTED_VALUE"""),"HSBC Mutual Fund")</f>
        <v>HSBC Mutual Fund</v>
      </c>
      <c r="B4838" s="1"/>
    </row>
    <row r="4839">
      <c r="A4839" s="1"/>
      <c r="B4839" s="1"/>
    </row>
    <row r="4840">
      <c r="A4840" s="1" t="str">
        <f>IFERROR(__xludf.DUMMYFUNCTION("""COMPUTED_VALUE"""),"120046;INF336L01DH5;-;HSBC Flexi Cap Fund - Direct Growth;163.772;25-Aug-2023")</f>
        <v>120046;INF336L01DH5;-;HSBC Flexi Cap Fund - Direct Growth;163.772;25-Aug-2023</v>
      </c>
      <c r="B4840" s="1"/>
    </row>
    <row r="4841">
      <c r="A4841" s="1" t="str">
        <f>IFERROR(__xludf.DUMMYFUNCTION("""COMPUTED_VALUE"""),"120045;INF336L01DF9;INF336L01DG7;HSBC Flexi Cap Fund - Direct IDCW;35.6942;25-Aug-2023")</f>
        <v>120045;INF336L01DF9;INF336L01DG7;HSBC Flexi Cap Fund - Direct IDCW;35.6942;25-Aug-2023</v>
      </c>
      <c r="B4841" s="1"/>
    </row>
    <row r="4842">
      <c r="A4842" s="1" t="str">
        <f>IFERROR(__xludf.DUMMYFUNCTION("""COMPUTED_VALUE"""),"102252;INF336L01AF5;-;HSBC Flexi Cap Fund - Regular Growth;148.9485;25-Aug-2023")</f>
        <v>102252;INF336L01AF5;-;HSBC Flexi Cap Fund - Regular Growth;148.9485;25-Aug-2023</v>
      </c>
      <c r="B4842" s="1"/>
    </row>
    <row r="4843">
      <c r="A4843" s="1" t="str">
        <f>IFERROR(__xludf.DUMMYFUNCTION("""COMPUTED_VALUE"""),"102251;INF336L01AE8;INF336L01AD0;HSBC Flexi Cap Fund - Regular IDCW;36.5934;25-Aug-2023")</f>
        <v>102251;INF336L01AE8;INF336L01AD0;HSBC Flexi Cap Fund - Regular IDCW;36.5934;25-Aug-2023</v>
      </c>
      <c r="B4843" s="1"/>
    </row>
    <row r="4844">
      <c r="A4844" s="1"/>
      <c r="B4844" s="1"/>
    </row>
    <row r="4845">
      <c r="A4845" s="1" t="str">
        <f>IFERROR(__xludf.DUMMYFUNCTION("""COMPUTED_VALUE"""),"ICICI Prudential Mutual Fund")</f>
        <v>ICICI Prudential Mutual Fund</v>
      </c>
      <c r="B4845" s="1"/>
    </row>
    <row r="4846">
      <c r="A4846" s="1"/>
      <c r="B4846" s="1"/>
    </row>
    <row r="4847">
      <c r="A4847" s="1" t="str">
        <f>IFERROR(__xludf.DUMMYFUNCTION("""COMPUTED_VALUE"""),"148990;INF109KC1R14;-;ICICI Prudential Flexicap Fund - Direct Plan - Growth;13.18;25-Aug-2023")</f>
        <v>148990;INF109KC1R14;-;ICICI Prudential Flexicap Fund - Direct Plan - Growth;13.18;25-Aug-2023</v>
      </c>
      <c r="B4847" s="1"/>
    </row>
    <row r="4848">
      <c r="A4848" s="1" t="str">
        <f>IFERROR(__xludf.DUMMYFUNCTION("""COMPUTED_VALUE"""),"148991;INF109KC1R22;INF109KC1R30;ICICI Prudential Flexicap Fund - Direct Plan - IDCW;13.18;25-Aug-2023")</f>
        <v>148991;INF109KC1R22;INF109KC1R30;ICICI Prudential Flexicap Fund - Direct Plan - IDCW;13.18;25-Aug-2023</v>
      </c>
      <c r="B4848" s="1"/>
    </row>
    <row r="4849">
      <c r="A4849" s="1" t="str">
        <f>IFERROR(__xludf.DUMMYFUNCTION("""COMPUTED_VALUE"""),"148989;INF109KC1Q80;-;ICICI Prudential Flexicap Fund - Growth;12.80;25-Aug-2023")</f>
        <v>148989;INF109KC1Q80;-;ICICI Prudential Flexicap Fund - Growth;12.80;25-Aug-2023</v>
      </c>
      <c r="B4849" s="1"/>
    </row>
    <row r="4850">
      <c r="A4850" s="1" t="str">
        <f>IFERROR(__xludf.DUMMYFUNCTION("""COMPUTED_VALUE"""),"148988;INF109KC1Q98;INF109KC1R06;ICICI Prudential Flexicap Fund - IDCW;12.80;25-Aug-2023")</f>
        <v>148988;INF109KC1Q98;INF109KC1R06;ICICI Prudential Flexicap Fund - IDCW;12.80;25-Aug-2023</v>
      </c>
      <c r="B4850" s="1"/>
    </row>
    <row r="4851">
      <c r="A4851" s="1"/>
      <c r="B4851" s="1"/>
    </row>
    <row r="4852">
      <c r="A4852" s="1" t="str">
        <f>IFERROR(__xludf.DUMMYFUNCTION("""COMPUTED_VALUE"""),"Invesco Mutual Fund")</f>
        <v>Invesco Mutual Fund</v>
      </c>
      <c r="B4852" s="1"/>
    </row>
    <row r="4853">
      <c r="A4853" s="1"/>
      <c r="B4853" s="1"/>
    </row>
    <row r="4854">
      <c r="A4854" s="1" t="str">
        <f>IFERROR(__xludf.DUMMYFUNCTION("""COMPUTED_VALUE"""),"149763;INF205KA1494;-;Invesco India Flexi Cap Fund - Direct Plan - Growth;12.26;25-Aug-2023")</f>
        <v>149763;INF205KA1494;-;Invesco India Flexi Cap Fund - Direct Plan - Growth;12.26;25-Aug-2023</v>
      </c>
      <c r="B4854" s="1"/>
    </row>
    <row r="4855">
      <c r="A4855" s="1" t="str">
        <f>IFERROR(__xludf.DUMMYFUNCTION("""COMPUTED_VALUE"""),"149765;INF205KA1486;INF205KA1502;Invesco India Flexi Cap Fund - Direct Plan - IDCW;12.27;25-Aug-2023")</f>
        <v>149765;INF205KA1486;INF205KA1502;Invesco India Flexi Cap Fund - Direct Plan - IDCW;12.27;25-Aug-2023</v>
      </c>
      <c r="B4855" s="1"/>
    </row>
    <row r="4856">
      <c r="A4856" s="1" t="str">
        <f>IFERROR(__xludf.DUMMYFUNCTION("""COMPUTED_VALUE"""),"149766;INF205KA1460;-;Invesco India Flexi Cap Fund - Growth;11.94;25-Aug-2023")</f>
        <v>149766;INF205KA1460;-;Invesco India Flexi Cap Fund - Growth;11.94;25-Aug-2023</v>
      </c>
      <c r="B4856" s="1"/>
    </row>
    <row r="4857">
      <c r="A4857" s="1" t="str">
        <f>IFERROR(__xludf.DUMMYFUNCTION("""COMPUTED_VALUE"""),"149764;INF205KA1452;INF205KA1478;Invesco India Flexi Cap Fund - IDCW;11.94;25-Aug-2023")</f>
        <v>149764;INF205KA1452;INF205KA1478;Invesco India Flexi Cap Fund - IDCW;11.94;25-Aug-2023</v>
      </c>
      <c r="B4857" s="1"/>
    </row>
    <row r="4858">
      <c r="A4858" s="1"/>
      <c r="B4858" s="1"/>
    </row>
    <row r="4859">
      <c r="A4859" s="1" t="str">
        <f>IFERROR(__xludf.DUMMYFUNCTION("""COMPUTED_VALUE"""),"ITI Mutual Fund")</f>
        <v>ITI Mutual Fund</v>
      </c>
      <c r="B4859" s="1"/>
    </row>
    <row r="4860">
      <c r="A4860" s="1"/>
      <c r="B4860" s="1"/>
    </row>
    <row r="4861">
      <c r="A4861" s="1" t="str">
        <f>IFERROR(__xludf.DUMMYFUNCTION("""COMPUTED_VALUE"""),"151379;INF00XX01CO7;-;ITI Flexi Cap Fund- Direct Plan- Growth;12.3139;25-Aug-2023")</f>
        <v>151379;INF00XX01CO7;-;ITI Flexi Cap Fund- Direct Plan- Growth;12.3139;25-Aug-2023</v>
      </c>
      <c r="B4861" s="1"/>
    </row>
    <row r="4862">
      <c r="A4862" s="1" t="str">
        <f>IFERROR(__xludf.DUMMYFUNCTION("""COMPUTED_VALUE"""),"151380;INF00XX01CP4;INF00XX01CQ2;ITI Flexi Cap Fund- Direct Plan- IDCW;12.3139;25-Aug-2023")</f>
        <v>151380;INF00XX01CP4;INF00XX01CQ2;ITI Flexi Cap Fund- Direct Plan- IDCW;12.3139;25-Aug-2023</v>
      </c>
      <c r="B4862" s="1"/>
    </row>
    <row r="4863">
      <c r="A4863" s="1" t="str">
        <f>IFERROR(__xludf.DUMMYFUNCTION("""COMPUTED_VALUE"""),"151377;INF00XX01CL3;-;ITI Flexi Cap Fund- Regular Plan- Growth;12.1858;25-Aug-2023")</f>
        <v>151377;INF00XX01CL3;-;ITI Flexi Cap Fund- Regular Plan- Growth;12.1858;25-Aug-2023</v>
      </c>
      <c r="B4863" s="1"/>
    </row>
    <row r="4864">
      <c r="A4864" s="1" t="str">
        <f>IFERROR(__xludf.DUMMYFUNCTION("""COMPUTED_VALUE"""),"151378;INF00XX01CM1;INF00XX01CN9;ITI Flexi Cap Fund- Regular Plan- IDCW;12.1858;25-Aug-2023")</f>
        <v>151378;INF00XX01CM1;INF00XX01CN9;ITI Flexi Cap Fund- Regular Plan- IDCW;12.1858;25-Aug-2023</v>
      </c>
      <c r="B4864" s="1"/>
    </row>
    <row r="4865">
      <c r="A4865" s="1"/>
      <c r="B4865" s="1"/>
    </row>
    <row r="4866">
      <c r="A4866" s="1" t="str">
        <f>IFERROR(__xludf.DUMMYFUNCTION("""COMPUTED_VALUE"""),"JM Financial Mutual Fund")</f>
        <v>JM Financial Mutual Fund</v>
      </c>
      <c r="B4866" s="1"/>
    </row>
    <row r="4867">
      <c r="A4867" s="1"/>
      <c r="B4867" s="1"/>
    </row>
    <row r="4868">
      <c r="A4868" s="1" t="str">
        <f>IFERROR(__xludf.DUMMYFUNCTION("""COMPUTED_VALUE"""),"120492;INF192K01CC7;-;JM Flexicap Fund (Direct) - Growth Option;73.1939;25-Aug-2023")</f>
        <v>120492;INF192K01CC7;-;JM Flexicap Fund (Direct) - Growth Option;73.1939;25-Aug-2023</v>
      </c>
      <c r="B4868" s="1"/>
    </row>
    <row r="4869">
      <c r="A4869" s="1" t="str">
        <f>IFERROR(__xludf.DUMMYFUNCTION("""COMPUTED_VALUE"""),"120491;INF192K01CA1;INF192K01CB9;JM Flexicap Fund (Direct) - IDCW;66.5297;25-Aug-2023")</f>
        <v>120491;INF192K01CA1;INF192K01CB9;JM Flexicap Fund (Direct) - IDCW;66.5297;25-Aug-2023</v>
      </c>
      <c r="B4869" s="1"/>
    </row>
    <row r="4870">
      <c r="A4870" s="1" t="str">
        <f>IFERROR(__xludf.DUMMYFUNCTION("""COMPUTED_VALUE"""),"109522;INF192K01635;-;JM Flexicap Fund (Regular) - Growth option;66.0635;25-Aug-2023")</f>
        <v>109522;INF192K01635;-;JM Flexicap Fund (Regular) - Growth option;66.0635;25-Aug-2023</v>
      </c>
      <c r="B4870" s="1"/>
    </row>
    <row r="4871">
      <c r="A4871" s="1" t="str">
        <f>IFERROR(__xludf.DUMMYFUNCTION("""COMPUTED_VALUE"""),"109523;INF192K01619;INF192K01627;JM Flexicap Fund (Regular) - IDCW;50.9070;25-Aug-2023")</f>
        <v>109523;INF192K01619;INF192K01627;JM Flexicap Fund (Regular) - IDCW;50.9070;25-Aug-2023</v>
      </c>
      <c r="B4871" s="1"/>
    </row>
    <row r="4872">
      <c r="A4872" s="1"/>
      <c r="B4872" s="1"/>
    </row>
    <row r="4873">
      <c r="A4873" s="1" t="str">
        <f>IFERROR(__xludf.DUMMYFUNCTION("""COMPUTED_VALUE"""),"Kotak Mahindra Mutual Fund")</f>
        <v>Kotak Mahindra Mutual Fund</v>
      </c>
      <c r="B4873" s="1"/>
    </row>
    <row r="4874">
      <c r="A4874" s="1"/>
      <c r="B4874" s="1"/>
    </row>
    <row r="4875">
      <c r="A4875" s="1" t="str">
        <f>IFERROR(__xludf.DUMMYFUNCTION("""COMPUTED_VALUE"""),"112090;INF174K01336;-;Kotak Flexicap Fund - Growth;60.122;25-Aug-2023")</f>
        <v>112090;INF174K01336;-;Kotak Flexicap Fund - Growth;60.122;25-Aug-2023</v>
      </c>
      <c r="B4875" s="1"/>
    </row>
    <row r="4876">
      <c r="A4876" s="1" t="str">
        <f>IFERROR(__xludf.DUMMYFUNCTION("""COMPUTED_VALUE"""),"120166;INF174K01LS2;-;Kotak Flexicap Fund - Growth - Direct;66.637;25-Aug-2023")</f>
        <v>120166;INF174K01LS2;-;Kotak Flexicap Fund - Growth - Direct;66.637;25-Aug-2023</v>
      </c>
      <c r="B4876" s="1"/>
    </row>
    <row r="4877">
      <c r="A4877" s="1" t="str">
        <f>IFERROR(__xludf.DUMMYFUNCTION("""COMPUTED_VALUE"""),"112089;INF174K01351;INF174K01344;Kotak Flexicap Fund - Payout of Income Distribution cum capital withdrawal option;36.304;25-Aug-2023")</f>
        <v>112089;INF174K01351;INF174K01344;Kotak Flexicap Fund - Payout of Income Distribution cum capital withdrawal option;36.304;25-Aug-2023</v>
      </c>
      <c r="B4877" s="1"/>
    </row>
    <row r="4878">
      <c r="A4878" s="1" t="str">
        <f>IFERROR(__xludf.DUMMYFUNCTION("""COMPUTED_VALUE"""),"120165;INF174K01LQ6;INF174K01LR4;Kotak Flexicap Fund - Payout of Income Distribution cum capital withdrawal option- Direct;40.696;25-Aug-2023")</f>
        <v>120165;INF174K01LQ6;INF174K01LR4;Kotak Flexicap Fund - Payout of Income Distribution cum capital withdrawal option- Direct;40.696;25-Aug-2023</v>
      </c>
      <c r="B4878" s="1"/>
    </row>
    <row r="4879">
      <c r="A4879" s="1"/>
      <c r="B4879" s="1"/>
    </row>
    <row r="4880">
      <c r="A4880" s="1" t="str">
        <f>IFERROR(__xludf.DUMMYFUNCTION("""COMPUTED_VALUE"""),"LIC Mutual Fund")</f>
        <v>LIC Mutual Fund</v>
      </c>
      <c r="B4880" s="1"/>
    </row>
    <row r="4881">
      <c r="A4881" s="1"/>
      <c r="B4881" s="1"/>
    </row>
    <row r="4882">
      <c r="A4882" s="1" t="str">
        <f>IFERROR(__xludf.DUMMYFUNCTION("""COMPUTED_VALUE"""),"120264;INF767K01EG3;-;LIC MF Flexi Cap Fund-Direct Plan-Growth;82.116;25-Aug-2023")</f>
        <v>120264;INF767K01EG3;-;LIC MF Flexi Cap Fund-Direct Plan-Growth;82.116;25-Aug-2023</v>
      </c>
      <c r="B4882" s="1"/>
    </row>
    <row r="4883">
      <c r="A4883" s="1" t="str">
        <f>IFERROR(__xludf.DUMMYFUNCTION("""COMPUTED_VALUE"""),"120263;INF767K01EF5;INF767K01EH1;LIC MF Flexi Cap Fund-Direct Plan-IDCW;27.6497;25-Aug-2023")</f>
        <v>120263;INF767K01EF5;INF767K01EH1;LIC MF Flexi Cap Fund-Direct Plan-IDCW;27.6497;25-Aug-2023</v>
      </c>
      <c r="B4883" s="1"/>
    </row>
    <row r="4884">
      <c r="A4884" s="1" t="str">
        <f>IFERROR(__xludf.DUMMYFUNCTION("""COMPUTED_VALUE"""),"100313;INF767K01071;-;LIC MF Flexi Cap Fund-Regular Plan-Growth;75.8614;25-Aug-2023")</f>
        <v>100313;INF767K01071;-;LIC MF Flexi Cap Fund-Regular Plan-Growth;75.8614;25-Aug-2023</v>
      </c>
      <c r="B4884" s="1"/>
    </row>
    <row r="4885">
      <c r="A4885" s="1" t="str">
        <f>IFERROR(__xludf.DUMMYFUNCTION("""COMPUTED_VALUE"""),"100312;INF767K01063;INF767K01055;LIC MF Flexi Cap Fund-Regular Plan-IDCW;23.939;25-Aug-2023")</f>
        <v>100312;INF767K01063;INF767K01055;LIC MF Flexi Cap Fund-Regular Plan-IDCW;23.939;25-Aug-2023</v>
      </c>
      <c r="B4885" s="1"/>
    </row>
    <row r="4886">
      <c r="A4886" s="1"/>
      <c r="B4886" s="1"/>
    </row>
    <row r="4887">
      <c r="A4887" s="1" t="str">
        <f>IFERROR(__xludf.DUMMYFUNCTION("""COMPUTED_VALUE"""),"Mahindra Manulife Mutual Fund")</f>
        <v>Mahindra Manulife Mutual Fund</v>
      </c>
      <c r="B4887" s="1"/>
    </row>
    <row r="4888">
      <c r="A4888" s="1"/>
      <c r="B4888" s="1"/>
    </row>
    <row r="4889">
      <c r="A4889" s="1" t="str">
        <f>IFERROR(__xludf.DUMMYFUNCTION("""COMPUTED_VALUE"""),"149104;INF174V01AS2;-;Mahindra Manulife Flexi Cap Fund - Direct Plan -Growth;12.5336;25-Aug-2023")</f>
        <v>149104;INF174V01AS2;-;Mahindra Manulife Flexi Cap Fund - Direct Plan -Growth;12.5336;25-Aug-2023</v>
      </c>
      <c r="B4889" s="1"/>
    </row>
    <row r="4890">
      <c r="A4890" s="1" t="str">
        <f>IFERROR(__xludf.DUMMYFUNCTION("""COMPUTED_VALUE"""),"149103;INF174V01AU8;INF174V01AT0;Mahindra Manulife Flexi Cap Fund - Direct Plan -IDCW;12.5336;25-Aug-2023")</f>
        <v>149103;INF174V01AU8;INF174V01AT0;Mahindra Manulife Flexi Cap Fund - Direct Plan -IDCW;12.5336;25-Aug-2023</v>
      </c>
      <c r="B4890" s="1"/>
    </row>
    <row r="4891">
      <c r="A4891" s="1" t="str">
        <f>IFERROR(__xludf.DUMMYFUNCTION("""COMPUTED_VALUE"""),"149101;INF174V01AP8;-;Mahindra Manulife Flexi Cap Fund - Regular Plan -Growth;12.0420;25-Aug-2023")</f>
        <v>149101;INF174V01AP8;-;Mahindra Manulife Flexi Cap Fund - Regular Plan -Growth;12.0420;25-Aug-2023</v>
      </c>
      <c r="B4891" s="1"/>
    </row>
    <row r="4892">
      <c r="A4892" s="1" t="str">
        <f>IFERROR(__xludf.DUMMYFUNCTION("""COMPUTED_VALUE"""),"149102;INF174V01AR4;INF174V01AQ6;Mahindra Manulife Flexi Cap Fund - Regular Plan -IDCW;12.0420;25-Aug-2023")</f>
        <v>149102;INF174V01AR4;INF174V01AQ6;Mahindra Manulife Flexi Cap Fund - Regular Plan -IDCW;12.0420;25-Aug-2023</v>
      </c>
      <c r="B4892" s="1"/>
    </row>
    <row r="4893">
      <c r="A4893" s="1"/>
      <c r="B4893" s="1"/>
    </row>
    <row r="4894">
      <c r="A4894" s="1" t="str">
        <f>IFERROR(__xludf.DUMMYFUNCTION("""COMPUTED_VALUE"""),"Mirae Asset Mutual Fund")</f>
        <v>Mirae Asset Mutual Fund</v>
      </c>
      <c r="B4894" s="1"/>
    </row>
    <row r="4895">
      <c r="A4895" s="1"/>
      <c r="B4895" s="1"/>
    </row>
    <row r="4896">
      <c r="A4896" s="1" t="str">
        <f>IFERROR(__xludf.DUMMYFUNCTION("""COMPUTED_VALUE"""),"151413;INF769K01JI4;INF769K01JK0;Mirae Asset Flexi Cap Fund - Direct Plan -  IDCW;11.614;25-Aug-2023")</f>
        <v>151413;INF769K01JI4;INF769K01JK0;Mirae Asset Flexi Cap Fund - Direct Plan -  IDCW;11.614;25-Aug-2023</v>
      </c>
      <c r="B4896" s="1"/>
    </row>
    <row r="4897">
      <c r="A4897" s="1" t="str">
        <f>IFERROR(__xludf.DUMMYFUNCTION("""COMPUTED_VALUE"""),"151412;INF769K01JJ2;-;Mirae Asset Flexi Cap Fund - Direct Plan - Growth;11.614;25-Aug-2023")</f>
        <v>151412;INF769K01JJ2;-;Mirae Asset Flexi Cap Fund - Direct Plan - Growth;11.614;25-Aug-2023</v>
      </c>
      <c r="B4897" s="1"/>
    </row>
    <row r="4898">
      <c r="A4898" s="1" t="str">
        <f>IFERROR(__xludf.DUMMYFUNCTION("""COMPUTED_VALUE"""),"151414;INF769K01JG8;-;Mirae Asset Flexi Cap Fund - Regular Plan - Growth;11.521;25-Aug-2023")</f>
        <v>151414;INF769K01JG8;-;Mirae Asset Flexi Cap Fund - Regular Plan - Growth;11.521;25-Aug-2023</v>
      </c>
      <c r="B4898" s="1"/>
    </row>
    <row r="4899">
      <c r="A4899" s="1" t="str">
        <f>IFERROR(__xludf.DUMMYFUNCTION("""COMPUTED_VALUE"""),"151415;INF769K01JF0;INF769K01JH6;Mirae Asset Flexi Cap Fund - Regular Plan - IDCW;11.525;25-Aug-2023")</f>
        <v>151415;INF769K01JF0;INF769K01JH6;Mirae Asset Flexi Cap Fund - Regular Plan - IDCW;11.525;25-Aug-2023</v>
      </c>
      <c r="B4899" s="1"/>
    </row>
    <row r="4900">
      <c r="A4900" s="1"/>
      <c r="B4900" s="1"/>
    </row>
    <row r="4901">
      <c r="A4901" s="1" t="str">
        <f>IFERROR(__xludf.DUMMYFUNCTION("""COMPUTED_VALUE"""),"Motilal Oswal Mutual Fund")</f>
        <v>Motilal Oswal Mutual Fund</v>
      </c>
      <c r="B4901" s="1"/>
    </row>
    <row r="4902">
      <c r="A4902" s="1"/>
      <c r="B4902" s="1"/>
    </row>
    <row r="4903">
      <c r="A4903" s="1" t="str">
        <f>IFERROR(__xludf.DUMMYFUNCTION("""COMPUTED_VALUE"""),"129047;INF247L01528;INF247L01510;Motilal Oswal Flexi Cap Fund Direct - IDCW Payout/Reinvestment;24.6396;25-Aug-2023")</f>
        <v>129047;INF247L01528;INF247L01510;Motilal Oswal Flexi Cap Fund Direct - IDCW Payout/Reinvestment;24.6396;25-Aug-2023</v>
      </c>
      <c r="B4903" s="1"/>
    </row>
    <row r="4904">
      <c r="A4904" s="1" t="str">
        <f>IFERROR(__xludf.DUMMYFUNCTION("""COMPUTED_VALUE"""),"129046;INF247L01502;-;Motilal Oswal Flexi cap Fund Direct Plan-Growth Option;40.4247;25-Aug-2023")</f>
        <v>129046;INF247L01502;-;Motilal Oswal Flexi cap Fund Direct Plan-Growth Option;40.4247;25-Aug-2023</v>
      </c>
      <c r="B4904" s="1"/>
    </row>
    <row r="4905">
      <c r="A4905" s="1" t="str">
        <f>IFERROR(__xludf.DUMMYFUNCTION("""COMPUTED_VALUE"""),"129049;INF247L01494;INF247L01486;Motilal Oswal Flexi cap Fund Regular - IDCW Payout/Reinvestment;24.1050;25-Aug-2023")</f>
        <v>129049;INF247L01494;INF247L01486;Motilal Oswal Flexi cap Fund Regular - IDCW Payout/Reinvestment;24.1050;25-Aug-2023</v>
      </c>
      <c r="B4905" s="1"/>
    </row>
    <row r="4906">
      <c r="A4906" s="1" t="str">
        <f>IFERROR(__xludf.DUMMYFUNCTION("""COMPUTED_VALUE"""),"129048;INF247L01478;-;Motilal Oswal Flexi Cap Fund Regular Plan-Growth Option;37.0727;25-Aug-2023")</f>
        <v>129048;INF247L01478;-;Motilal Oswal Flexi Cap Fund Regular Plan-Growth Option;37.0727;25-Aug-2023</v>
      </c>
      <c r="B4906" s="1"/>
    </row>
    <row r="4907">
      <c r="A4907" s="1"/>
      <c r="B4907" s="1"/>
    </row>
    <row r="4908">
      <c r="A4908" s="1" t="str">
        <f>IFERROR(__xludf.DUMMYFUNCTION("""COMPUTED_VALUE"""),"Navi Mutual Fund")</f>
        <v>Navi Mutual Fund</v>
      </c>
      <c r="B4908" s="1"/>
    </row>
    <row r="4909">
      <c r="A4909" s="1"/>
      <c r="B4909" s="1"/>
    </row>
    <row r="4910">
      <c r="A4910" s="1" t="str">
        <f>IFERROR(__xludf.DUMMYFUNCTION("""COMPUTED_VALUE"""),"143793;INF959L01DT9;-;Navi Flexi Cap Fund - Direct Plan - Growth;20.312;25-Aug-2023")</f>
        <v>143793;INF959L01DT9;-;Navi Flexi Cap Fund - Direct Plan - Growth;20.312;25-Aug-2023</v>
      </c>
      <c r="B4910" s="1"/>
    </row>
    <row r="4911">
      <c r="A4911" s="1" t="str">
        <f>IFERROR(__xludf.DUMMYFUNCTION("""COMPUTED_VALUE"""),"143798;INF959L01EC3;INF959L01ED1;NAVI FLEXI CAP FUND - DIRECT PLAN ANNUAL IDCW PAYOUT;20.1655;25-Aug-2023")</f>
        <v>143798;INF959L01EC3;INF959L01ED1;NAVI FLEXI CAP FUND - DIRECT PLAN ANNUAL IDCW PAYOUT;20.1655;25-Aug-2023</v>
      </c>
      <c r="B4911" s="1"/>
    </row>
    <row r="4912">
      <c r="A4912" s="1" t="str">
        <f>IFERROR(__xludf.DUMMYFUNCTION("""COMPUTED_VALUE"""),"143797;INF959L01EA7;INF959L01EB5;NAVI FLEXI CAP FUND - DIRECT PLAN HALF YEARLY IDCW PAYOUT;20.166;25-Aug-2023")</f>
        <v>143797;INF959L01EA7;INF959L01EB5;NAVI FLEXI CAP FUND - DIRECT PLAN HALF YEARLY IDCW PAYOUT;20.166;25-Aug-2023</v>
      </c>
      <c r="B4912" s="1"/>
    </row>
    <row r="4913">
      <c r="A4913" s="1" t="str">
        <f>IFERROR(__xludf.DUMMYFUNCTION("""COMPUTED_VALUE"""),"143796;INF959L01DW3;INF959L01DX1;NAVI FLEXI CAP FUND - DIRECT PLAN MONTHLY IDCW PAYOUT;20.1627;25-Aug-2023")</f>
        <v>143796;INF959L01DW3;INF959L01DX1;NAVI FLEXI CAP FUND - DIRECT PLAN MONTHLY IDCW PAYOUT;20.1627;25-Aug-2023</v>
      </c>
      <c r="B4913" s="1"/>
    </row>
    <row r="4914">
      <c r="A4914" s="1" t="str">
        <f>IFERROR(__xludf.DUMMYFUNCTION("""COMPUTED_VALUE"""),"143792;INF959L01DU7;INF959L01DV5;NAVI FLEXI CAP FUND - DIRECT PLAN NORMAL IDCW PAYOUT;20.1404;25-Aug-2023")</f>
        <v>143792;INF959L01DU7;INF959L01DV5;NAVI FLEXI CAP FUND - DIRECT PLAN NORMAL IDCW PAYOUT;20.1404;25-Aug-2023</v>
      </c>
      <c r="B4914" s="1"/>
    </row>
    <row r="4915">
      <c r="A4915" s="1" t="str">
        <f>IFERROR(__xludf.DUMMYFUNCTION("""COMPUTED_VALUE"""),"143791;INF959L01DY9;INF959L01DZ6;NAVI FLEXI CAP FUND - DIRECT PLAN QUARTERLY IDCW PAYOUT;20.1808;25-Aug-2023")</f>
        <v>143791;INF959L01DY9;INF959L01DZ6;NAVI FLEXI CAP FUND - DIRECT PLAN QUARTERLY IDCW PAYOUT;20.1808;25-Aug-2023</v>
      </c>
      <c r="B4915" s="1"/>
    </row>
    <row r="4916">
      <c r="A4916" s="1" t="str">
        <f>IFERROR(__xludf.DUMMYFUNCTION("""COMPUTED_VALUE"""),"143787;INF959L01EE9;-;Navi Flexi Cap Fund - Regular Plan - Growth;18.3135;25-Aug-2023")</f>
        <v>143787;INF959L01EE9;-;Navi Flexi Cap Fund - Regular Plan - Growth;18.3135;25-Aug-2023</v>
      </c>
      <c r="B4916" s="1"/>
    </row>
    <row r="4917">
      <c r="A4917" s="1" t="str">
        <f>IFERROR(__xludf.DUMMYFUNCTION("""COMPUTED_VALUE"""),"143795;INF959L01EN0;INF959L01EO8;NAVI FLEXI CAP FUND - REGULAR PLAN ANNUAL IDCW PAYOUT;18.3138;25-Aug-2023")</f>
        <v>143795;INF959L01EN0;INF959L01EO8;NAVI FLEXI CAP FUND - REGULAR PLAN ANNUAL IDCW PAYOUT;18.3138;25-Aug-2023</v>
      </c>
      <c r="B4917" s="1"/>
    </row>
    <row r="4918">
      <c r="A4918" s="1" t="str">
        <f>IFERROR(__xludf.DUMMYFUNCTION("""COMPUTED_VALUE"""),"143794;INF959L01EL4;INF959L01EM2;NAVI FLEXI CAP FUND - REGULAR PLAN HALF YEARLY IDCW PAYOUT;18.316;25-Aug-2023")</f>
        <v>143794;INF959L01EL4;INF959L01EM2;NAVI FLEXI CAP FUND - REGULAR PLAN HALF YEARLY IDCW PAYOUT;18.316;25-Aug-2023</v>
      </c>
      <c r="B4918" s="1"/>
    </row>
    <row r="4919">
      <c r="A4919" s="1" t="str">
        <f>IFERROR(__xludf.DUMMYFUNCTION("""COMPUTED_VALUE"""),"143790;INF959L01EH2;INF959L01EI0;NAVI FLEXI CAP FUND - REGULAR PLAN MONTHLY IDCW PAYOUT;18.3205;25-Aug-2023")</f>
        <v>143790;INF959L01EH2;INF959L01EI0;NAVI FLEXI CAP FUND - REGULAR PLAN MONTHLY IDCW PAYOUT;18.3205;25-Aug-2023</v>
      </c>
      <c r="B4919" s="1"/>
    </row>
    <row r="4920">
      <c r="A4920" s="1" t="str">
        <f>IFERROR(__xludf.DUMMYFUNCTION("""COMPUTED_VALUE"""),"143789;INF959L01EF6;INF959L01EG4;NAVI FLEXI CAP FUND - REGULAR PLAN NORMAL IDCW PAYOUT;18.3162;25-Aug-2023")</f>
        <v>143789;INF959L01EF6;INF959L01EG4;NAVI FLEXI CAP FUND - REGULAR PLAN NORMAL IDCW PAYOUT;18.3162;25-Aug-2023</v>
      </c>
      <c r="B4920" s="1"/>
    </row>
    <row r="4921">
      <c r="A4921" s="1" t="str">
        <f>IFERROR(__xludf.DUMMYFUNCTION("""COMPUTED_VALUE"""),"143788;INF959L01EJ8;INF959L01EK6;NAVI FLEXI CAP FUND - REGULAR PLAN QUARTERLY IDCW PAYOUT;18.3157;25-Aug-2023")</f>
        <v>143788;INF959L01EJ8;INF959L01EK6;NAVI FLEXI CAP FUND - REGULAR PLAN QUARTERLY IDCW PAYOUT;18.3157;25-Aug-2023</v>
      </c>
      <c r="B4921" s="1"/>
    </row>
    <row r="4922">
      <c r="A4922" s="1"/>
      <c r="B4922" s="1"/>
    </row>
    <row r="4923">
      <c r="A4923" s="1" t="str">
        <f>IFERROR(__xludf.DUMMYFUNCTION("""COMPUTED_VALUE"""),"Nippon India Mutual Fund")</f>
        <v>Nippon India Mutual Fund</v>
      </c>
      <c r="B4923" s="1"/>
    </row>
    <row r="4924">
      <c r="A4924" s="1"/>
      <c r="B4924" s="1"/>
    </row>
    <row r="4925">
      <c r="A4925" s="1" t="str">
        <f>IFERROR(__xludf.DUMMYFUNCTION("""COMPUTED_VALUE"""),"149094;INF204KC1121;-;Nippon India Flexi Cap Fund - Direct Plan - Growth Plan - Growth Option;12.8038;25-Aug-2023")</f>
        <v>149094;INF204KC1121;-;Nippon India Flexi Cap Fund - Direct Plan - Growth Plan - Growth Option;12.8038;25-Aug-2023</v>
      </c>
      <c r="B4925" s="1"/>
    </row>
    <row r="4926">
      <c r="A4926" s="1" t="str">
        <f>IFERROR(__xludf.DUMMYFUNCTION("""COMPUTED_VALUE"""),"149095;INF204KC1139;INF204KC1147;Nippon India Flexi Cap Fund - Direct Plan - IDCW Option;12.8038;25-Aug-2023")</f>
        <v>149095;INF204KC1139;INF204KC1147;Nippon India Flexi Cap Fund - Direct Plan - IDCW Option;12.8038;25-Aug-2023</v>
      </c>
      <c r="B4926" s="1"/>
    </row>
    <row r="4927">
      <c r="A4927" s="1" t="str">
        <f>IFERROR(__xludf.DUMMYFUNCTION("""COMPUTED_VALUE"""),"149089;INF204KC1097;-;Nippon India Flexi Cap Fund - Regular Plan - Growth Plan - Growth Option;12.4101;25-Aug-2023")</f>
        <v>149089;INF204KC1097;-;Nippon India Flexi Cap Fund - Regular Plan - Growth Plan - Growth Option;12.4101;25-Aug-2023</v>
      </c>
      <c r="B4927" s="1"/>
    </row>
    <row r="4928">
      <c r="A4928" s="1" t="str">
        <f>IFERROR(__xludf.DUMMYFUNCTION("""COMPUTED_VALUE"""),"149096;INF204KC1105;INF204KC1113;Nippon India Flexi Cap Fund - Regular Plan - IDCW Option;12.4101;25-Aug-2023")</f>
        <v>149096;INF204KC1105;INF204KC1113;Nippon India Flexi Cap Fund - Regular Plan - IDCW Option;12.4101;25-Aug-2023</v>
      </c>
      <c r="B4928" s="1"/>
    </row>
    <row r="4929">
      <c r="A4929" s="1"/>
      <c r="B4929" s="1"/>
    </row>
    <row r="4930">
      <c r="A4930" s="1" t="str">
        <f>IFERROR(__xludf.DUMMYFUNCTION("""COMPUTED_VALUE"""),"PGIM India Mutual Fund")</f>
        <v>PGIM India Mutual Fund</v>
      </c>
      <c r="B4930" s="1"/>
    </row>
    <row r="4931">
      <c r="A4931" s="1"/>
      <c r="B4931" s="1"/>
    </row>
    <row r="4932">
      <c r="A4932" s="1" t="str">
        <f>IFERROR(__xludf.DUMMYFUNCTION("""COMPUTED_VALUE"""),"133837;INF663L01FG9;INF663L01FH7;PGIM India Flexi Cap Fund - Direct Plan - Dividend Option;19.48;25-Aug-2023")</f>
        <v>133837;INF663L01FG9;INF663L01FH7;PGIM India Flexi Cap Fund - Direct Plan - Dividend Option;19.48;25-Aug-2023</v>
      </c>
      <c r="B4932" s="1"/>
    </row>
    <row r="4933">
      <c r="A4933" s="1" t="str">
        <f>IFERROR(__xludf.DUMMYFUNCTION("""COMPUTED_VALUE"""),"133839;INF663L01FF1;-;PGIM India Flexi Cap Fund - Direct Plan - Growth Option;31.41;25-Aug-2023")</f>
        <v>133839;INF663L01FF1;-;PGIM India Flexi Cap Fund - Direct Plan - Growth Option;31.41;25-Aug-2023</v>
      </c>
      <c r="B4933" s="1"/>
    </row>
    <row r="4934">
      <c r="A4934" s="1" t="str">
        <f>IFERROR(__xludf.DUMMYFUNCTION("""COMPUTED_VALUE"""),"133838;INF663L01FK1;INF663L01FL9;PGIM India Flexi Cap Fund - Regular Plan - Dividend Option;17.69;25-Aug-2023")</f>
        <v>133838;INF663L01FK1;INF663L01FL9;PGIM India Flexi Cap Fund - Regular Plan - Dividend Option;17.69;25-Aug-2023</v>
      </c>
      <c r="B4934" s="1"/>
    </row>
    <row r="4935">
      <c r="A4935" s="1" t="str">
        <f>IFERROR(__xludf.DUMMYFUNCTION("""COMPUTED_VALUE"""),"133836;INF663L01FJ3;-;PGIM India Flexi Cap Fund - Regular Plan - Growth Option;27.58;25-Aug-2023")</f>
        <v>133836;INF663L01FJ3;-;PGIM India Flexi Cap Fund - Regular Plan - Growth Option;27.58;25-Aug-2023</v>
      </c>
      <c r="B4935" s="1"/>
    </row>
    <row r="4936">
      <c r="A4936" s="1"/>
      <c r="B4936" s="1"/>
    </row>
    <row r="4937">
      <c r="A4937" s="1" t="str">
        <f>IFERROR(__xludf.DUMMYFUNCTION("""COMPUTED_VALUE"""),"PPFAS Mutual Fund")</f>
        <v>PPFAS Mutual Fund</v>
      </c>
      <c r="B4937" s="1"/>
    </row>
    <row r="4938">
      <c r="A4938" s="1"/>
      <c r="B4938" s="1"/>
    </row>
    <row r="4939">
      <c r="A4939" s="1" t="str">
        <f>IFERROR(__xludf.DUMMYFUNCTION("""COMPUTED_VALUE"""),"122639;INF879O01027;-;Parag Parikh Flexi Cap Fund - Direct Plan - Growth;60.5096;25-Aug-2023")</f>
        <v>122639;INF879O01027;-;Parag Parikh Flexi Cap Fund - Direct Plan - Growth;60.5096;25-Aug-2023</v>
      </c>
      <c r="B4939" s="1"/>
    </row>
    <row r="4940">
      <c r="A4940" s="1" t="str">
        <f>IFERROR(__xludf.DUMMYFUNCTION("""COMPUTED_VALUE"""),"122640;INF879O01019;-;Parag Parikh Flexi Cap Fund - Regular Plan - Growth;56.2746;25-Aug-2023")</f>
        <v>122640;INF879O01019;-;Parag Parikh Flexi Cap Fund - Regular Plan - Growth;56.2746;25-Aug-2023</v>
      </c>
      <c r="B4940" s="1"/>
    </row>
    <row r="4941">
      <c r="A4941" s="1"/>
      <c r="B4941" s="1"/>
    </row>
    <row r="4942">
      <c r="A4942" s="1" t="str">
        <f>IFERROR(__xludf.DUMMYFUNCTION("""COMPUTED_VALUE"""),"quant Mutual Fund")</f>
        <v>quant Mutual Fund</v>
      </c>
      <c r="B4942" s="1"/>
    </row>
    <row r="4943">
      <c r="A4943" s="1"/>
      <c r="B4943" s="1"/>
    </row>
    <row r="4944">
      <c r="A4944" s="1" t="str">
        <f>IFERROR(__xludf.DUMMYFUNCTION("""COMPUTED_VALUE"""),"109830;INF966L01457;-;quant Flexi Cap Fund - Growth Option - Regular Plan;68.8942;25-Aug-2023")</f>
        <v>109830;INF966L01457;-;quant Flexi Cap Fund - Growth Option - Regular Plan;68.8942;25-Aug-2023</v>
      </c>
      <c r="B4944" s="1"/>
    </row>
    <row r="4945">
      <c r="A4945" s="1" t="str">
        <f>IFERROR(__xludf.DUMMYFUNCTION("""COMPUTED_VALUE"""),"120843;INF966L01911;-;quant Flexi Cap Fund - Growth Option-Direct Plan;74.8881;25-Aug-2023")</f>
        <v>120843;INF966L01911;-;quant Flexi Cap Fund - Growth Option-Direct Plan;74.8881;25-Aug-2023</v>
      </c>
      <c r="B4945" s="1"/>
    </row>
    <row r="4946">
      <c r="A4946" s="1" t="str">
        <f>IFERROR(__xludf.DUMMYFUNCTION("""COMPUTED_VALUE"""),"120842;INF966L01895;INF966L01903;quant Flexi Cap Fund - IDCW Option - Direct Plan;50.9437;25-Aug-2023")</f>
        <v>120842;INF966L01895;INF966L01903;quant Flexi Cap Fund - IDCW Option - Direct Plan;50.9437;25-Aug-2023</v>
      </c>
      <c r="B4946" s="1"/>
    </row>
    <row r="4947">
      <c r="A4947" s="1" t="str">
        <f>IFERROR(__xludf.DUMMYFUNCTION("""COMPUTED_VALUE"""),"109831;INF966L01432;INF966L01440;quant Flexi Cap Fund - IDCW Option - Regular Plan;49.2424;25-Aug-2023")</f>
        <v>109831;INF966L01432;INF966L01440;quant Flexi Cap Fund - IDCW Option - Regular Plan;49.2424;25-Aug-2023</v>
      </c>
      <c r="B4947" s="1"/>
    </row>
    <row r="4948">
      <c r="A4948" s="1"/>
      <c r="B4948" s="1"/>
    </row>
    <row r="4949">
      <c r="A4949" s="1" t="str">
        <f>IFERROR(__xludf.DUMMYFUNCTION("""COMPUTED_VALUE"""),"Samco Mutual Fund")</f>
        <v>Samco Mutual Fund</v>
      </c>
      <c r="B4949" s="1"/>
    </row>
    <row r="4950">
      <c r="A4950" s="1"/>
      <c r="B4950" s="1"/>
    </row>
    <row r="4951">
      <c r="A4951" s="1" t="str">
        <f>IFERROR(__xludf.DUMMYFUNCTION("""COMPUTED_VALUE"""),"149450;INF0K1H01024;-;Samco Flexi Cap Fund - Direct Plan - Growth Option;10.88;25-Aug-2023")</f>
        <v>149450;INF0K1H01024;-;Samco Flexi Cap Fund - Direct Plan - Growth Option;10.88;25-Aug-2023</v>
      </c>
      <c r="B4951" s="1"/>
    </row>
    <row r="4952">
      <c r="A4952" s="1" t="str">
        <f>IFERROR(__xludf.DUMMYFUNCTION("""COMPUTED_VALUE"""),"149449;INF0K1H01016;-;Samco Flexi Cap Fund - Regular Plan - Growth Option;10.62;25-Aug-2023")</f>
        <v>149449;INF0K1H01016;-;Samco Flexi Cap Fund - Regular Plan - Growth Option;10.62;25-Aug-2023</v>
      </c>
      <c r="B4952" s="1"/>
    </row>
    <row r="4953">
      <c r="A4953" s="1"/>
      <c r="B4953" s="1"/>
    </row>
    <row r="4954">
      <c r="A4954" s="1" t="str">
        <f>IFERROR(__xludf.DUMMYFUNCTION("""COMPUTED_VALUE"""),"SBI Mutual Fund")</f>
        <v>SBI Mutual Fund</v>
      </c>
      <c r="B4954" s="1"/>
    </row>
    <row r="4955">
      <c r="A4955" s="1"/>
      <c r="B4955" s="1"/>
    </row>
    <row r="4956">
      <c r="A4956" s="1" t="str">
        <f>IFERROR(__xludf.DUMMYFUNCTION("""COMPUTED_VALUE"""),"119718;INF200K01UG1;-;SBI Flexicap Fund - DIRECT PLAN - Growth Option;92.2184;25-Aug-2023")</f>
        <v>119718;INF200K01UG1;-;SBI Flexicap Fund - DIRECT PLAN - Growth Option;92.2184;25-Aug-2023</v>
      </c>
      <c r="B4956" s="1"/>
    </row>
    <row r="4957">
      <c r="A4957" s="1" t="str">
        <f>IFERROR(__xludf.DUMMYFUNCTION("""COMPUTED_VALUE"""),"119717;INF200K01UE6;INF200K01UF3;SBI Flexicap Fund - Direct Plan - Income Distribution cum Capital Withdrawal Option (IDCW);46.0936;25-Aug-2023")</f>
        <v>119717;INF200K01UE6;INF200K01UF3;SBI Flexicap Fund - Direct Plan - Income Distribution cum Capital Withdrawal Option (IDCW);46.0936;25-Aug-2023</v>
      </c>
      <c r="B4957" s="1"/>
    </row>
    <row r="4958">
      <c r="A4958" s="1" t="str">
        <f>IFERROR(__xludf.DUMMYFUNCTION("""COMPUTED_VALUE"""),"103216;INF200K01230;INF200K01248;SBI Flexicap Fund - Regular Plan - Income Distribution cum Capital Withdrawal Option (IDCW);37.5616;25-Aug-2023")</f>
        <v>103216;INF200K01230;INF200K01248;SBI Flexicap Fund - Regular Plan - Income Distribution cum Capital Withdrawal Option (IDCW);37.5616;25-Aug-2023</v>
      </c>
      <c r="B4958" s="1"/>
    </row>
    <row r="4959">
      <c r="A4959" s="1" t="str">
        <f>IFERROR(__xludf.DUMMYFUNCTION("""COMPUTED_VALUE"""),"103215;INF200K01222;-;SBI Flexicap Fund - REGULAR PLAN -Growth Option;83.8847;25-Aug-2023")</f>
        <v>103215;INF200K01222;-;SBI Flexicap Fund - REGULAR PLAN -Growth Option;83.8847;25-Aug-2023</v>
      </c>
      <c r="B4959" s="1"/>
    </row>
    <row r="4960">
      <c r="A4960" s="1"/>
      <c r="B4960" s="1"/>
    </row>
    <row r="4961">
      <c r="A4961" s="1" t="str">
        <f>IFERROR(__xludf.DUMMYFUNCTION("""COMPUTED_VALUE"""),"Shriram Mutual Fund")</f>
        <v>Shriram Mutual Fund</v>
      </c>
      <c r="B4961" s="1"/>
    </row>
    <row r="4962">
      <c r="A4962" s="1"/>
      <c r="B4962" s="1"/>
    </row>
    <row r="4963">
      <c r="A4963" s="1" t="str">
        <f>IFERROR(__xludf.DUMMYFUNCTION("""COMPUTED_VALUE"""),"144905;INF680P01109;-;Shriram Flexi Cap Fund - Direct Growth;17.3887;25-Aug-2023")</f>
        <v>144905;INF680P01109;-;Shriram Flexi Cap Fund - Direct Growth;17.3887;25-Aug-2023</v>
      </c>
      <c r="B4963" s="1"/>
    </row>
    <row r="4964">
      <c r="A4964" s="1" t="str">
        <f>IFERROR(__xludf.DUMMYFUNCTION("""COMPUTED_VALUE"""),"144906;INF680P01117;INF680P01125;Shriram Flexi Cap Fund - Direct-IDCW;17.2750;25-Aug-2023")</f>
        <v>144906;INF680P01117;INF680P01125;Shriram Flexi Cap Fund - Direct-IDCW;17.2750;25-Aug-2023</v>
      </c>
      <c r="B4964" s="1"/>
    </row>
    <row r="4965">
      <c r="A4965" s="1" t="str">
        <f>IFERROR(__xludf.DUMMYFUNCTION("""COMPUTED_VALUE"""),"144902;INF680P01075;-;Shriram Flexi Cap Fund - Regular Growth;15.9063;25-Aug-2023")</f>
        <v>144902;INF680P01075;-;Shriram Flexi Cap Fund - Regular Growth;15.9063;25-Aug-2023</v>
      </c>
      <c r="B4965" s="1"/>
    </row>
    <row r="4966">
      <c r="A4966" s="1" t="str">
        <f>IFERROR(__xludf.DUMMYFUNCTION("""COMPUTED_VALUE"""),"144903;INF680P01083;INF680P01091;Shriram Flexi Cap Fund - Regular-IDCW;15.8989;25-Aug-2023")</f>
        <v>144903;INF680P01083;INF680P01091;Shriram Flexi Cap Fund - Regular-IDCW;15.8989;25-Aug-2023</v>
      </c>
      <c r="B4966" s="1"/>
    </row>
    <row r="4967">
      <c r="A4967" s="1"/>
      <c r="B4967" s="1"/>
    </row>
    <row r="4968">
      <c r="A4968" s="1" t="str">
        <f>IFERROR(__xludf.DUMMYFUNCTION("""COMPUTED_VALUE"""),"Sundaram Mutual Fund")</f>
        <v>Sundaram Mutual Fund</v>
      </c>
      <c r="B4968" s="1"/>
    </row>
    <row r="4969">
      <c r="A4969" s="1"/>
      <c r="B4969" s="1"/>
    </row>
    <row r="4970">
      <c r="A4970" s="1" t="str">
        <f>IFERROR(__xludf.DUMMYFUNCTION("""COMPUTED_VALUE"""),"150571;INF903JA1LE2;-;Sundaram Flexicap Fund Direct Growth;11.2426;25-Aug-2023")</f>
        <v>150571;INF903JA1LE2;-;Sundaram Flexicap Fund Direct Growth;11.2426;25-Aug-2023</v>
      </c>
      <c r="B4970" s="1"/>
    </row>
    <row r="4971">
      <c r="A4971" s="1" t="str">
        <f>IFERROR(__xludf.DUMMYFUNCTION("""COMPUTED_VALUE"""),"150573;INF903JA1LF9;-;Sundaram Flexicap Fund Direct Plan IDCW Payout;11.2425;25-Aug-2023")</f>
        <v>150573;INF903JA1LF9;-;Sundaram Flexicap Fund Direct Plan IDCW Payout;11.2425;25-Aug-2023</v>
      </c>
      <c r="B4971" s="1"/>
    </row>
    <row r="4972">
      <c r="A4972" s="1" t="str">
        <f>IFERROR(__xludf.DUMMYFUNCTION("""COMPUTED_VALUE"""),"150572;-;INF903JA1LG7;Sundaram Flexicap Fund Direct Plan IDCW Reinvestment;11.2425;25-Aug-2023")</f>
        <v>150572;-;INF903JA1LG7;Sundaram Flexicap Fund Direct Plan IDCW Reinvestment;11.2425;25-Aug-2023</v>
      </c>
      <c r="B4972" s="1"/>
    </row>
    <row r="4973">
      <c r="A4973" s="1" t="str">
        <f>IFERROR(__xludf.DUMMYFUNCTION("""COMPUTED_VALUE"""),"150568;INF903JA1LB8;-;Sundaram Flexicap Fund Regular Growth;11.0487;25-Aug-2023")</f>
        <v>150568;INF903JA1LB8;-;Sundaram Flexicap Fund Regular Growth;11.0487;25-Aug-2023</v>
      </c>
      <c r="B4973" s="1"/>
    </row>
    <row r="4974">
      <c r="A4974" s="1" t="str">
        <f>IFERROR(__xludf.DUMMYFUNCTION("""COMPUTED_VALUE"""),"150569;INF903JA1LC6;-;Sundaram Flexicap Fund Regular Plan IDCW Payout;11.0487;25-Aug-2023")</f>
        <v>150569;INF903JA1LC6;-;Sundaram Flexicap Fund Regular Plan IDCW Payout;11.0487;25-Aug-2023</v>
      </c>
      <c r="B4974" s="1"/>
    </row>
    <row r="4975">
      <c r="A4975" s="1" t="str">
        <f>IFERROR(__xludf.DUMMYFUNCTION("""COMPUTED_VALUE"""),"150570;-;INF903JA1LD4;Sundaram Flexicap Fund Regular Plan IDCW Reinvestment;11.0487;25-Aug-2023")</f>
        <v>150570;-;INF903JA1LD4;Sundaram Flexicap Fund Regular Plan IDCW Reinvestment;11.0487;25-Aug-2023</v>
      </c>
      <c r="B4975" s="1"/>
    </row>
    <row r="4976">
      <c r="A4976" s="1"/>
      <c r="B4976" s="1"/>
    </row>
    <row r="4977">
      <c r="A4977" s="1" t="str">
        <f>IFERROR(__xludf.DUMMYFUNCTION("""COMPUTED_VALUE"""),"Tata Mutual Fund")</f>
        <v>Tata Mutual Fund</v>
      </c>
      <c r="B4977" s="1"/>
    </row>
    <row r="4978">
      <c r="A4978" s="1"/>
      <c r="B4978" s="1"/>
    </row>
    <row r="4979">
      <c r="A4979" s="1" t="str">
        <f>IFERROR(__xludf.DUMMYFUNCTION("""COMPUTED_VALUE"""),"144547;INF277K017K6;-;TATA Flexi Cap Fund - Direct Plan - Payout of Income Distribution cum capital withdrawal option ;19.1778;25-Aug-2023")</f>
        <v>144547;INF277K017K6;-;TATA Flexi Cap Fund - Direct Plan - Payout of Income Distribution cum capital withdrawal option ;19.1778;25-Aug-2023</v>
      </c>
      <c r="B4979" s="1"/>
    </row>
    <row r="4980">
      <c r="A4980" s="1" t="str">
        <f>IFERROR(__xludf.DUMMYFUNCTION("""COMPUTED_VALUE"""),"144548;INF277K019K2;-;Tata Flexi Cap Fund -Regular Plan-Growth;17.6970;25-Aug-2023")</f>
        <v>144548;INF277K019K2;-;Tata Flexi Cap Fund -Regular Plan-Growth;17.6970;25-Aug-2023</v>
      </c>
      <c r="B4980" s="1"/>
    </row>
    <row r="4981">
      <c r="A4981" s="1" t="str">
        <f>IFERROR(__xludf.DUMMYFUNCTION("""COMPUTED_VALUE"""),"144543;-;INF277K016K8;TATA Flexi Cap Fund Direct Plan - Reinvestment of Income Distribution cum capital withdrawal option;19.1778;25-Aug-2023")</f>
        <v>144543;-;INF277K016K8;TATA Flexi Cap Fund Direct Plan - Reinvestment of Income Distribution cum capital withdrawal option;19.1778;25-Aug-2023</v>
      </c>
      <c r="B4981" s="1"/>
    </row>
    <row r="4982">
      <c r="A4982" s="1" t="str">
        <f>IFERROR(__xludf.DUMMYFUNCTION("""COMPUTED_VALUE"""),"144544;INF277K011L7;-;TATA Flexi Cap Fund Regular Plan - Payout of Income Distribution cum capital withdrawal option ;17.6970;25-Aug-2023")</f>
        <v>144544;INF277K011L7;-;TATA Flexi Cap Fund Regular Plan - Payout of Income Distribution cum capital withdrawal option ;17.6970;25-Aug-2023</v>
      </c>
      <c r="B4982" s="1"/>
    </row>
    <row r="4983">
      <c r="A4983" s="1" t="str">
        <f>IFERROR(__xludf.DUMMYFUNCTION("""COMPUTED_VALUE"""),"144545;-;INF277K010L9;TATA Flexi Cap Fund Regular Plan - Reinvestment of Income Distribution cum capital withdrawal option ;17.6970;25-Aug-2023")</f>
        <v>144545;-;INF277K010L9;TATA Flexi Cap Fund Regular Plan - Reinvestment of Income Distribution cum capital withdrawal option ;17.6970;25-Aug-2023</v>
      </c>
      <c r="B4983" s="1"/>
    </row>
    <row r="4984">
      <c r="A4984" s="1" t="str">
        <f>IFERROR(__xludf.DUMMYFUNCTION("""COMPUTED_VALUE"""),"144546;INF277K015K0;-;Tata Flexi Cap Fund-Direct Plan-Growth;19.1778;25-Aug-2023")</f>
        <v>144546;INF277K015K0;-;Tata Flexi Cap Fund-Direct Plan-Growth;19.1778;25-Aug-2023</v>
      </c>
      <c r="B4984" s="1"/>
    </row>
    <row r="4985">
      <c r="A4985" s="1"/>
      <c r="B4985" s="1"/>
    </row>
    <row r="4986">
      <c r="A4986" s="1" t="str">
        <f>IFERROR(__xludf.DUMMYFUNCTION("""COMPUTED_VALUE"""),"Taurus Mutual Fund")</f>
        <v>Taurus Mutual Fund</v>
      </c>
      <c r="B4986" s="1"/>
    </row>
    <row r="4987">
      <c r="A4987" s="1"/>
      <c r="B4987" s="1"/>
    </row>
    <row r="4988">
      <c r="A4988" s="1" t="str">
        <f>IFERROR(__xludf.DUMMYFUNCTION("""COMPUTED_VALUE"""),"118884;INF044D01BV7;INF044D01BW5;Taurus Flexi Cap Fund - Direct Plan -  Payout of Income Distribution cum Capital Withdrawal option;87.10;25-Aug-2023")</f>
        <v>118884;INF044D01BV7;INF044D01BW5;Taurus Flexi Cap Fund - Direct Plan -  Payout of Income Distribution cum Capital Withdrawal option;87.10;25-Aug-2023</v>
      </c>
      <c r="B4988" s="1"/>
    </row>
    <row r="4989">
      <c r="A4989" s="1" t="str">
        <f>IFERROR(__xludf.DUMMYFUNCTION("""COMPUTED_VALUE"""),"118883;INF044D01BU9;-;Taurus Flexi Cap Fund - Direct Plan - Growth;172.62;25-Aug-2023")</f>
        <v>118883;INF044D01BU9;-;Taurus Flexi Cap Fund - Direct Plan - Growth;172.62;25-Aug-2023</v>
      </c>
      <c r="B4989" s="1"/>
    </row>
    <row r="4990">
      <c r="A4990" s="1" t="str">
        <f>IFERROR(__xludf.DUMMYFUNCTION("""COMPUTED_VALUE"""),"100476;INF044D01989;-;Taurus Flexi Cap Fund - Regular Plan - Growth ;166.12;25-Aug-2023")</f>
        <v>100476;INF044D01989;-;Taurus Flexi Cap Fund - Regular Plan - Growth ;166.12;25-Aug-2023</v>
      </c>
      <c r="B4990" s="1"/>
    </row>
    <row r="4991">
      <c r="A4991" s="1" t="str">
        <f>IFERROR(__xludf.DUMMYFUNCTION("""COMPUTED_VALUE"""),"111640;INF044D01955;INF044D01963;Taurus Flexi Cap Fund - Regular Plan - Payout of Income Distribution cum Capital Withdrawal option;80.61;25-Aug-2023")</f>
        <v>111640;INF044D01955;INF044D01963;Taurus Flexi Cap Fund - Regular Plan - Payout of Income Distribution cum Capital Withdrawal option;80.61;25-Aug-2023</v>
      </c>
      <c r="B4991" s="1"/>
    </row>
    <row r="4992">
      <c r="A4992" s="1"/>
      <c r="B4992" s="1"/>
    </row>
    <row r="4993">
      <c r="A4993" s="1" t="str">
        <f>IFERROR(__xludf.DUMMYFUNCTION("""COMPUTED_VALUE"""),"Union Mutual Fund")</f>
        <v>Union Mutual Fund</v>
      </c>
      <c r="B4993" s="1"/>
    </row>
    <row r="4994">
      <c r="A4994" s="1"/>
      <c r="B4994" s="1"/>
    </row>
    <row r="4995">
      <c r="A4995" s="1" t="str">
        <f>IFERROR(__xludf.DUMMYFUNCTION("""COMPUTED_VALUE"""),"119292;INF582M01633;-;Union Flexi Cap Fund - Direct Plan - Growth Option;41.51;25-Aug-2023")</f>
        <v>119292;INF582M01633;-;Union Flexi Cap Fund - Direct Plan - Growth Option;41.51;25-Aug-2023</v>
      </c>
      <c r="B4995" s="1"/>
    </row>
    <row r="4996">
      <c r="A4996" s="1" t="str">
        <f>IFERROR(__xludf.DUMMYFUNCTION("""COMPUTED_VALUE"""),"119293;INF582M01658;INF582M01641;Union Flexi Cap Fund - Direct Plan - IDCW Option;36.26;25-Aug-2023")</f>
        <v>119293;INF582M01658;INF582M01641;Union Flexi Cap Fund - Direct Plan - IDCW Option;36.26;25-Aug-2023</v>
      </c>
      <c r="B4996" s="1"/>
    </row>
    <row r="4997">
      <c r="A4997" s="1" t="str">
        <f>IFERROR(__xludf.DUMMYFUNCTION("""COMPUTED_VALUE"""),"115270;INF582M01104;-;Union Flexi Cap Fund - Growth Option;38.10;25-Aug-2023")</f>
        <v>115270;INF582M01104;-;Union Flexi Cap Fund - Growth Option;38.10;25-Aug-2023</v>
      </c>
      <c r="B4997" s="1"/>
    </row>
    <row r="4998">
      <c r="A4998" s="1" t="str">
        <f>IFERROR(__xludf.DUMMYFUNCTION("""COMPUTED_VALUE"""),"115290;INF582M01120;INF582M01112;Union Flexi Cap Fund - IDCW Option;24.06;25-Aug-2023")</f>
        <v>115290;INF582M01120;INF582M01112;Union Flexi Cap Fund - IDCW Option;24.06;25-Aug-2023</v>
      </c>
      <c r="B4998" s="1"/>
    </row>
    <row r="4999">
      <c r="A4999" s="1"/>
      <c r="B4999" s="1"/>
    </row>
    <row r="5000">
      <c r="A5000" s="1" t="str">
        <f>IFERROR(__xludf.DUMMYFUNCTION("""COMPUTED_VALUE"""),"UTI Mutual Fund")</f>
        <v>UTI Mutual Fund</v>
      </c>
      <c r="B5000" s="1"/>
    </row>
    <row r="5001">
      <c r="A5001" s="1"/>
      <c r="B5001" s="1"/>
    </row>
    <row r="5002">
      <c r="A5002" s="1" t="str">
        <f>IFERROR(__xludf.DUMMYFUNCTION("""COMPUTED_VALUE"""),"100669;INF789F01513;-;UTI - Flexi Cap Fund-Growth Option;252.1597;25-Aug-2023")</f>
        <v>100669;INF789F01513;-;UTI - Flexi Cap Fund-Growth Option;252.1597;25-Aug-2023</v>
      </c>
      <c r="B5002" s="1"/>
    </row>
    <row r="5003">
      <c r="A5003" s="1" t="str">
        <f>IFERROR(__xludf.DUMMYFUNCTION("""COMPUTED_VALUE"""),"120662;INF789F01TC4;-;UTI - Flexi Cap Fund-Growth Option - Direct;266.9138;25-Aug-2023")</f>
        <v>120662;INF789F01TC4;-;UTI - Flexi Cap Fund-Growth Option - Direct;266.9138;25-Aug-2023</v>
      </c>
      <c r="B5003" s="1"/>
    </row>
    <row r="5004">
      <c r="A5004" s="1" t="str">
        <f>IFERROR(__xludf.DUMMYFUNCTION("""COMPUTED_VALUE"""),"120663;INF789F01TA8;INF789F01TB6;UTI Flexi Cap Fund - Direct Plan - IDCW;177.6269;25-Aug-2023")</f>
        <v>120663;INF789F01TA8;INF789F01TB6;UTI Flexi Cap Fund - Direct Plan - IDCW;177.6269;25-Aug-2023</v>
      </c>
      <c r="B5004" s="1"/>
    </row>
    <row r="5005">
      <c r="A5005" s="1" t="str">
        <f>IFERROR(__xludf.DUMMYFUNCTION("""COMPUTED_VALUE"""),"100668;INF189A01053;INF789F01505;UTI Flexi Cap Fund - Regular Plan - IDCW;166.712;25-Aug-2023")</f>
        <v>100668;INF189A01053;INF789F01505;UTI Flexi Cap Fund - Regular Plan - IDCW;166.712;25-Aug-2023</v>
      </c>
      <c r="B5005" s="1"/>
    </row>
    <row r="5006">
      <c r="A5006" s="1"/>
      <c r="B5006" s="1"/>
    </row>
    <row r="5007">
      <c r="A5007" s="1" t="str">
        <f>IFERROR(__xludf.DUMMYFUNCTION("""COMPUTED_VALUE"""),"WhiteOak Capital Mutual Fund")</f>
        <v>WhiteOak Capital Mutual Fund</v>
      </c>
      <c r="B5007" s="1"/>
    </row>
    <row r="5008">
      <c r="A5008" s="1"/>
      <c r="B5008" s="1"/>
    </row>
    <row r="5009">
      <c r="A5009" s="1" t="str">
        <f>IFERROR(__xludf.DUMMYFUNCTION("""COMPUTED_VALUE"""),"150349;INF03VN01555;INF03VN01548;WhiteOak Capital Flexi Cap Fund Direct Plan IDCW;12.199;25-Aug-2023")</f>
        <v>150349;INF03VN01555;INF03VN01548;WhiteOak Capital Flexi Cap Fund Direct Plan IDCW;12.199;25-Aug-2023</v>
      </c>
      <c r="B5009" s="1"/>
    </row>
    <row r="5010">
      <c r="A5010" s="1" t="str">
        <f>IFERROR(__xludf.DUMMYFUNCTION("""COMPUTED_VALUE"""),"150346;INF03VN01530;-;WhiteOak Capital Flexi Cap Fund Direct Plan-Growth;12.199;25-Aug-2023")</f>
        <v>150346;INF03VN01530;-;WhiteOak Capital Flexi Cap Fund Direct Plan-Growth;12.199;25-Aug-2023</v>
      </c>
      <c r="B5010" s="1"/>
    </row>
    <row r="5011">
      <c r="A5011" s="1" t="str">
        <f>IFERROR(__xludf.DUMMYFUNCTION("""COMPUTED_VALUE"""),"150348;INF03VN01522;INF03VN01514;WhiteOak Capital Flexi Cap Fund Regular Plan IDCW;11.990;25-Aug-2023")</f>
        <v>150348;INF03VN01522;INF03VN01514;WhiteOak Capital Flexi Cap Fund Regular Plan IDCW;11.990;25-Aug-2023</v>
      </c>
      <c r="B5011" s="1"/>
    </row>
    <row r="5012">
      <c r="A5012" s="1" t="str">
        <f>IFERROR(__xludf.DUMMYFUNCTION("""COMPUTED_VALUE"""),"150347;INF03VN01506;-;WhiteOak Capital Flexi Cap Fund Regular Plan-Growth;11.990;25-Aug-2023")</f>
        <v>150347;INF03VN01506;-;WhiteOak Capital Flexi Cap Fund Regular Plan-Growth;11.990;25-Aug-2023</v>
      </c>
      <c r="B5012" s="1"/>
    </row>
    <row r="5013">
      <c r="A5013" s="1"/>
      <c r="B5013" s="1"/>
    </row>
    <row r="5014">
      <c r="A5014" s="1" t="str">
        <f>IFERROR(__xludf.DUMMYFUNCTION("""COMPUTED_VALUE"""),"Open Ended Schemes(Equity Scheme - Focused Fund)")</f>
        <v>Open Ended Schemes(Equity Scheme - Focused Fund)</v>
      </c>
      <c r="B5014" s="1"/>
    </row>
    <row r="5015">
      <c r="A5015" s="1"/>
      <c r="B5015" s="1"/>
    </row>
    <row r="5016">
      <c r="A5016" s="1" t="str">
        <f>IFERROR(__xludf.DUMMYFUNCTION("""COMPUTED_VALUE"""),"360 ONE Mutual Fund (Formerly Known as IIFL Mutual Fund)")</f>
        <v>360 ONE Mutual Fund (Formerly Known as IIFL Mutual Fund)</v>
      </c>
      <c r="B5016" s="1"/>
    </row>
    <row r="5017">
      <c r="A5017" s="1"/>
      <c r="B5017" s="1"/>
    </row>
    <row r="5018">
      <c r="A5018" s="1" t="str">
        <f>IFERROR(__xludf.DUMMYFUNCTION("""COMPUTED_VALUE"""),"131581;INF579M01910;INF579M01928;360 ONE Focused Equity Fund - Direct Plan - Dividend;38.3436;25-Aug-2023")</f>
        <v>131581;INF579M01910;INF579M01928;360 ONE Focused Equity Fund - Direct Plan - Dividend;38.3436;25-Aug-2023</v>
      </c>
      <c r="B5018" s="1"/>
    </row>
    <row r="5019">
      <c r="A5019" s="1" t="str">
        <f>IFERROR(__xludf.DUMMYFUNCTION("""COMPUTED_VALUE"""),"131579;INF579M01886;INF579M01894;360 ONE Focused Equity Fund - Regular Plan - Dividend;30.7969;25-Aug-2023")</f>
        <v>131579;INF579M01886;INF579M01894;360 ONE Focused Equity Fund - Regular Plan - Dividend;30.7969;25-Aug-2023</v>
      </c>
      <c r="B5019" s="1"/>
    </row>
    <row r="5020">
      <c r="A5020" s="1" t="str">
        <f>IFERROR(__xludf.DUMMYFUNCTION("""COMPUTED_VALUE"""),"131578;INF579M01878;-;360 ONE Focused Equity Fund -Regular Plan - Growth;34.8083;25-Aug-2023")</f>
        <v>131578;INF579M01878;-;360 ONE Focused Equity Fund -Regular Plan - Growth;34.8083;25-Aug-2023</v>
      </c>
      <c r="B5020" s="1"/>
    </row>
    <row r="5021">
      <c r="A5021" s="1" t="str">
        <f>IFERROR(__xludf.DUMMYFUNCTION("""COMPUTED_VALUE"""),"131580;INF579M01902;-;360 ONE Focused Equity Fund-Direct Plan-Growth;38.7386;25-Aug-2023")</f>
        <v>131580;INF579M01902;-;360 ONE Focused Equity Fund-Direct Plan-Growth;38.7386;25-Aug-2023</v>
      </c>
      <c r="B5021" s="1"/>
    </row>
    <row r="5022">
      <c r="A5022" s="1"/>
      <c r="B5022" s="1"/>
    </row>
    <row r="5023">
      <c r="A5023" s="1" t="str">
        <f>IFERROR(__xludf.DUMMYFUNCTION("""COMPUTED_VALUE"""),"Aditya Birla Sun Life Mutual Fund")</f>
        <v>Aditya Birla Sun Life Mutual Fund</v>
      </c>
      <c r="B5023" s="1"/>
    </row>
    <row r="5024">
      <c r="A5024" s="1"/>
      <c r="B5024" s="1"/>
    </row>
    <row r="5025">
      <c r="A5025" s="1" t="str">
        <f>IFERROR(__xludf.DUMMYFUNCTION("""COMPUTED_VALUE"""),"119564;INF209K01WE3;-;Aditya Birla Sun Life Focused Equity Fund - Growth - Direct Plan;111.7917;25-Aug-2023")</f>
        <v>119564;INF209K01WE3;-;Aditya Birla Sun Life Focused Equity Fund - Growth - Direct Plan;111.7917;25-Aug-2023</v>
      </c>
      <c r="B5025" s="1"/>
    </row>
    <row r="5026">
      <c r="A5026" s="1" t="str">
        <f>IFERROR(__xludf.DUMMYFUNCTION("""COMPUTED_VALUE"""),"119563;INF209K01Q71;INF209K01WF0;Aditya Birla Sun Life Focused Equity Fund -Direct - IDCW;45.6921;25-Aug-2023")</f>
        <v>119563;INF209K01Q71;INF209K01WF0;Aditya Birla Sun Life Focused Equity Fund -Direct - IDCW;45.6921;25-Aug-2023</v>
      </c>
      <c r="B5026" s="1"/>
    </row>
    <row r="5027">
      <c r="A5027" s="1" t="str">
        <f>IFERROR(__xludf.DUMMYFUNCTION("""COMPUTED_VALUE"""),"103309;INF209K01462;-;Aditya Birla Sun Life Focused Equity Fund -Growth Option;101.0296;25-Aug-2023")</f>
        <v>103309;INF209K01462;-;Aditya Birla Sun Life Focused Equity Fund -Growth Option;101.0296;25-Aug-2023</v>
      </c>
      <c r="B5027" s="1"/>
    </row>
    <row r="5028">
      <c r="A5028" s="1" t="str">
        <f>IFERROR(__xludf.DUMMYFUNCTION("""COMPUTED_VALUE"""),"103308;INF209K01454;INF209K01CS5;Aditya Birla Sun Life Focused Equity Fund -Regular - IDCW;19.7485;25-Aug-2023")</f>
        <v>103308;INF209K01454;INF209K01CS5;Aditya Birla Sun Life Focused Equity Fund -Regular - IDCW;19.7485;25-Aug-2023</v>
      </c>
      <c r="B5028" s="1"/>
    </row>
    <row r="5029">
      <c r="A5029" s="1"/>
      <c r="B5029" s="1"/>
    </row>
    <row r="5030">
      <c r="A5030" s="1" t="str">
        <f>IFERROR(__xludf.DUMMYFUNCTION("""COMPUTED_VALUE"""),"Axis Mutual Fund")</f>
        <v>Axis Mutual Fund</v>
      </c>
      <c r="B5030" s="1"/>
    </row>
    <row r="5031">
      <c r="A5031" s="1"/>
      <c r="B5031" s="1"/>
    </row>
    <row r="5032">
      <c r="A5032" s="1" t="str">
        <f>IFERROR(__xludf.DUMMYFUNCTION("""COMPUTED_VALUE"""),"120468;INF846K01CQ8;-;Axis Focused 25 Fund - Direct Plan - Growth Option;46.74;25-Aug-2023")</f>
        <v>120468;INF846K01CQ8;-;Axis Focused 25 Fund - Direct Plan - Growth Option;46.74;25-Aug-2023</v>
      </c>
      <c r="B5032" s="1"/>
    </row>
    <row r="5033">
      <c r="A5033" s="1" t="str">
        <f>IFERROR(__xludf.DUMMYFUNCTION("""COMPUTED_VALUE"""),"120467;INF846K01CO3;INF846K01CP0;Axis Focused 25 Fund - Direct Plan - IDCW;30.94;25-Aug-2023")</f>
        <v>120467;INF846K01CO3;INF846K01CP0;Axis Focused 25 Fund - Direct Plan - IDCW;30.94;25-Aug-2023</v>
      </c>
      <c r="B5033" s="1"/>
    </row>
    <row r="5034">
      <c r="A5034" s="1" t="str">
        <f>IFERROR(__xludf.DUMMYFUNCTION("""COMPUTED_VALUE"""),"117560;INF846K01CH7;-;Axis Focused 25 Fund - Regular Plan - Growth Option;41.22;25-Aug-2023")</f>
        <v>117560;INF846K01CH7;-;Axis Focused 25 Fund - Regular Plan - Growth Option;41.22;25-Aug-2023</v>
      </c>
      <c r="B5034" s="1"/>
    </row>
    <row r="5035">
      <c r="A5035" s="1" t="str">
        <f>IFERROR(__xludf.DUMMYFUNCTION("""COMPUTED_VALUE"""),"117559;INF846K01CI5;INF846K01CJ3;Axis Focused 25 Fund - Regular Plan - IDCW;17.71;25-Aug-2023")</f>
        <v>117559;INF846K01CI5;INF846K01CJ3;Axis Focused 25 Fund - Regular Plan - IDCW;17.71;25-Aug-2023</v>
      </c>
      <c r="B5035" s="1"/>
    </row>
    <row r="5036">
      <c r="A5036" s="1"/>
      <c r="B5036" s="1"/>
    </row>
    <row r="5037">
      <c r="A5037" s="1" t="str">
        <f>IFERROR(__xludf.DUMMYFUNCTION("""COMPUTED_VALUE"""),"Bandhan Mutual Fund")</f>
        <v>Bandhan Mutual Fund</v>
      </c>
      <c r="B5037" s="1"/>
    </row>
    <row r="5038">
      <c r="A5038" s="1"/>
      <c r="B5038" s="1"/>
    </row>
    <row r="5039">
      <c r="A5039" s="1" t="str">
        <f>IFERROR(__xludf.DUMMYFUNCTION("""COMPUTED_VALUE"""),"108592;INF194K01466;-;BANDHAN Focused Equity Fund - Regular Plan - Growth;59.175;25-Aug-2023")</f>
        <v>108592;INF194K01466;-;BANDHAN Focused Equity Fund - Regular Plan - Growth;59.175;25-Aug-2023</v>
      </c>
      <c r="B5039" s="1"/>
    </row>
    <row r="5040">
      <c r="A5040" s="1" t="str">
        <f>IFERROR(__xludf.DUMMYFUNCTION("""COMPUTED_VALUE"""),"108593;INF194K01474;INF194K01482;BANDHAN Focused Equity Fund - Regular Plan - IDCW;15.629;25-Aug-2023")</f>
        <v>108593;INF194K01474;INF194K01482;BANDHAN Focused Equity Fund - Regular Plan - IDCW;15.629;25-Aug-2023</v>
      </c>
      <c r="B5040" s="1"/>
    </row>
    <row r="5041">
      <c r="A5041" s="1" t="str">
        <f>IFERROR(__xludf.DUMMYFUNCTION("""COMPUTED_VALUE"""),"118421;INF194K01W21;-;BANDHAN Focused Equity Fund-Direct Plan-Growth;67.984;25-Aug-2023")</f>
        <v>118421;INF194K01W21;-;BANDHAN Focused Equity Fund-Direct Plan-Growth;67.984;25-Aug-2023</v>
      </c>
      <c r="B5041" s="1"/>
    </row>
    <row r="5042">
      <c r="A5042" s="1" t="str">
        <f>IFERROR(__xludf.DUMMYFUNCTION("""COMPUTED_VALUE"""),"118422;INF194K01W39;INF194K01W47;BANDHAN Focused Equity Fund-Direct Plan-IDCW;26.896;25-Aug-2023")</f>
        <v>118422;INF194K01W39;INF194K01W47;BANDHAN Focused Equity Fund-Direct Plan-IDCW;26.896;25-Aug-2023</v>
      </c>
      <c r="B5042" s="1"/>
    </row>
    <row r="5043">
      <c r="A5043" s="1"/>
      <c r="B5043" s="1"/>
    </row>
    <row r="5044">
      <c r="A5044" s="1" t="str">
        <f>IFERROR(__xludf.DUMMYFUNCTION("""COMPUTED_VALUE"""),"Baroda BNP Paribas Mutual Fund")</f>
        <v>Baroda BNP Paribas Mutual Fund</v>
      </c>
      <c r="B5044" s="1"/>
    </row>
    <row r="5045">
      <c r="A5045" s="1"/>
      <c r="B5045" s="1"/>
    </row>
    <row r="5046">
      <c r="A5046" s="1" t="str">
        <f>IFERROR(__xludf.DUMMYFUNCTION("""COMPUTED_VALUE"""),"150264;INF251K01PN0;-;BARODA BNP PARIBAS Focused Fund - Direct Plan - Growth Option;17.9699;25-Aug-2023")</f>
        <v>150264;INF251K01PN0;-;BARODA BNP PARIBAS Focused Fund - Direct Plan - Growth Option;17.9699;25-Aug-2023</v>
      </c>
      <c r="B5046" s="1"/>
    </row>
    <row r="5047">
      <c r="A5047" s="1" t="str">
        <f>IFERROR(__xludf.DUMMYFUNCTION("""COMPUTED_VALUE"""),"150265;INF251K01PO8;INF251K01PP5;BARODA BNP PARIBAS Focused Fund - Direct Plan - IDCW Option;15.4730;25-Aug-2023")</f>
        <v>150265;INF251K01PO8;INF251K01PP5;BARODA BNP PARIBAS Focused Fund - Direct Plan - IDCW Option;15.4730;25-Aug-2023</v>
      </c>
      <c r="B5047" s="1"/>
    </row>
    <row r="5048">
      <c r="A5048" s="1" t="str">
        <f>IFERROR(__xludf.DUMMYFUNCTION("""COMPUTED_VALUE"""),"150262;INF251K01PL4;INF251K01PM2;BARODA BNP PARIBAS Focused Fund - Regular Plan - IDCW Option;14.1792;25-Aug-2023")</f>
        <v>150262;INF251K01PL4;INF251K01PM2;BARODA BNP PARIBAS Focused Fund - Regular Plan - IDCW Option;14.1792;25-Aug-2023</v>
      </c>
      <c r="B5048" s="1"/>
    </row>
    <row r="5049">
      <c r="A5049" s="1" t="str">
        <f>IFERROR(__xludf.DUMMYFUNCTION("""COMPUTED_VALUE"""),"150263;INF251K01PK6;-;BARODA BNP PARIBAS Focused Fund - Regular Plan-Growth Option;16.4216;25-Aug-2023")</f>
        <v>150263;INF251K01PK6;-;BARODA BNP PARIBAS Focused Fund - Regular Plan-Growth Option;16.4216;25-Aug-2023</v>
      </c>
      <c r="B5049" s="1"/>
    </row>
    <row r="5050">
      <c r="A5050" s="1"/>
      <c r="B5050" s="1"/>
    </row>
    <row r="5051">
      <c r="A5051" s="1" t="str">
        <f>IFERROR(__xludf.DUMMYFUNCTION("""COMPUTED_VALUE"""),"Canara Robeco Mutual Fund")</f>
        <v>Canara Robeco Mutual Fund</v>
      </c>
      <c r="B5051" s="1"/>
    </row>
    <row r="5052">
      <c r="A5052" s="1"/>
      <c r="B5052" s="1"/>
    </row>
    <row r="5053">
      <c r="A5053" s="1" t="str">
        <f>IFERROR(__xludf.DUMMYFUNCTION("""COMPUTED_VALUE"""),"148883;INF760K01JQ6;-;Canara Robeco Focused Equity Fund - Direct Plan - Growth Option;14.3600;25-Aug-2023")</f>
        <v>148883;INF760K01JQ6;-;Canara Robeco Focused Equity Fund - Direct Plan - Growth Option;14.3600;25-Aug-2023</v>
      </c>
      <c r="B5053" s="1"/>
    </row>
    <row r="5054">
      <c r="A5054" s="1" t="str">
        <f>IFERROR(__xludf.DUMMYFUNCTION("""COMPUTED_VALUE"""),"148882;INF760K01JS2;INF760K01JR4;Canara Robeco Focused Equity Fund - Direct Plan - IDCW (Payout/Reinvestment);13.6500;25-Aug-2023")</f>
        <v>148882;INF760K01JS2;INF760K01JR4;Canara Robeco Focused Equity Fund - Direct Plan - IDCW (Payout/Reinvestment);13.6500;25-Aug-2023</v>
      </c>
      <c r="B5054" s="1"/>
    </row>
    <row r="5055">
      <c r="A5055" s="1" t="str">
        <f>IFERROR(__xludf.DUMMYFUNCTION("""COMPUTED_VALUE"""),"148884;INF760K01JT0;-;Canara Robeco Focused Equity Fund - Regular Plan - Growth Option;13.8200;25-Aug-2023")</f>
        <v>148884;INF760K01JT0;-;Canara Robeco Focused Equity Fund - Regular Plan - Growth Option;13.8200;25-Aug-2023</v>
      </c>
      <c r="B5055" s="1"/>
    </row>
    <row r="5056">
      <c r="A5056" s="1" t="str">
        <f>IFERROR(__xludf.DUMMYFUNCTION("""COMPUTED_VALUE"""),"148885;INF760K01JV6;INF760K01JU8;Canara Robeco Focused Equity Fund - Regular Plan - IDCW (Payout/Reinvestment);13.0900;25-Aug-2023")</f>
        <v>148885;INF760K01JV6;INF760K01JU8;Canara Robeco Focused Equity Fund - Regular Plan - IDCW (Payout/Reinvestment);13.0900;25-Aug-2023</v>
      </c>
      <c r="B5056" s="1"/>
    </row>
    <row r="5057">
      <c r="A5057" s="1"/>
      <c r="B5057" s="1"/>
    </row>
    <row r="5058">
      <c r="A5058" s="1" t="str">
        <f>IFERROR(__xludf.DUMMYFUNCTION("""COMPUTED_VALUE"""),"DSP Mutual Fund")</f>
        <v>DSP Mutual Fund</v>
      </c>
      <c r="B5058" s="1"/>
    </row>
    <row r="5059">
      <c r="A5059" s="1"/>
      <c r="B5059" s="1"/>
    </row>
    <row r="5060">
      <c r="A5060" s="1" t="str">
        <f>IFERROR(__xludf.DUMMYFUNCTION("""COMPUTED_VALUE"""),"119096;INF740K01OB0;-;DSP Focus Fund - Direct Plan - Growth;41.505;25-Aug-2023")</f>
        <v>119096;INF740K01OB0;-;DSP Focus Fund - Direct Plan - Growth;41.505;25-Aug-2023</v>
      </c>
      <c r="B5060" s="1"/>
    </row>
    <row r="5061">
      <c r="A5061" s="1" t="str">
        <f>IFERROR(__xludf.DUMMYFUNCTION("""COMPUTED_VALUE"""),"119095;INF740K01OC8;INF740K01OD6;DSP Focus Fund - Direct Plan - IDCW;34.345;25-Aug-2023")</f>
        <v>119095;INF740K01OC8;INF740K01OD6;DSP Focus Fund - Direct Plan - IDCW;34.345;25-Aug-2023</v>
      </c>
      <c r="B5061" s="1"/>
    </row>
    <row r="5062">
      <c r="A5062" s="1" t="str">
        <f>IFERROR(__xludf.DUMMYFUNCTION("""COMPUTED_VALUE"""),"112901;INF740K01532;-;DSP Focus Fund - Regular Plan - Growth;37.917;25-Aug-2023")</f>
        <v>112901;INF740K01532;-;DSP Focus Fund - Regular Plan - Growth;37.917;25-Aug-2023</v>
      </c>
      <c r="B5062" s="1"/>
    </row>
    <row r="5063">
      <c r="A5063" s="1" t="str">
        <f>IFERROR(__xludf.DUMMYFUNCTION("""COMPUTED_VALUE"""),"113032;INF740K01540;INF740K01AC7;DSP Focus Fund - Regular Plan - IDCW;17.997;25-Aug-2023")</f>
        <v>113032;INF740K01540;INF740K01AC7;DSP Focus Fund - Regular Plan - IDCW;17.997;25-Aug-2023</v>
      </c>
      <c r="B5063" s="1"/>
    </row>
    <row r="5064">
      <c r="A5064" s="1"/>
      <c r="B5064" s="1"/>
    </row>
    <row r="5065">
      <c r="A5065" s="1" t="str">
        <f>IFERROR(__xludf.DUMMYFUNCTION("""COMPUTED_VALUE"""),"Edelweiss Mutual Fund")</f>
        <v>Edelweiss Mutual Fund</v>
      </c>
      <c r="B5065" s="1"/>
    </row>
    <row r="5066">
      <c r="A5066" s="1"/>
      <c r="B5066" s="1"/>
    </row>
    <row r="5067">
      <c r="A5067" s="1" t="str">
        <f>IFERROR(__xludf.DUMMYFUNCTION("""COMPUTED_VALUE"""),"150376;INF754K01OP1;-;Edelweiss Focused Equity Fund - Direct Plan - Growth;11.884;25-Aug-2023")</f>
        <v>150376;INF754K01OP1;-;Edelweiss Focused Equity Fund - Direct Plan - Growth;11.884;25-Aug-2023</v>
      </c>
      <c r="B5067" s="1"/>
    </row>
    <row r="5068">
      <c r="A5068" s="1" t="str">
        <f>IFERROR(__xludf.DUMMYFUNCTION("""COMPUTED_VALUE"""),"150383;INF754K01OQ9;INF754K01OR7;Edelweiss Focused Equity Fund - Direct Plan - IDCW;11.884;25-Aug-2023")</f>
        <v>150383;INF754K01OQ9;INF754K01OR7;Edelweiss Focused Equity Fund - Direct Plan - IDCW;11.884;25-Aug-2023</v>
      </c>
      <c r="B5068" s="1"/>
    </row>
    <row r="5069">
      <c r="A5069" s="1" t="str">
        <f>IFERROR(__xludf.DUMMYFUNCTION("""COMPUTED_VALUE"""),"150382;INF754K01OL0;-;Edelweiss Focused Equity Fund - Regular Plan - Growth;11.665;25-Aug-2023")</f>
        <v>150382;INF754K01OL0;-;Edelweiss Focused Equity Fund - Regular Plan - Growth;11.665;25-Aug-2023</v>
      </c>
      <c r="B5069" s="1"/>
    </row>
    <row r="5070">
      <c r="A5070" s="1" t="str">
        <f>IFERROR(__xludf.DUMMYFUNCTION("""COMPUTED_VALUE"""),"150384;INF754K01OM8;INF754K01ON6;Edelweiss Focused Equity Fund - Regular Plan - IDCW;11.664;25-Aug-2023")</f>
        <v>150384;INF754K01OM8;INF754K01ON6;Edelweiss Focused Equity Fund - Regular Plan - IDCW;11.664;25-Aug-2023</v>
      </c>
      <c r="B5070" s="1"/>
    </row>
    <row r="5071">
      <c r="A5071" s="1"/>
      <c r="B5071" s="1"/>
    </row>
    <row r="5072">
      <c r="A5072" s="1" t="str">
        <f>IFERROR(__xludf.DUMMYFUNCTION("""COMPUTED_VALUE"""),"Franklin Templeton Mutual Fund")</f>
        <v>Franklin Templeton Mutual Fund</v>
      </c>
      <c r="B5072" s="1"/>
    </row>
    <row r="5073">
      <c r="A5073" s="1"/>
      <c r="B5073" s="1"/>
    </row>
    <row r="5074">
      <c r="A5074" s="1" t="str">
        <f>IFERROR(__xludf.DUMMYFUNCTION("""COMPUTED_VALUE"""),"118564;INF090I01IW2;-;Franklin India Focused Equity Fund - Direct - Growth;87.0292;25-Aug-2023")</f>
        <v>118564;INF090I01IW2;-;Franklin India Focused Equity Fund - Direct - Growth;87.0292;25-Aug-2023</v>
      </c>
      <c r="B5074" s="1"/>
    </row>
    <row r="5075">
      <c r="A5075" s="1" t="str">
        <f>IFERROR(__xludf.DUMMYFUNCTION("""COMPUTED_VALUE"""),"118563;INF090I01IU6;INF090I01IV4;Franklin India Focused Equity Fund - Direct - IDCW ;39.1368;25-Aug-2023")</f>
        <v>118563;INF090I01IU6;INF090I01IV4;Franklin India Focused Equity Fund - Direct - IDCW ;39.1368;25-Aug-2023</v>
      </c>
      <c r="B5075" s="1"/>
    </row>
    <row r="5076">
      <c r="A5076" s="1" t="str">
        <f>IFERROR(__xludf.DUMMYFUNCTION("""COMPUTED_VALUE"""),"105817;INF090I01981;-;Franklin India Focused Equity Fund - Growth Plan;78.4455;25-Aug-2023")</f>
        <v>105817;INF090I01981;-;Franklin India Focused Equity Fund - Growth Plan;78.4455;25-Aug-2023</v>
      </c>
      <c r="B5076" s="1"/>
    </row>
    <row r="5077">
      <c r="A5077" s="1" t="str">
        <f>IFERROR(__xludf.DUMMYFUNCTION("""COMPUTED_VALUE"""),"105816;INF090I01965;INF090I01973;Franklin India Focused Equity Fund - IDCW ;33.4486;25-Aug-2023")</f>
        <v>105816;INF090I01965;INF090I01973;Franklin India Focused Equity Fund - IDCW ;33.4486;25-Aug-2023</v>
      </c>
      <c r="B5077" s="1"/>
    </row>
    <row r="5078">
      <c r="A5078" s="1"/>
      <c r="B5078" s="1"/>
    </row>
    <row r="5079">
      <c r="A5079" s="1" t="str">
        <f>IFERROR(__xludf.DUMMYFUNCTION("""COMPUTED_VALUE"""),"HDFC Mutual Fund")</f>
        <v>HDFC Mutual Fund</v>
      </c>
      <c r="B5079" s="1"/>
    </row>
    <row r="5080">
      <c r="A5080" s="1"/>
      <c r="B5080" s="1"/>
    </row>
    <row r="5081">
      <c r="A5081" s="1" t="str">
        <f>IFERROR(__xludf.DUMMYFUNCTION("""COMPUTED_VALUE"""),"118950;INF179K01VK7;-;HDFC Focused 30 Fund - Growth Option - Direct Plan;167.073;25-Aug-2023")</f>
        <v>118950;INF179K01VK7;-;HDFC Focused 30 Fund - Growth Option - Direct Plan;167.073;25-Aug-2023</v>
      </c>
      <c r="B5081" s="1"/>
    </row>
    <row r="5082">
      <c r="A5082" s="1" t="str">
        <f>IFERROR(__xludf.DUMMYFUNCTION("""COMPUTED_VALUE"""),"102760;INF179K01574;-;HDFC Focused 30 Fund - GROWTH PLAN;150.567;25-Aug-2023")</f>
        <v>102760;INF179K01574;-;HDFC Focused 30 Fund - GROWTH PLAN;150.567;25-Aug-2023</v>
      </c>
      <c r="B5082" s="1"/>
    </row>
    <row r="5083">
      <c r="A5083" s="1" t="str">
        <f>IFERROR(__xludf.DUMMYFUNCTION("""COMPUTED_VALUE"""),"118949;INF179K01VI1;INF179K01VJ9;HDFC Focused 30 Fund - IDCW Option - Direct Plan;24.699;25-Aug-2023")</f>
        <v>118949;INF179K01VI1;INF179K01VJ9;HDFC Focused 30 Fund - IDCW Option - Direct Plan;24.699;25-Aug-2023</v>
      </c>
      <c r="B5083" s="1"/>
    </row>
    <row r="5084">
      <c r="A5084" s="1" t="str">
        <f>IFERROR(__xludf.DUMMYFUNCTION("""COMPUTED_VALUE"""),"102761;INF179K01558;INF179K01566;HDFC Focused 30 Fund - IDCW PLAN;20.217;25-Aug-2023")</f>
        <v>102761;INF179K01558;INF179K01566;HDFC Focused 30 Fund - IDCW PLAN;20.217;25-Aug-2023</v>
      </c>
      <c r="B5084" s="1"/>
    </row>
    <row r="5085">
      <c r="A5085" s="1"/>
      <c r="B5085" s="1"/>
    </row>
    <row r="5086">
      <c r="A5086" s="1" t="str">
        <f>IFERROR(__xludf.DUMMYFUNCTION("""COMPUTED_VALUE"""),"HSBC Mutual Fund")</f>
        <v>HSBC Mutual Fund</v>
      </c>
      <c r="B5086" s="1"/>
    </row>
    <row r="5087">
      <c r="A5087" s="1"/>
      <c r="B5087" s="1"/>
    </row>
    <row r="5088">
      <c r="A5088" s="1" t="str">
        <f>IFERROR(__xludf.DUMMYFUNCTION("""COMPUTED_VALUE"""),"148411;INF336L01PB2;-;HSBC Focused Fund - Direct Growth;18.8797;25-Aug-2023")</f>
        <v>148411;INF336L01PB2;-;HSBC Focused Fund - Direct Growth;18.8797;25-Aug-2023</v>
      </c>
      <c r="B5088" s="1"/>
    </row>
    <row r="5089">
      <c r="A5089" s="1" t="str">
        <f>IFERROR(__xludf.DUMMYFUNCTION("""COMPUTED_VALUE"""),"148412;INF336L01PC0;INF336L01PD8;HSBC Focused Fund - Direct IDCW;16.7525;25-Aug-2023")</f>
        <v>148412;INF336L01PC0;INF336L01PD8;HSBC Focused Fund - Direct IDCW;16.7525;25-Aug-2023</v>
      </c>
      <c r="B5089" s="1"/>
    </row>
    <row r="5090">
      <c r="A5090" s="1" t="str">
        <f>IFERROR(__xludf.DUMMYFUNCTION("""COMPUTED_VALUE"""),"148409;INF336L01PE6;-;HSBC Focused Fund - Regular Growth;17.9973;25-Aug-2023")</f>
        <v>148409;INF336L01PE6;-;HSBC Focused Fund - Regular Growth;17.9973;25-Aug-2023</v>
      </c>
      <c r="B5090" s="1"/>
    </row>
    <row r="5091">
      <c r="A5091" s="1" t="str">
        <f>IFERROR(__xludf.DUMMYFUNCTION("""COMPUTED_VALUE"""),"148410;INF336L01PF3;INF336L01PG1;HSBC Focused Fund - Regular IDCW;14.9842;25-Aug-2023")</f>
        <v>148410;INF336L01PF3;INF336L01PG1;HSBC Focused Fund - Regular IDCW;14.9842;25-Aug-2023</v>
      </c>
      <c r="B5091" s="1"/>
    </row>
    <row r="5092">
      <c r="A5092" s="1"/>
      <c r="B5092" s="1"/>
    </row>
    <row r="5093">
      <c r="A5093" s="1" t="str">
        <f>IFERROR(__xludf.DUMMYFUNCTION("""COMPUTED_VALUE"""),"ICICI Prudential Mutual Fund")</f>
        <v>ICICI Prudential Mutual Fund</v>
      </c>
      <c r="B5093" s="1"/>
    </row>
    <row r="5094">
      <c r="A5094" s="1"/>
      <c r="B5094" s="1"/>
    </row>
    <row r="5095">
      <c r="A5095" s="1" t="str">
        <f>IFERROR(__xludf.DUMMYFUNCTION("""COMPUTED_VALUE"""),"120722;INF109K018N2;-;ICICI Prudential Focused Equity Fund - Direct Plan - Growth;65.97;25-Aug-2023")</f>
        <v>120722;INF109K018N2;-;ICICI Prudential Focused Equity Fund - Direct Plan - Growth;65.97;25-Aug-2023</v>
      </c>
      <c r="B5095" s="1"/>
    </row>
    <row r="5096">
      <c r="A5096" s="1" t="str">
        <f>IFERROR(__xludf.DUMMYFUNCTION("""COMPUTED_VALUE"""),"120723;INF109K016N6;INF109K017N4;ICICI Prudential Focused Equity Fund - Direct Plan - IDCW;41.51;25-Aug-2023")</f>
        <v>120723;INF109K016N6;INF109K017N4;ICICI Prudential Focused Equity Fund - Direct Plan - IDCW;41.51;25-Aug-2023</v>
      </c>
      <c r="B5096" s="1"/>
    </row>
    <row r="5097">
      <c r="A5097" s="1" t="str">
        <f>IFERROR(__xludf.DUMMYFUNCTION("""COMPUTED_VALUE"""),"111957;INF109K01BZ4;-;ICICI Prudential Focused Equity Fund - Growth;58.85;25-Aug-2023")</f>
        <v>111957;INF109K01BZ4;-;ICICI Prudential Focused Equity Fund - Growth;58.85;25-Aug-2023</v>
      </c>
      <c r="B5097" s="1"/>
    </row>
    <row r="5098">
      <c r="A5098" s="1" t="str">
        <f>IFERROR(__xludf.DUMMYFUNCTION("""COMPUTED_VALUE"""),"111958;INF109K01FM3;INF109K01CA5;ICICI Prudential Focused Equity Fund - IDCW;20.49;25-Aug-2023")</f>
        <v>111958;INF109K01FM3;INF109K01CA5;ICICI Prudential Focused Equity Fund - IDCW;20.49;25-Aug-2023</v>
      </c>
      <c r="B5098" s="1"/>
    </row>
    <row r="5099">
      <c r="A5099" s="1"/>
      <c r="B5099" s="1"/>
    </row>
    <row r="5100">
      <c r="A5100" s="1" t="str">
        <f>IFERROR(__xludf.DUMMYFUNCTION("""COMPUTED_VALUE"""),"Invesco Mutual Fund")</f>
        <v>Invesco Mutual Fund</v>
      </c>
      <c r="B5100" s="1"/>
    </row>
    <row r="5101">
      <c r="A5101" s="1"/>
      <c r="B5101" s="1"/>
    </row>
    <row r="5102">
      <c r="A5102" s="1" t="str">
        <f>IFERROR(__xludf.DUMMYFUNCTION("""COMPUTED_VALUE"""),"148481;INF205KA1213;-;Invesco India Focused 20 Equity Fund - Direct Plan - Growth;17.27;25-Aug-2023")</f>
        <v>148481;INF205KA1213;-;Invesco India Focused 20 Equity Fund - Direct Plan - Growth;17.27;25-Aug-2023</v>
      </c>
      <c r="B5102" s="1"/>
    </row>
    <row r="5103">
      <c r="A5103" s="1" t="str">
        <f>IFERROR(__xludf.DUMMYFUNCTION("""COMPUTED_VALUE"""),"148482;INF205KA1205;INF205KA1221;Invesco India Focused 20 Equity Fund - Direct Plan - IDCW (Payout / Reinvestment);15.58;25-Aug-2023")</f>
        <v>148482;INF205KA1205;INF205KA1221;Invesco India Focused 20 Equity Fund - Direct Plan - IDCW (Payout / Reinvestment);15.58;25-Aug-2023</v>
      </c>
      <c r="B5103" s="1"/>
    </row>
    <row r="5104">
      <c r="A5104" s="1" t="str">
        <f>IFERROR(__xludf.DUMMYFUNCTION("""COMPUTED_VALUE"""),"148483;INF205KA1189;-;Invesco India Focused 20 Equity Fund - Growth;16.46;25-Aug-2023")</f>
        <v>148483;INF205KA1189;-;Invesco India Focused 20 Equity Fund - Growth;16.46;25-Aug-2023</v>
      </c>
      <c r="B5104" s="1"/>
    </row>
    <row r="5105">
      <c r="A5105" s="1" t="str">
        <f>IFERROR(__xludf.DUMMYFUNCTION("""COMPUTED_VALUE"""),"148484;INF205KA1171;INF205KA1197;Invesco India Focused 20 Equity Fund - IDCW (Payout / Reinvestment);14.81;25-Aug-2023")</f>
        <v>148484;INF205KA1171;INF205KA1197;Invesco India Focused 20 Equity Fund - IDCW (Payout / Reinvestment);14.81;25-Aug-2023</v>
      </c>
      <c r="B5105" s="1"/>
    </row>
    <row r="5106">
      <c r="A5106" s="1"/>
      <c r="B5106" s="1"/>
    </row>
    <row r="5107">
      <c r="A5107" s="1" t="str">
        <f>IFERROR(__xludf.DUMMYFUNCTION("""COMPUTED_VALUE"""),"ITI Mutual Fund")</f>
        <v>ITI Mutual Fund</v>
      </c>
      <c r="B5107" s="1"/>
    </row>
    <row r="5108">
      <c r="A5108" s="1"/>
      <c r="B5108" s="1"/>
    </row>
    <row r="5109">
      <c r="A5109" s="1" t="str">
        <f>IFERROR(__xludf.DUMMYFUNCTION("""COMPUTED_VALUE"""),"151777;INF00XX01CS8;-;ITI Focused Equity Fund - Direct Plan - Growth;10.1203;25-Aug-2023")</f>
        <v>151777;INF00XX01CS8;-;ITI Focused Equity Fund - Direct Plan - Growth;10.1203;25-Aug-2023</v>
      </c>
      <c r="B5109" s="1"/>
    </row>
    <row r="5110">
      <c r="A5110" s="1" t="str">
        <f>IFERROR(__xludf.DUMMYFUNCTION("""COMPUTED_VALUE"""),"151776;INF00XX01CT6;INF00XX01CU4;ITI Focused Equity Fund - Direct Plan - IDCW;10.1203;25-Aug-2023")</f>
        <v>151776;INF00XX01CT6;INF00XX01CU4;ITI Focused Equity Fund - Direct Plan - IDCW;10.1203;25-Aug-2023</v>
      </c>
      <c r="B5110" s="1"/>
    </row>
    <row r="5111">
      <c r="A5111" s="1" t="str">
        <f>IFERROR(__xludf.DUMMYFUNCTION("""COMPUTED_VALUE"""),"151778;INF00XX01CV2;-;ITI Focused Equity Fund - Regular Plan - Growth;10.0828;25-Aug-2023")</f>
        <v>151778;INF00XX01CV2;-;ITI Focused Equity Fund - Regular Plan - Growth;10.0828;25-Aug-2023</v>
      </c>
      <c r="B5111" s="1"/>
    </row>
    <row r="5112">
      <c r="A5112" s="1" t="str">
        <f>IFERROR(__xludf.DUMMYFUNCTION("""COMPUTED_VALUE"""),"151775;INF00XX01CW0;INF00XX01CR0;ITI Focused Equity Fund - Regular Plan - IDCW;10.0828;25-Aug-2023")</f>
        <v>151775;INF00XX01CW0;INF00XX01CR0;ITI Focused Equity Fund - Regular Plan - IDCW;10.0828;25-Aug-2023</v>
      </c>
      <c r="B5112" s="1"/>
    </row>
    <row r="5113">
      <c r="A5113" s="1"/>
      <c r="B5113" s="1"/>
    </row>
    <row r="5114">
      <c r="A5114" s="1" t="str">
        <f>IFERROR(__xludf.DUMMYFUNCTION("""COMPUTED_VALUE"""),"JM Financial Mutual Fund")</f>
        <v>JM Financial Mutual Fund</v>
      </c>
      <c r="B5114" s="1"/>
    </row>
    <row r="5115">
      <c r="A5115" s="1"/>
      <c r="B5115" s="1"/>
    </row>
    <row r="5116">
      <c r="A5116" s="1" t="str">
        <f>IFERROR(__xludf.DUMMYFUNCTION("""COMPUTED_VALUE"""),"120488;INF192K01BW7;-;JM Focused Fund (Direct)  - Growth Option;16.3194;25-Aug-2023")</f>
        <v>120488;INF192K01BW7;-;JM Focused Fund (Direct)  - Growth Option;16.3194;25-Aug-2023</v>
      </c>
      <c r="B5116" s="1"/>
    </row>
    <row r="5117">
      <c r="A5117" s="1" t="str">
        <f>IFERROR(__xludf.DUMMYFUNCTION("""COMPUTED_VALUE"""),"120487;INF192K01BU1;INF192K01BV9;JM Focused Fund (Direct) -  IDCW;15.9935;25-Aug-2023")</f>
        <v>120487;INF192K01BU1;INF192K01BV9;JM Focused Fund (Direct) -  IDCW;15.9935;25-Aug-2023</v>
      </c>
      <c r="B5117" s="1"/>
    </row>
    <row r="5118">
      <c r="A5118" s="1" t="str">
        <f>IFERROR(__xludf.DUMMYFUNCTION("""COMPUTED_VALUE"""),"107410;INF192K01577;-;JM Focused Fund (Regular) - Growth Option;14.3611;25-Aug-2023")</f>
        <v>107410;INF192K01577;-;JM Focused Fund (Regular) - Growth Option;14.3611;25-Aug-2023</v>
      </c>
      <c r="B5118" s="1"/>
    </row>
    <row r="5119">
      <c r="A5119" s="1" t="str">
        <f>IFERROR(__xludf.DUMMYFUNCTION("""COMPUTED_VALUE"""),"107409;INF192K01551;INF192K01569;JM Focused Fund (Regular) - IDCW;14.3605;25-Aug-2023")</f>
        <v>107409;INF192K01551;INF192K01569;JM Focused Fund (Regular) - IDCW;14.3605;25-Aug-2023</v>
      </c>
      <c r="B5119" s="1"/>
    </row>
    <row r="5120">
      <c r="A5120" s="1"/>
      <c r="B5120" s="1"/>
    </row>
    <row r="5121">
      <c r="A5121" s="1" t="str">
        <f>IFERROR(__xludf.DUMMYFUNCTION("""COMPUTED_VALUE"""),"Kotak Mahindra Mutual Fund")</f>
        <v>Kotak Mahindra Mutual Fund</v>
      </c>
      <c r="B5121" s="1"/>
    </row>
    <row r="5122">
      <c r="A5122" s="1"/>
      <c r="B5122" s="1"/>
    </row>
    <row r="5123">
      <c r="A5123" s="1" t="str">
        <f>IFERROR(__xludf.DUMMYFUNCTION("""COMPUTED_VALUE"""),"147473;INF174KA1EN7;-;Kotak Focused equity Fund- Direct Plan- Growth option;19.375;25-Aug-2023")</f>
        <v>147473;INF174KA1EN7;-;Kotak Focused equity Fund- Direct Plan- Growth option;19.375;25-Aug-2023</v>
      </c>
      <c r="B5123" s="1"/>
    </row>
    <row r="5124">
      <c r="A5124" s="1" t="str">
        <f>IFERROR(__xludf.DUMMYFUNCTION("""COMPUTED_VALUE"""),"147477;INF174KA1EK3;-;Kotak Focused Equity Fund- Regular plan _ Growth Option;18.095;25-Aug-2023")</f>
        <v>147477;INF174KA1EK3;-;Kotak Focused Equity Fund- Regular plan _ Growth Option;18.095;25-Aug-2023</v>
      </c>
      <c r="B5124" s="1"/>
    </row>
    <row r="5125">
      <c r="A5125" s="1" t="str">
        <f>IFERROR(__xludf.DUMMYFUNCTION("""COMPUTED_VALUE"""),"147472;INF174KA1EM9;INF174KA1EL1;Kotak Focused Equity Fund- Regular Plan-Income Distribution cum capital withdrawal option;18.095;25-Aug-2023")</f>
        <v>147472;INF174KA1EM9;INF174KA1EL1;Kotak Focused Equity Fund- Regular Plan-Income Distribution cum capital withdrawal option;18.095;25-Aug-2023</v>
      </c>
      <c r="B5125" s="1"/>
    </row>
    <row r="5126">
      <c r="A5126" s="1" t="str">
        <f>IFERROR(__xludf.DUMMYFUNCTION("""COMPUTED_VALUE"""),"147475;INF174KA1EP2;INF174KA1EO5;Kotak Focused Equity Fund-Direct Plan- Income Distribution cum capital withdrawal option;19.376;25-Aug-2023")</f>
        <v>147475;INF174KA1EP2;INF174KA1EO5;Kotak Focused Equity Fund-Direct Plan- Income Distribution cum capital withdrawal option;19.376;25-Aug-2023</v>
      </c>
      <c r="B5126" s="1"/>
    </row>
    <row r="5127">
      <c r="A5127" s="1"/>
      <c r="B5127" s="1"/>
    </row>
    <row r="5128">
      <c r="A5128" s="1" t="str">
        <f>IFERROR(__xludf.DUMMYFUNCTION("""COMPUTED_VALUE"""),"LIC Mutual Fund")</f>
        <v>LIC Mutual Fund</v>
      </c>
      <c r="B5128" s="1"/>
    </row>
    <row r="5129">
      <c r="A5129" s="1"/>
      <c r="B5129" s="1"/>
    </row>
    <row r="5130">
      <c r="A5130" s="1" t="str">
        <f>IFERROR(__xludf.DUMMYFUNCTION("""COMPUTED_VALUE"""),"152010;INF397L01KA7;-;LIC MF Focused 30 Equity Fund-Direct Plan-Growth;18.05;25-Aug-2023")</f>
        <v>152010;INF397L01KA7;-;LIC MF Focused 30 Equity Fund-Direct Plan-Growth;18.05;25-Aug-2023</v>
      </c>
      <c r="B5130" s="1"/>
    </row>
    <row r="5131">
      <c r="A5131" s="1" t="str">
        <f>IFERROR(__xludf.DUMMYFUNCTION("""COMPUTED_VALUE"""),"152008;INF397L01JX1;INF397L01JY9;LIC MF Focused 30 Equity Fund-Direct Plan-IDCW;18.05;25-Aug-2023")</f>
        <v>152008;INF397L01JX1;INF397L01JY9;LIC MF Focused 30 Equity Fund-Direct Plan-IDCW;18.05;25-Aug-2023</v>
      </c>
      <c r="B5131" s="1"/>
    </row>
    <row r="5132">
      <c r="A5132" s="1" t="str">
        <f>IFERROR(__xludf.DUMMYFUNCTION("""COMPUTED_VALUE"""),"152009;INF397L01KE9;-;LIC MF Focused 30 Equity Fund-Regular Plan-Growth;16.73;25-Aug-2023")</f>
        <v>152009;INF397L01KE9;-;LIC MF Focused 30 Equity Fund-Regular Plan-Growth;16.73;25-Aug-2023</v>
      </c>
      <c r="B5132" s="1"/>
    </row>
    <row r="5133">
      <c r="A5133" s="1" t="str">
        <f>IFERROR(__xludf.DUMMYFUNCTION("""COMPUTED_VALUE"""),"152007;INF397L01KB5;INF397L01KC3;LIC MF Focused 30 Equity Fund-Regular Plan-IDCW;16.73;25-Aug-2023")</f>
        <v>152007;INF397L01KB5;INF397L01KC3;LIC MF Focused 30 Equity Fund-Regular Plan-IDCW;16.73;25-Aug-2023</v>
      </c>
      <c r="B5133" s="1"/>
    </row>
    <row r="5134">
      <c r="A5134" s="1"/>
      <c r="B5134" s="1"/>
    </row>
    <row r="5135">
      <c r="A5135" s="1" t="str">
        <f>IFERROR(__xludf.DUMMYFUNCTION("""COMPUTED_VALUE"""),"Mahindra Manulife Mutual Fund")</f>
        <v>Mahindra Manulife Mutual Fund</v>
      </c>
      <c r="B5135" s="1"/>
    </row>
    <row r="5136">
      <c r="A5136" s="1"/>
      <c r="B5136" s="1"/>
    </row>
    <row r="5137">
      <c r="A5137" s="1" t="str">
        <f>IFERROR(__xludf.DUMMYFUNCTION("""COMPUTED_VALUE"""),"148569;INF174V01AI3;INF174V01AH5;Mahindra Manulife Focused Fund - Direct Plan - IDCW;15.4947;25-Aug-2023")</f>
        <v>148569;INF174V01AI3;INF174V01AH5;Mahindra Manulife Focused Fund - Direct Plan - IDCW;15.4947;25-Aug-2023</v>
      </c>
      <c r="B5137" s="1"/>
    </row>
    <row r="5138">
      <c r="A5138" s="1" t="str">
        <f>IFERROR(__xludf.DUMMYFUNCTION("""COMPUTED_VALUE"""),"148567;INF174V01AG7;-;Mahindra Manulife Focused Fund - Direct Plan -Growth;19.0673;25-Aug-2023")</f>
        <v>148567;INF174V01AG7;-;Mahindra Manulife Focused Fund - Direct Plan -Growth;19.0673;25-Aug-2023</v>
      </c>
      <c r="B5138" s="1"/>
    </row>
    <row r="5139">
      <c r="A5139" s="1" t="str">
        <f>IFERROR(__xludf.DUMMYFUNCTION("""COMPUTED_VALUE"""),"148571;INF174V01AD4;-;Mahindra Manulife Focused Fund - Regular Plan - Growth;18.0087;25-Aug-2023")</f>
        <v>148571;INF174V01AD4;-;Mahindra Manulife Focused Fund - Regular Plan - Growth;18.0087;25-Aug-2023</v>
      </c>
      <c r="B5139" s="1"/>
    </row>
    <row r="5140">
      <c r="A5140" s="1" t="str">
        <f>IFERROR(__xludf.DUMMYFUNCTION("""COMPUTED_VALUE"""),"148566;INF174V01AF9;INF174V01AE2;Mahindra Manulife Focused Fund - Regular Plan - IDCW;14.5435;25-Aug-2023")</f>
        <v>148566;INF174V01AF9;INF174V01AE2;Mahindra Manulife Focused Fund - Regular Plan - IDCW;14.5435;25-Aug-2023</v>
      </c>
      <c r="B5140" s="1"/>
    </row>
    <row r="5141">
      <c r="A5141" s="1"/>
      <c r="B5141" s="1"/>
    </row>
    <row r="5142">
      <c r="A5142" s="1" t="str">
        <f>IFERROR(__xludf.DUMMYFUNCTION("""COMPUTED_VALUE"""),"Mirae Asset Mutual Fund")</f>
        <v>Mirae Asset Mutual Fund</v>
      </c>
      <c r="B5142" s="1"/>
    </row>
    <row r="5143">
      <c r="A5143" s="1"/>
      <c r="B5143" s="1"/>
    </row>
    <row r="5144">
      <c r="A5144" s="1" t="str">
        <f>IFERROR(__xludf.DUMMYFUNCTION("""COMPUTED_VALUE"""),"147205;INF769K01ET2;INF769K01EW6;Mirae Asset Focused Fund Direct IDCW;21.662;25-Aug-2023")</f>
        <v>147205;INF769K01ET2;INF769K01EW6;Mirae Asset Focused Fund Direct IDCW;21.662;25-Aug-2023</v>
      </c>
      <c r="B5144" s="1"/>
    </row>
    <row r="5145">
      <c r="A5145" s="1" t="str">
        <f>IFERROR(__xludf.DUMMYFUNCTION("""COMPUTED_VALUE"""),"147206;INF769K01EU0;-;Mirae Asset Focused Fund Direct Plan Growth;21.667;25-Aug-2023")</f>
        <v>147206;INF769K01EU0;-;Mirae Asset Focused Fund Direct Plan Growth;21.667;25-Aug-2023</v>
      </c>
      <c r="B5145" s="1"/>
    </row>
    <row r="5146">
      <c r="A5146" s="1" t="str">
        <f>IFERROR(__xludf.DUMMYFUNCTION("""COMPUTED_VALUE"""),"147204;INF769K01ER6;INF769K01EV8;Mirae Asset Focused Fund Regular IDCW;20.369;25-Aug-2023")</f>
        <v>147204;INF769K01ER6;INF769K01EV8;Mirae Asset Focused Fund Regular IDCW;20.369;25-Aug-2023</v>
      </c>
      <c r="B5146" s="1"/>
    </row>
    <row r="5147">
      <c r="A5147" s="1" t="str">
        <f>IFERROR(__xludf.DUMMYFUNCTION("""COMPUTED_VALUE"""),"147203;INF769K01ES4;-;Mirae Asset Focused Fund Regular Plan Growth;20.365;25-Aug-2023")</f>
        <v>147203;INF769K01ES4;-;Mirae Asset Focused Fund Regular Plan Growth;20.365;25-Aug-2023</v>
      </c>
      <c r="B5147" s="1"/>
    </row>
    <row r="5148">
      <c r="A5148" s="1"/>
      <c r="B5148" s="1"/>
    </row>
    <row r="5149">
      <c r="A5149" s="1" t="str">
        <f>IFERROR(__xludf.DUMMYFUNCTION("""COMPUTED_VALUE"""),"Motilal Oswal Mutual Fund")</f>
        <v>Motilal Oswal Mutual Fund</v>
      </c>
      <c r="B5149" s="1"/>
    </row>
    <row r="5150">
      <c r="A5150" s="1"/>
      <c r="B5150" s="1"/>
    </row>
    <row r="5151">
      <c r="A5151" s="1" t="str">
        <f>IFERROR(__xludf.DUMMYFUNCTION("""COMPUTED_VALUE"""),"122389;INF247L01189;-;Motilal Oswal Focused 25 Fund (MOF25)- Direct Plan Growth Option;41.0596;25-Aug-2023")</f>
        <v>122389;INF247L01189;-;Motilal Oswal Focused 25 Fund (MOF25)- Direct Plan Growth Option;41.0596;25-Aug-2023</v>
      </c>
      <c r="B5151" s="1"/>
    </row>
    <row r="5152">
      <c r="A5152" s="1" t="str">
        <f>IFERROR(__xludf.DUMMYFUNCTION("""COMPUTED_VALUE"""),"122387;INF247L01155;-;Motilal Oswal Focused 25 Fund (MOF25)- Regular Plan Growth Option;35.8989;25-Aug-2023")</f>
        <v>122387;INF247L01155;-;Motilal Oswal Focused 25 Fund (MOF25)- Regular Plan Growth Option;35.8989;25-Aug-2023</v>
      </c>
      <c r="B5152" s="1"/>
    </row>
    <row r="5153">
      <c r="A5153" s="1" t="str">
        <f>IFERROR(__xludf.DUMMYFUNCTION("""COMPUTED_VALUE"""),"122390;INF247L01205;INF247L01197;Motilal Oswal Focused 25 Fund Direct - IDCW Payout/Reinvestment;20.8593;25-Aug-2023")</f>
        <v>122390;INF247L01205;INF247L01197;Motilal Oswal Focused 25 Fund Direct - IDCW Payout/Reinvestment;20.8593;25-Aug-2023</v>
      </c>
      <c r="B5153" s="1"/>
    </row>
    <row r="5154">
      <c r="A5154" s="1" t="str">
        <f>IFERROR(__xludf.DUMMYFUNCTION("""COMPUTED_VALUE"""),"122388;INF247L01171;INF247L01163;Motilal Oswal Focused 25 Fund Regular - IDCW Payout/Reinvestment;18.3135;25-Aug-2023")</f>
        <v>122388;INF247L01171;INF247L01163;Motilal Oswal Focused 25 Fund Regular - IDCW Payout/Reinvestment;18.3135;25-Aug-2023</v>
      </c>
      <c r="B5154" s="1"/>
    </row>
    <row r="5155">
      <c r="A5155" s="1"/>
      <c r="B5155" s="1"/>
    </row>
    <row r="5156">
      <c r="A5156" s="1" t="str">
        <f>IFERROR(__xludf.DUMMYFUNCTION("""COMPUTED_VALUE"""),"Nippon India Mutual Fund")</f>
        <v>Nippon India Mutual Fund</v>
      </c>
      <c r="B5156" s="1"/>
    </row>
    <row r="5157">
      <c r="A5157" s="1"/>
      <c r="B5157" s="1"/>
    </row>
    <row r="5158">
      <c r="A5158" s="1" t="str">
        <f>IFERROR(__xludf.DUMMYFUNCTION("""COMPUTED_VALUE"""),"118693;INF204K01F79;INF204K01F87;NIPPON INDIA FOCUSED EQUITY FUND - DIRECT Plan - IDCW Option;41.1870;25-Aug-2023")</f>
        <v>118693;INF204K01F79;INF204K01F87;NIPPON INDIA FOCUSED EQUITY FUND - DIRECT Plan - IDCW Option;41.1870;25-Aug-2023</v>
      </c>
      <c r="B5158" s="1"/>
    </row>
    <row r="5159">
      <c r="A5159" s="1" t="str">
        <f>IFERROR(__xludf.DUMMYFUNCTION("""COMPUTED_VALUE"""),"118692;INF204K01F95;-;Nippon India Focused Equity Fund - Direct Plan Growth Plan - Growth Option;99.0703;25-Aug-2023")</f>
        <v>118692;INF204K01F95;-;Nippon India Focused Equity Fund - Direct Plan Growth Plan - Growth Option;99.0703;25-Aug-2023</v>
      </c>
      <c r="B5159" s="1"/>
    </row>
    <row r="5160">
      <c r="A5160" s="1" t="str">
        <f>IFERROR(__xludf.DUMMYFUNCTION("""COMPUTED_VALUE"""),"104638;INF204K01GF4;INF204K01GG2;NIPPON INDIA FOCUSED EQUITY FUND - IDCW OPTION;31.0644;25-Aug-2023")</f>
        <v>104638;INF204K01GF4;INF204K01GG2;NIPPON INDIA FOCUSED EQUITY FUND - IDCW OPTION;31.0644;25-Aug-2023</v>
      </c>
      <c r="B5160" s="1"/>
    </row>
    <row r="5161">
      <c r="A5161" s="1" t="str">
        <f>IFERROR(__xludf.DUMMYFUNCTION("""COMPUTED_VALUE"""),"104637;INF204K01GE7;-;Nippon India Focused Equity Fund -Growth Plan -Growth Option;91.2286;25-Aug-2023")</f>
        <v>104637;INF204K01GE7;-;Nippon India Focused Equity Fund -Growth Plan -Growth Option;91.2286;25-Aug-2023</v>
      </c>
      <c r="B5161" s="1"/>
    </row>
    <row r="5162">
      <c r="A5162" s="1"/>
      <c r="B5162" s="1"/>
    </row>
    <row r="5163">
      <c r="A5163" s="1" t="str">
        <f>IFERROR(__xludf.DUMMYFUNCTION("""COMPUTED_VALUE"""),"quant Mutual Fund")</f>
        <v>quant Mutual Fund</v>
      </c>
      <c r="B5163" s="1"/>
    </row>
    <row r="5164">
      <c r="A5164" s="1"/>
      <c r="B5164" s="1"/>
    </row>
    <row r="5165">
      <c r="A5165" s="1" t="str">
        <f>IFERROR(__xludf.DUMMYFUNCTION("""COMPUTED_VALUE"""),"109275;INF966L01374;-;quant Focused Fund - Growth Option - Regular Plan;63.3494;25-Aug-2023")</f>
        <v>109275;INF966L01374;-;quant Focused Fund - Growth Option - Regular Plan;63.3494;25-Aug-2023</v>
      </c>
      <c r="B5165" s="1"/>
    </row>
    <row r="5166">
      <c r="A5166" s="1" t="str">
        <f>IFERROR(__xludf.DUMMYFUNCTION("""COMPUTED_VALUE"""),"120834;INF966L01853;-;quant Focused Fund - Growth Option-Direct Plan;68.2752;25-Aug-2023")</f>
        <v>120834;INF966L01853;-;quant Focused Fund - Growth Option-Direct Plan;68.2752;25-Aug-2023</v>
      </c>
      <c r="B5166" s="1"/>
    </row>
    <row r="5167">
      <c r="A5167" s="1" t="str">
        <f>IFERROR(__xludf.DUMMYFUNCTION("""COMPUTED_VALUE"""),"120835;INF966L01838;INF966L01846;quant Focused Fund - IDCW Option - Direct Plan;39.916;25-Aug-2023")</f>
        <v>120835;INF966L01838;INF966L01846;quant Focused Fund - IDCW Option - Direct Plan;39.916;25-Aug-2023</v>
      </c>
      <c r="B5167" s="1"/>
    </row>
    <row r="5168">
      <c r="A5168" s="1" t="str">
        <f>IFERROR(__xludf.DUMMYFUNCTION("""COMPUTED_VALUE"""),"109274;INF966L01358;INF966L01366;quant Focused Fund - IDCW Option - Regular Plan;47.0951;25-Aug-2023")</f>
        <v>109274;INF966L01358;INF966L01366;quant Focused Fund - IDCW Option - Regular Plan;47.0951;25-Aug-2023</v>
      </c>
      <c r="B5168" s="1"/>
    </row>
    <row r="5169">
      <c r="A5169" s="1"/>
      <c r="B5169" s="1"/>
    </row>
    <row r="5170">
      <c r="A5170" s="1" t="str">
        <f>IFERROR(__xludf.DUMMYFUNCTION("""COMPUTED_VALUE"""),"SBI Mutual Fund")</f>
        <v>SBI Mutual Fund</v>
      </c>
      <c r="B5170" s="1"/>
    </row>
    <row r="5171">
      <c r="A5171" s="1"/>
      <c r="B5171" s="1"/>
    </row>
    <row r="5172">
      <c r="A5172" s="1" t="str">
        <f>IFERROR(__xludf.DUMMYFUNCTION("""COMPUTED_VALUE"""),"119834;INF200K01RH5;INF200K01RI3;SBI Focused Equity Fund - Direct Plan - Income Distribution cum Capital Withdrawal Option (IDCW);69.0054;25-Aug-2023")</f>
        <v>119834;INF200K01RH5;INF200K01RI3;SBI Focused Equity Fund - Direct Plan - Income Distribution cum Capital Withdrawal Option (IDCW);69.0054;25-Aug-2023</v>
      </c>
      <c r="B5172" s="1"/>
    </row>
    <row r="5173">
      <c r="A5173" s="1" t="str">
        <f>IFERROR(__xludf.DUMMYFUNCTION("""COMPUTED_VALUE"""),"119727;INF200K01RJ1;-;SBI FOCUSED EQUITY FUND - DIRECT PLAN -GROWTH;283.1660;25-Aug-2023")</f>
        <v>119727;INF200K01RJ1;-;SBI FOCUSED EQUITY FUND - DIRECT PLAN -GROWTH;283.1660;25-Aug-2023</v>
      </c>
      <c r="B5173" s="1"/>
    </row>
    <row r="5174">
      <c r="A5174" s="1" t="str">
        <f>IFERROR(__xludf.DUMMYFUNCTION("""COMPUTED_VALUE"""),"102765;INF200K01388;INF200K01396;SBI Focused Equity Fund - Regular Plan - Income Distribution cum Capital Withdrawal Option (IDCW);46.8673;25-Aug-2023")</f>
        <v>102765;INF200K01388;INF200K01396;SBI Focused Equity Fund - Regular Plan - Income Distribution cum Capital Withdrawal Option (IDCW);46.8673;25-Aug-2023</v>
      </c>
      <c r="B5174" s="1"/>
    </row>
    <row r="5175">
      <c r="A5175" s="1" t="str">
        <f>IFERROR(__xludf.DUMMYFUNCTION("""COMPUTED_VALUE"""),"102756;INF200K01370;-;SBI FOCUSED EQUITY FUND - REGULAR PLAN -GROWTH;256.2348;25-Aug-2023")</f>
        <v>102756;INF200K01370;-;SBI FOCUSED EQUITY FUND - REGULAR PLAN -GROWTH;256.2348;25-Aug-2023</v>
      </c>
      <c r="B5175" s="1"/>
    </row>
    <row r="5176">
      <c r="A5176" s="1"/>
      <c r="B5176" s="1"/>
    </row>
    <row r="5177">
      <c r="A5177" s="1" t="str">
        <f>IFERROR(__xludf.DUMMYFUNCTION("""COMPUTED_VALUE"""),"Sundaram Mutual Fund")</f>
        <v>Sundaram Mutual Fund</v>
      </c>
      <c r="B5177" s="1"/>
    </row>
    <row r="5178">
      <c r="A5178" s="1"/>
      <c r="B5178" s="1"/>
    </row>
    <row r="5179">
      <c r="A5179" s="1" t="str">
        <f>IFERROR(__xludf.DUMMYFUNCTION("""COMPUTED_VALUE"""),"149533;INF173K01EK6;-;Sundaram Focused Fund (Formerly Known as Principal Focused Multicap Fund)- Direct Plan - Growth Option;133.1376;25-Aug-2023")</f>
        <v>149533;INF173K01EK6;-;Sundaram Focused Fund (Formerly Known as Principal Focused Multicap Fund)- Direct Plan - Growth Option;133.1376;25-Aug-2023</v>
      </c>
      <c r="B5179" s="1"/>
    </row>
    <row r="5180">
      <c r="A5180" s="1" t="str">
        <f>IFERROR(__xludf.DUMMYFUNCTION("""COMPUTED_VALUE"""),"149534;INF173K01EM2;INF173K01EL4;Sundaram Focused Fund (Formerly Known as Principal Focused Multicap Fund)- Direct Plan - Half Yearly Income Distribution CUM Capital Withdrawal Option;39.1928;25-Aug-2023")</f>
        <v>149534;INF173K01EM2;INF173K01EL4;Sundaram Focused Fund (Formerly Known as Principal Focused Multicap Fund)- Direct Plan - Half Yearly Income Distribution CUM Capital Withdrawal Option;39.1928;25-Aug-2023</v>
      </c>
      <c r="B5180" s="1"/>
    </row>
    <row r="5181">
      <c r="A5181" s="1" t="str">
        <f>IFERROR(__xludf.DUMMYFUNCTION("""COMPUTED_VALUE"""),"149532;INF173K01189;-;Sundaram Focused Fund (Formerly Known as Principal Focused Multicap Fund)-Growth Option;122.5476;25-Aug-2023")</f>
        <v>149532;INF173K01189;-;Sundaram Focused Fund (Formerly Known as Principal Focused Multicap Fund)-Growth Option;122.5476;25-Aug-2023</v>
      </c>
      <c r="B5181" s="1"/>
    </row>
    <row r="5182">
      <c r="A5182" s="1" t="str">
        <f>IFERROR(__xludf.DUMMYFUNCTION("""COMPUTED_VALUE"""),"149531;INF173K01197;INF173K01205;Sundaram Focused Fund (Formerly Known as Principal Focused Multicap Fund)-Half Yearly Income Distribution CUM Capital Withdrawal Option;36.7437;25-Aug-2023")</f>
        <v>149531;INF173K01197;INF173K01205;Sundaram Focused Fund (Formerly Known as Principal Focused Multicap Fund)-Half Yearly Income Distribution CUM Capital Withdrawal Option;36.7437;25-Aug-2023</v>
      </c>
      <c r="B5182" s="1"/>
    </row>
    <row r="5183">
      <c r="A5183" s="1"/>
      <c r="B5183" s="1"/>
    </row>
    <row r="5184">
      <c r="A5184" s="1" t="str">
        <f>IFERROR(__xludf.DUMMYFUNCTION("""COMPUTED_VALUE"""),"Tata Mutual Fund")</f>
        <v>Tata Mutual Fund</v>
      </c>
      <c r="B5184" s="1"/>
    </row>
    <row r="5185">
      <c r="A5185" s="1"/>
      <c r="B5185" s="1"/>
    </row>
    <row r="5186">
      <c r="A5186" s="1" t="str">
        <f>IFERROR(__xludf.DUMMYFUNCTION("""COMPUTED_VALUE"""),"147759;INF277K019X5;-;TATA Focused Equity Fund Direct Plan - Payout of Income Distribution cum capital withdrawal option ;18.3946;25-Aug-2023")</f>
        <v>147759;INF277K019X5;-;TATA Focused Equity Fund Direct Plan - Payout of Income Distribution cum capital withdrawal option ;18.3946;25-Aug-2023</v>
      </c>
      <c r="B5186" s="1"/>
    </row>
    <row r="5187">
      <c r="A5187" s="1" t="str">
        <f>IFERROR(__xludf.DUMMYFUNCTION("""COMPUTED_VALUE"""),"147758;-;INF277K018X7;TATA Focused Equity Fund Direct Plan - Reinvestment of Income Distribution cum capital withdrawal option ;18.3946;25-Aug-2023")</f>
        <v>147758;-;INF277K018X7;TATA Focused Equity Fund Direct Plan - Reinvestment of Income Distribution cum capital withdrawal option ;18.3946;25-Aug-2023</v>
      </c>
      <c r="B5187" s="1"/>
    </row>
    <row r="5188">
      <c r="A5188" s="1" t="str">
        <f>IFERROR(__xludf.DUMMYFUNCTION("""COMPUTED_VALUE"""),"147761;INF277K012Y8;-;TATA Focused Equity Fund Regular Plan - Payout of Income Distribution cum capital withdrawal option ;17.2095;25-Aug-2023")</f>
        <v>147761;INF277K012Y8;-;TATA Focused Equity Fund Regular Plan - Payout of Income Distribution cum capital withdrawal option ;17.2095;25-Aug-2023</v>
      </c>
      <c r="B5188" s="1"/>
    </row>
    <row r="5189">
      <c r="A5189" s="1" t="str">
        <f>IFERROR(__xludf.DUMMYFUNCTION("""COMPUTED_VALUE"""),"147756;-;INF277K011Y0;TATA Focused Equity Fund Regular Plan - Reinvestment of Income Distribution cum capital withdrawal option ;17.2095;25-Aug-2023")</f>
        <v>147756;-;INF277K011Y0;TATA Focused Equity Fund Regular Plan - Reinvestment of Income Distribution cum capital withdrawal option ;17.2095;25-Aug-2023</v>
      </c>
      <c r="B5189" s="1"/>
    </row>
    <row r="5190">
      <c r="A5190" s="1" t="str">
        <f>IFERROR(__xludf.DUMMYFUNCTION("""COMPUTED_VALUE"""),"147757;INF277K017X9;-;Tata Focused Equity Fund-Direct Plan-Growth;18.3946;25-Aug-2023")</f>
        <v>147757;INF277K017X9;-;Tata Focused Equity Fund-Direct Plan-Growth;18.3946;25-Aug-2023</v>
      </c>
      <c r="B5190" s="1"/>
    </row>
    <row r="5191">
      <c r="A5191" s="1" t="str">
        <f>IFERROR(__xludf.DUMMYFUNCTION("""COMPUTED_VALUE"""),"147760;INF277K010Y2;-;Tata Focused Equity Fund-Regular Plan-Growth;17.2095;25-Aug-2023")</f>
        <v>147760;INF277K010Y2;-;Tata Focused Equity Fund-Regular Plan-Growth;17.2095;25-Aug-2023</v>
      </c>
      <c r="B5191" s="1"/>
    </row>
    <row r="5192">
      <c r="A5192" s="1"/>
      <c r="B5192" s="1"/>
    </row>
    <row r="5193">
      <c r="A5193" s="1" t="str">
        <f>IFERROR(__xludf.DUMMYFUNCTION("""COMPUTED_VALUE"""),"Union Mutual Fund")</f>
        <v>Union Mutual Fund</v>
      </c>
      <c r="B5193" s="1"/>
    </row>
    <row r="5194">
      <c r="A5194" s="1"/>
      <c r="B5194" s="1"/>
    </row>
    <row r="5195">
      <c r="A5195" s="1" t="str">
        <f>IFERROR(__xludf.DUMMYFUNCTION("""COMPUTED_VALUE"""),"147492;INF582M01FS4;-;Union Focused Fund - Direct Plan - Growth Option;20.61;25-Aug-2023")</f>
        <v>147492;INF582M01FS4;-;Union Focused Fund - Direct Plan - Growth Option;20.61;25-Aug-2023</v>
      </c>
      <c r="B5195" s="1"/>
    </row>
    <row r="5196">
      <c r="A5196" s="1" t="str">
        <f>IFERROR(__xludf.DUMMYFUNCTION("""COMPUTED_VALUE"""),"147491;INF582M01FU0;INF582M01FT2;Union Focused Fund - Direct Plan - IDCW Option;20.61;25-Aug-2023")</f>
        <v>147491;INF582M01FU0;INF582M01FT2;Union Focused Fund - Direct Plan - IDCW Option;20.61;25-Aug-2023</v>
      </c>
      <c r="B5196" s="1"/>
    </row>
    <row r="5197">
      <c r="A5197" s="1" t="str">
        <f>IFERROR(__xludf.DUMMYFUNCTION("""COMPUTED_VALUE"""),"147490;INF582M01FW6;-;Union Focused Fund - Regular Plan - Growth Option;19.85;25-Aug-2023")</f>
        <v>147490;INF582M01FW6;-;Union Focused Fund - Regular Plan - Growth Option;19.85;25-Aug-2023</v>
      </c>
      <c r="B5197" s="1"/>
    </row>
    <row r="5198">
      <c r="A5198" s="1" t="str">
        <f>IFERROR(__xludf.DUMMYFUNCTION("""COMPUTED_VALUE"""),"147493;INF582M01FY2;INF582M01FX4;Union Focused Fund - Regular Plan - IDCW Option;19.85;25-Aug-2023")</f>
        <v>147493;INF582M01FY2;INF582M01FX4;Union Focused Fund - Regular Plan - IDCW Option;19.85;25-Aug-2023</v>
      </c>
      <c r="B5198" s="1"/>
    </row>
    <row r="5199">
      <c r="A5199" s="1"/>
      <c r="B5199" s="1"/>
    </row>
    <row r="5200">
      <c r="A5200" s="1" t="str">
        <f>IFERROR(__xludf.DUMMYFUNCTION("""COMPUTED_VALUE"""),"UTI Mutual Fund")</f>
        <v>UTI Mutual Fund</v>
      </c>
      <c r="B5200" s="1"/>
    </row>
    <row r="5201">
      <c r="A5201" s="1"/>
      <c r="B5201" s="1"/>
    </row>
    <row r="5202">
      <c r="A5202" s="1" t="str">
        <f>IFERROR(__xludf.DUMMYFUNCTION("""COMPUTED_VALUE"""),"149091;INF789F1AVA3;-;UTI Focused Equity Fund - Direct Plan - Growth Option;11.8927;25-Aug-2023")</f>
        <v>149091;INF789F1AVA3;-;UTI Focused Equity Fund - Direct Plan - Growth Option;11.8927;25-Aug-2023</v>
      </c>
      <c r="B5202" s="1"/>
    </row>
    <row r="5203">
      <c r="A5203" s="1" t="str">
        <f>IFERROR(__xludf.DUMMYFUNCTION("""COMPUTED_VALUE"""),"149093;INF789F1AVB1;-;UTI Focused Equity Fund - Direct Plan - IDCW Payout Option;11.8924;25-Aug-2023")</f>
        <v>149093;INF789F1AVB1;-;UTI Focused Equity Fund - Direct Plan - IDCW Payout Option;11.8924;25-Aug-2023</v>
      </c>
      <c r="B5203" s="1"/>
    </row>
    <row r="5204">
      <c r="A5204" s="1" t="str">
        <f>IFERROR(__xludf.DUMMYFUNCTION("""COMPUTED_VALUE"""),"149090;INF789F1AUY5;-;UTI Focused Equity Fund - Regular Plan - Growth Option;11.4907;25-Aug-2023")</f>
        <v>149090;INF789F1AUY5;-;UTI Focused Equity Fund - Regular Plan - Growth Option;11.4907;25-Aug-2023</v>
      </c>
      <c r="B5204" s="1"/>
    </row>
    <row r="5205">
      <c r="A5205" s="1" t="str">
        <f>IFERROR(__xludf.DUMMYFUNCTION("""COMPUTED_VALUE"""),"149092;INF789F1AUZ2;-;UTI Focused Equity Fund - Regular Plan - IDCW Payout Option;11.4908;25-Aug-2023")</f>
        <v>149092;INF789F1AUZ2;-;UTI Focused Equity Fund - Regular Plan - IDCW Payout Option;11.4908;25-Aug-2023</v>
      </c>
      <c r="B5205" s="1"/>
    </row>
    <row r="5206">
      <c r="A5206" s="1"/>
      <c r="B5206" s="1"/>
    </row>
    <row r="5207">
      <c r="A5207" s="1" t="str">
        <f>IFERROR(__xludf.DUMMYFUNCTION("""COMPUTED_VALUE"""),"Open Ended Schemes(Equity Scheme - Large &amp; Mid Cap Fund)")</f>
        <v>Open Ended Schemes(Equity Scheme - Large &amp; Mid Cap Fund)</v>
      </c>
      <c r="B5207" s="1"/>
    </row>
    <row r="5208">
      <c r="A5208" s="1"/>
      <c r="B5208" s="1"/>
    </row>
    <row r="5209">
      <c r="A5209" s="1" t="str">
        <f>IFERROR(__xludf.DUMMYFUNCTION("""COMPUTED_VALUE"""),"Aditya Birla Sun Life Mutual Fund")</f>
        <v>Aditya Birla Sun Life Mutual Fund</v>
      </c>
      <c r="B5209" s="1"/>
    </row>
    <row r="5210">
      <c r="A5210" s="1"/>
      <c r="B5210" s="1"/>
    </row>
    <row r="5211">
      <c r="A5211" s="1" t="str">
        <f>IFERROR(__xludf.DUMMYFUNCTION("""COMPUTED_VALUE"""),"119436;INF209K01VH8;-;Aditya Birla Sun Life Equity Advantage Fund - Growth - Direct Plan;746.54;25-Aug-2023")</f>
        <v>119436;INF209K01VH8;-;Aditya Birla Sun Life Equity Advantage Fund - Growth - Direct Plan;746.54;25-Aug-2023</v>
      </c>
      <c r="B5211" s="1"/>
    </row>
    <row r="5212">
      <c r="A5212" s="1" t="str">
        <f>IFERROR(__xludf.DUMMYFUNCTION("""COMPUTED_VALUE"""),"100033;INF209K01165;-;Aditya Birla Sun Life Equity Advantage Fund - Regular Growth;681.54;25-Aug-2023")</f>
        <v>100033;INF209K01165;-;Aditya Birla Sun Life Equity Advantage Fund - Regular Growth;681.54;25-Aug-2023</v>
      </c>
      <c r="B5212" s="1"/>
    </row>
    <row r="5213">
      <c r="A5213" s="1" t="str">
        <f>IFERROR(__xludf.DUMMYFUNCTION("""COMPUTED_VALUE"""),"119433;INF209K01VG0;INF209K01VI6;Aditya Birla Sun Life Equity Advantage Fund -Direct - IDCW;171.72;25-Aug-2023")</f>
        <v>119433;INF209K01VG0;INF209K01VI6;Aditya Birla Sun Life Equity Advantage Fund -Direct - IDCW;171.72;25-Aug-2023</v>
      </c>
      <c r="B5213" s="1"/>
    </row>
    <row r="5214">
      <c r="A5214" s="1" t="str">
        <f>IFERROR(__xludf.DUMMYFUNCTION("""COMPUTED_VALUE"""),"100034;INF209K01157;INF209K01CE5;Aditya Birla Sun Life Equity Advantage Fund -Regular - IDCW;113.44;25-Aug-2023")</f>
        <v>100034;INF209K01157;INF209K01CE5;Aditya Birla Sun Life Equity Advantage Fund -Regular - IDCW;113.44;25-Aug-2023</v>
      </c>
      <c r="B5214" s="1"/>
    </row>
    <row r="5215">
      <c r="A5215" s="1"/>
      <c r="B5215" s="1"/>
    </row>
    <row r="5216">
      <c r="A5216" s="1" t="str">
        <f>IFERROR(__xludf.DUMMYFUNCTION("""COMPUTED_VALUE"""),"Axis Mutual Fund")</f>
        <v>Axis Mutual Fund</v>
      </c>
      <c r="B5216" s="1"/>
    </row>
    <row r="5217">
      <c r="A5217" s="1"/>
      <c r="B5217" s="1"/>
    </row>
    <row r="5218">
      <c r="A5218" s="1" t="str">
        <f>IFERROR(__xludf.DUMMYFUNCTION("""COMPUTED_VALUE"""),"145110;INF846K01J46;-;Axis Growth Opportunities Fund - Direct Plan - Growth;24.48;24-Aug-2023")</f>
        <v>145110;INF846K01J46;-;Axis Growth Opportunities Fund - Direct Plan - Growth;24.48;24-Aug-2023</v>
      </c>
      <c r="B5218" s="1"/>
    </row>
    <row r="5219">
      <c r="A5219" s="1" t="str">
        <f>IFERROR(__xludf.DUMMYFUNCTION("""COMPUTED_VALUE"""),"145109;INF846K01J53;INF846K01J61;Axis Growth Opportunities Fund - Direct Plan - IDCW;20.74;24-Aug-2023")</f>
        <v>145109;INF846K01J53;INF846K01J61;Axis Growth Opportunities Fund - Direct Plan - IDCW;20.74;24-Aug-2023</v>
      </c>
      <c r="B5219" s="1"/>
    </row>
    <row r="5220">
      <c r="A5220" s="1" t="str">
        <f>IFERROR(__xludf.DUMMYFUNCTION("""COMPUTED_VALUE"""),"145112;INF846K01J79;-;Axis Growth Opportunities Fund - Regular Plan - Growth;22.69;24-Aug-2023")</f>
        <v>145112;INF846K01J79;-;Axis Growth Opportunities Fund - Regular Plan - Growth;22.69;24-Aug-2023</v>
      </c>
      <c r="B5220" s="1"/>
    </row>
    <row r="5221">
      <c r="A5221" s="1" t="str">
        <f>IFERROR(__xludf.DUMMYFUNCTION("""COMPUTED_VALUE"""),"145111;INF846K01J87;INF846K01J95;Axis Growth Opportunities Fund - Regular Plan - IDCW;16.72;24-Aug-2023")</f>
        <v>145111;INF846K01J87;INF846K01J95;Axis Growth Opportunities Fund - Regular Plan - IDCW;16.72;24-Aug-2023</v>
      </c>
      <c r="B5221" s="1"/>
    </row>
    <row r="5222">
      <c r="A5222" s="1"/>
      <c r="B5222" s="1"/>
    </row>
    <row r="5223">
      <c r="A5223" s="1" t="str">
        <f>IFERROR(__xludf.DUMMYFUNCTION("""COMPUTED_VALUE"""),"Bandhan Mutual Fund")</f>
        <v>Bandhan Mutual Fund</v>
      </c>
      <c r="B5223" s="1"/>
    </row>
    <row r="5224">
      <c r="A5224" s="1"/>
      <c r="B5224" s="1"/>
    </row>
    <row r="5225">
      <c r="A5225" s="1" t="str">
        <f>IFERROR(__xludf.DUMMYFUNCTION("""COMPUTED_VALUE"""),"108596;INF194K01524;-;BANDHAN Core Equity Fund - Regular Plan - Growth;85.255;25-Aug-2023")</f>
        <v>108596;INF194K01524;-;BANDHAN Core Equity Fund - Regular Plan - Growth;85.255;25-Aug-2023</v>
      </c>
      <c r="B5225" s="1"/>
    </row>
    <row r="5226">
      <c r="A5226" s="1" t="str">
        <f>IFERROR(__xludf.DUMMYFUNCTION("""COMPUTED_VALUE"""),"108597;INF194K01532;INF194K01540;BANDHAN Core Equity Fund - Regular Plan - IDCW;21.523;25-Aug-2023")</f>
        <v>108597;INF194K01532;INF194K01540;BANDHAN Core Equity Fund - Regular Plan - IDCW;21.523;25-Aug-2023</v>
      </c>
      <c r="B5226" s="1"/>
    </row>
    <row r="5227">
      <c r="A5227" s="1" t="str">
        <f>IFERROR(__xludf.DUMMYFUNCTION("""COMPUTED_VALUE"""),"118419;INF194K01V89;-;BANDHAN Core Equity Fund-Direct Plan-Growth;97.197;25-Aug-2023")</f>
        <v>118419;INF194K01V89;-;BANDHAN Core Equity Fund-Direct Plan-Growth;97.197;25-Aug-2023</v>
      </c>
      <c r="B5227" s="1"/>
    </row>
    <row r="5228">
      <c r="A5228" s="1" t="str">
        <f>IFERROR(__xludf.DUMMYFUNCTION("""COMPUTED_VALUE"""),"118420;INF194K01V97;INF194K01W05;BANDHAN Core Equity Fund-Direct Plan-IDCW;27.605;25-Aug-2023")</f>
        <v>118420;INF194K01V97;INF194K01W05;BANDHAN Core Equity Fund-Direct Plan-IDCW;27.605;25-Aug-2023</v>
      </c>
      <c r="B5228" s="1"/>
    </row>
    <row r="5229">
      <c r="A5229" s="1"/>
      <c r="B5229" s="1"/>
    </row>
    <row r="5230">
      <c r="A5230" s="1" t="str">
        <f>IFERROR(__xludf.DUMMYFUNCTION("""COMPUTED_VALUE"""),"Bank of India Mutual Fund")</f>
        <v>Bank of India Mutual Fund</v>
      </c>
      <c r="B5230" s="1"/>
    </row>
    <row r="5231">
      <c r="A5231" s="1"/>
      <c r="B5231" s="1"/>
    </row>
    <row r="5232">
      <c r="A5232" s="1" t="str">
        <f>IFERROR(__xludf.DUMMYFUNCTION("""COMPUTED_VALUE"""),"110598;INF761K01116;INF761K01124;BANK OF INDIA Large &amp; Mid Cap  Equity Fund Regular Plan- Quarterly IDCW;22.86;25-Aug-2023")</f>
        <v>110598;INF761K01116;INF761K01124;BANK OF INDIA Large &amp; Mid Cap  Equity Fund Regular Plan- Quarterly IDCW;22.86;25-Aug-2023</v>
      </c>
      <c r="B5232" s="1"/>
    </row>
    <row r="5233">
      <c r="A5233" s="1" t="str">
        <f>IFERROR(__xludf.DUMMYFUNCTION("""COMPUTED_VALUE"""),"119349;INF761K01678;INF761K01660;BANK OF INDIA Large &amp; Mid Cap Equity Fund Direct  Plan- Quarterly IDCW;19.63;25-Aug-2023")</f>
        <v>119349;INF761K01678;INF761K01660;BANK OF INDIA Large &amp; Mid Cap Equity Fund Direct  Plan- Quarterly IDCW;19.63;25-Aug-2023</v>
      </c>
      <c r="B5233" s="1"/>
    </row>
    <row r="5234">
      <c r="A5234" s="1" t="str">
        <f>IFERROR(__xludf.DUMMYFUNCTION("""COMPUTED_VALUE"""),"119300;INF761K01629;-;BANK OF INDIA Large &amp; Mid Cap Equity Fund Direct Plan- Bonus;36.48;25-Aug-2023")</f>
        <v>119300;INF761K01629;-;BANK OF INDIA Large &amp; Mid Cap Equity Fund Direct Plan- Bonus;36.48;25-Aug-2023</v>
      </c>
      <c r="B5234" s="1"/>
    </row>
    <row r="5235">
      <c r="A5235" s="1" t="str">
        <f>IFERROR(__xludf.DUMMYFUNCTION("""COMPUTED_VALUE"""),"119350;INF761K01652;-;BANK OF INDIA Large &amp; Mid Cap Equity Fund Direct Plan-Growth;70.60;25-Aug-2023")</f>
        <v>119350;INF761K01652;-;BANK OF INDIA Large &amp; Mid Cap Equity Fund Direct Plan-Growth;70.60;25-Aug-2023</v>
      </c>
      <c r="B5235" s="1"/>
    </row>
    <row r="5236">
      <c r="A5236" s="1" t="str">
        <f>IFERROR(__xludf.DUMMYFUNCTION("""COMPUTED_VALUE"""),"119346;INF761K01645;INF761K01637;BANK OF INDIA Large &amp; Mid Cap Equity Fund Direct Plan-Regular IDCW;19.34;25-Aug-2023")</f>
        <v>119346;INF761K01645;INF761K01637;BANK OF INDIA Large &amp; Mid Cap Equity Fund Direct Plan-Regular IDCW;19.34;25-Aug-2023</v>
      </c>
      <c r="B5236" s="1"/>
    </row>
    <row r="5237">
      <c r="A5237" s="1" t="str">
        <f>IFERROR(__xludf.DUMMYFUNCTION("""COMPUTED_VALUE"""),"110599;INF761K01041;-;BANK OF INDIA Large &amp; Mid Cap Equity Fund Eco Plan- Growth;68.11;25-Aug-2023")</f>
        <v>110599;INF761K01041;-;BANK OF INDIA Large &amp; Mid Cap Equity Fund Eco Plan- Growth;68.11;25-Aug-2023</v>
      </c>
      <c r="B5237" s="1"/>
    </row>
    <row r="5238">
      <c r="A5238" s="1" t="str">
        <f>IFERROR(__xludf.DUMMYFUNCTION("""COMPUTED_VALUE"""),"110601;INF761K01017;-;BANK OF INDIA Large &amp; Mid Cap Equity Fund Eco Plan-Bonus;68.11;25-Aug-2023")</f>
        <v>110601;INF761K01017;-;BANK OF INDIA Large &amp; Mid Cap Equity Fund Eco Plan-Bonus;68.11;25-Aug-2023</v>
      </c>
      <c r="B5238" s="1"/>
    </row>
    <row r="5239">
      <c r="A5239" s="1" t="str">
        <f>IFERROR(__xludf.DUMMYFUNCTION("""COMPUTED_VALUE"""),"110604;INF761K01058;INF761K01066;BANK OF INDIA Large &amp; Mid Cap Equity Fund Eco Plan-Quarterly IDCW;19.21;25-Aug-2023")</f>
        <v>110604;INF761K01058;INF761K01066;BANK OF INDIA Large &amp; Mid Cap Equity Fund Eco Plan-Quarterly IDCW;19.21;25-Aug-2023</v>
      </c>
      <c r="B5239" s="1"/>
    </row>
    <row r="5240">
      <c r="A5240" s="1" t="str">
        <f>IFERROR(__xludf.DUMMYFUNCTION("""COMPUTED_VALUE"""),"110608;INF761K01025;INF761K01033;BANK OF INDIA Large &amp; Mid Cap Equity Fund Eco Plan-Regular IDCW;19.07;25-Aug-2023")</f>
        <v>110608;INF761K01025;INF761K01033;BANK OF INDIA Large &amp; Mid Cap Equity Fund Eco Plan-Regular IDCW;19.07;25-Aug-2023</v>
      </c>
      <c r="B5240" s="1"/>
    </row>
    <row r="5241">
      <c r="A5241" s="1" t="str">
        <f>IFERROR(__xludf.DUMMYFUNCTION("""COMPUTED_VALUE"""),"110603;INF761K01108;-;BANK OF INDIA Large &amp; Mid Cap Equity Fund Regular Plan- Growth;62.78;25-Aug-2023")</f>
        <v>110603;INF761K01108;-;BANK OF INDIA Large &amp; Mid Cap Equity Fund Regular Plan- Growth;62.78;25-Aug-2023</v>
      </c>
      <c r="B5241" s="1"/>
    </row>
    <row r="5242">
      <c r="A5242" s="1" t="str">
        <f>IFERROR(__xludf.DUMMYFUNCTION("""COMPUTED_VALUE"""),"110607;INF761K01082;INF761K01090;BANK OF INDIA Large &amp; Mid Cap Equity Fund Regular Plan- Regular IDCW;18.74;25-Aug-2023")</f>
        <v>110607;INF761K01082;INF761K01090;BANK OF INDIA Large &amp; Mid Cap Equity Fund Regular Plan- Regular IDCW;18.74;25-Aug-2023</v>
      </c>
      <c r="B5242" s="1"/>
    </row>
    <row r="5243">
      <c r="A5243" s="1" t="str">
        <f>IFERROR(__xludf.DUMMYFUNCTION("""COMPUTED_VALUE"""),"110606;INF761K01074;-;BANK OF INDIA Large &amp; Mid Cap Equity Fund Regular Plan-Bonus;62.77;25-Aug-2023")</f>
        <v>110606;INF761K01074;-;BANK OF INDIA Large &amp; Mid Cap Equity Fund Regular Plan-Bonus;62.77;25-Aug-2023</v>
      </c>
      <c r="B5243" s="1"/>
    </row>
    <row r="5244">
      <c r="A5244" s="1"/>
      <c r="B5244" s="1"/>
    </row>
    <row r="5245">
      <c r="A5245" s="1" t="str">
        <f>IFERROR(__xludf.DUMMYFUNCTION("""COMPUTED_VALUE"""),"Baroda BNP Paribas Mutual Fund")</f>
        <v>Baroda BNP Paribas Mutual Fund</v>
      </c>
      <c r="B5245" s="1"/>
    </row>
    <row r="5246">
      <c r="A5246" s="1"/>
      <c r="B5246" s="1"/>
    </row>
    <row r="5247">
      <c r="A5247" s="1" t="str">
        <f>IFERROR(__xludf.DUMMYFUNCTION("""COMPUTED_VALUE"""),"148474;INF955L01JU2;-;Baroda BNP Paribas Large and Mid Cap Fund- Direct Plan -Growth Option;19.6380;25-Aug-2023")</f>
        <v>148474;INF955L01JU2;-;Baroda BNP Paribas Large and Mid Cap Fund- Direct Plan -Growth Option;19.6380;25-Aug-2023</v>
      </c>
      <c r="B5247" s="1"/>
    </row>
    <row r="5248">
      <c r="A5248" s="1" t="str">
        <f>IFERROR(__xludf.DUMMYFUNCTION("""COMPUTED_VALUE"""),"148475;INF955L01JV0;INF955L01JW8;Baroda BNP Paribas Large and Mid Cap Fund-Direct Plan-IDCW Option;18.0597;25-Aug-2023")</f>
        <v>148475;INF955L01JV0;INF955L01JW8;Baroda BNP Paribas Large and Mid Cap Fund-Direct Plan-IDCW Option;18.0597;25-Aug-2023</v>
      </c>
      <c r="B5248" s="1"/>
    </row>
    <row r="5249">
      <c r="A5249" s="1" t="str">
        <f>IFERROR(__xludf.DUMMYFUNCTION("""COMPUTED_VALUE"""),"148471;INF955L01JR8;-;Baroda BNP Paribas Large and Mid Cap Fund-Regular Plan-Growth Option;18.7269;25-Aug-2023")</f>
        <v>148471;INF955L01JR8;-;Baroda BNP Paribas Large and Mid Cap Fund-Regular Plan-Growth Option;18.7269;25-Aug-2023</v>
      </c>
      <c r="B5249" s="1"/>
    </row>
    <row r="5250">
      <c r="A5250" s="1" t="str">
        <f>IFERROR(__xludf.DUMMYFUNCTION("""COMPUTED_VALUE"""),"148472;INF955L01JS6;INF955L01JT4;Baroda BNP Paribas Large and Mid Cap Fund-Regular plan-IDCW Option;16.1925;25-Aug-2023")</f>
        <v>148472;INF955L01JS6;INF955L01JT4;Baroda BNP Paribas Large and Mid Cap Fund-Regular plan-IDCW Option;16.1925;25-Aug-2023</v>
      </c>
      <c r="B5250" s="1"/>
    </row>
    <row r="5251">
      <c r="A5251" s="1"/>
      <c r="B5251" s="1"/>
    </row>
    <row r="5252">
      <c r="A5252" s="1" t="str">
        <f>IFERROR(__xludf.DUMMYFUNCTION("""COMPUTED_VALUE"""),"Canara Robeco Mutual Fund")</f>
        <v>Canara Robeco Mutual Fund</v>
      </c>
      <c r="B5252" s="1"/>
    </row>
    <row r="5253">
      <c r="A5253" s="1"/>
      <c r="B5253" s="1"/>
    </row>
    <row r="5254">
      <c r="A5254" s="1" t="str">
        <f>IFERROR(__xludf.DUMMYFUNCTION("""COMPUTED_VALUE"""),"118278;INF760K01EI4;-;CANARA ROBECO EMERGING EQUITIES - DIRECT PLAN - GROWTH OPTION;200.8800;25-Aug-2023")</f>
        <v>118278;INF760K01EI4;-;CANARA ROBECO EMERGING EQUITIES - DIRECT PLAN - GROWTH OPTION;200.8800;25-Aug-2023</v>
      </c>
      <c r="B5254" s="1"/>
    </row>
    <row r="5255">
      <c r="A5255" s="1" t="str">
        <f>IFERROR(__xludf.DUMMYFUNCTION("""COMPUTED_VALUE"""),"118277;INF760K01EG8;INF760K01EH6;CANARA ROBECO EMERGING EQUITIES - DIRECT PLAN - IDCW (Payout/Reinvestment);100.8000;25-Aug-2023")</f>
        <v>118277;INF760K01EG8;INF760K01EH6;CANARA ROBECO EMERGING EQUITIES - DIRECT PLAN - IDCW (Payout/Reinvestment);100.8000;25-Aug-2023</v>
      </c>
      <c r="B5255" s="1"/>
    </row>
    <row r="5256">
      <c r="A5256" s="1" t="str">
        <f>IFERROR(__xludf.DUMMYFUNCTION("""COMPUTED_VALUE"""),"102920;INF760K01167;-;CANARA ROBECO EMERGING EQUITIES - REGULAR PLAN - GROWTH OPTION;178.9200;25-Aug-2023")</f>
        <v>102920;INF760K01167;-;CANARA ROBECO EMERGING EQUITIES - REGULAR PLAN - GROWTH OPTION;178.9200;25-Aug-2023</v>
      </c>
      <c r="B5256" s="1"/>
    </row>
    <row r="5257">
      <c r="A5257" s="1" t="str">
        <f>IFERROR(__xludf.DUMMYFUNCTION("""COMPUTED_VALUE"""),"102921;INF760K01175;INF760K01183;CANARA ROBECO EMERGING EQUITIES - REGULAR PLAN - IDCW (Payout/Reinvestment);67.5800;25-Aug-2023")</f>
        <v>102921;INF760K01175;INF760K01183;CANARA ROBECO EMERGING EQUITIES - REGULAR PLAN - IDCW (Payout/Reinvestment);67.5800;25-Aug-2023</v>
      </c>
      <c r="B5257" s="1"/>
    </row>
    <row r="5258">
      <c r="A5258" s="1"/>
      <c r="B5258" s="1"/>
    </row>
    <row r="5259">
      <c r="A5259" s="1" t="str">
        <f>IFERROR(__xludf.DUMMYFUNCTION("""COMPUTED_VALUE"""),"DSP Mutual Fund")</f>
        <v>DSP Mutual Fund</v>
      </c>
      <c r="B5259" s="1"/>
    </row>
    <row r="5260">
      <c r="A5260" s="1"/>
      <c r="B5260" s="1"/>
    </row>
    <row r="5261">
      <c r="A5261" s="1" t="str">
        <f>IFERROR(__xludf.DUMMYFUNCTION("""COMPUTED_VALUE"""),"119218;INF740K01PL6;-;DSP Equity Opportunities Fund - Direct Plan - Growth;457.743;25-Aug-2023")</f>
        <v>119218;INF740K01PL6;-;DSP Equity Opportunities Fund - Direct Plan - Growth;457.743;25-Aug-2023</v>
      </c>
      <c r="B5261" s="1"/>
    </row>
    <row r="5262">
      <c r="A5262" s="1" t="str">
        <f>IFERROR(__xludf.DUMMYFUNCTION("""COMPUTED_VALUE"""),"119219;INF740K01PM4;INF740K01PN2;DSP Equity Opportunities Fund - Direct Plan - IDCW;88.037;25-Aug-2023")</f>
        <v>119219;INF740K01PM4;INF740K01PN2;DSP Equity Opportunities Fund - Direct Plan - IDCW;88.037;25-Aug-2023</v>
      </c>
      <c r="B5262" s="1"/>
    </row>
    <row r="5263">
      <c r="A5263" s="1" t="str">
        <f>IFERROR(__xludf.DUMMYFUNCTION("""COMPUTED_VALUE"""),"103819;INF740K01094;-;DSP Equity Opportunities Fund-Regular Plan - Growth;417.709;25-Aug-2023")</f>
        <v>103819;INF740K01094;-;DSP Equity Opportunities Fund-Regular Plan - Growth;417.709;25-Aug-2023</v>
      </c>
      <c r="B5263" s="1"/>
    </row>
    <row r="5264">
      <c r="A5264" s="1" t="str">
        <f>IFERROR(__xludf.DUMMYFUNCTION("""COMPUTED_VALUE"""),"103820;INF740K01078;INF740K01086;DSP Equity Opportunities Fund-Regular Plan - IDCW;31.489;25-Aug-2023")</f>
        <v>103820;INF740K01078;INF740K01086;DSP Equity Opportunities Fund-Regular Plan - IDCW;31.489;25-Aug-2023</v>
      </c>
      <c r="B5264" s="1"/>
    </row>
    <row r="5265">
      <c r="A5265" s="1"/>
      <c r="B5265" s="1"/>
    </row>
    <row r="5266">
      <c r="A5266" s="1" t="str">
        <f>IFERROR(__xludf.DUMMYFUNCTION("""COMPUTED_VALUE"""),"Edelweiss Mutual Fund")</f>
        <v>Edelweiss Mutual Fund</v>
      </c>
      <c r="B5266" s="1"/>
    </row>
    <row r="5267">
      <c r="A5267" s="1"/>
      <c r="B5267" s="1"/>
    </row>
    <row r="5268">
      <c r="A5268" s="1" t="str">
        <f>IFERROR(__xludf.DUMMYFUNCTION("""COMPUTED_VALUE"""),"140175;INF843K01AL0;-;Edelweiss Large &amp; Mid Cap Fund - Direct Plan - Growth Option;69.496;25-Aug-2023")</f>
        <v>140175;INF843K01AL0;-;Edelweiss Large &amp; Mid Cap Fund - Direct Plan - Growth Option;69.496;25-Aug-2023</v>
      </c>
      <c r="B5268" s="1"/>
    </row>
    <row r="5269">
      <c r="A5269" s="1" t="str">
        <f>IFERROR(__xludf.DUMMYFUNCTION("""COMPUTED_VALUE"""),"140172;INF843K01047;-;Edelweiss Large &amp; Mid Cap Fund - Regular Plan - Growth Option;60.714;25-Aug-2023")</f>
        <v>140172;INF843K01047;-;Edelweiss Large &amp; Mid Cap Fund - Regular Plan - Growth Option;60.714;25-Aug-2023</v>
      </c>
      <c r="B5269" s="1"/>
    </row>
    <row r="5270">
      <c r="A5270" s="1" t="str">
        <f>IFERROR(__xludf.DUMMYFUNCTION("""COMPUTED_VALUE"""),"140174;INF843K01AM8;INF843K01AN6;Edelweiss Large and Mid Cap Fund - Direct Plan - IDCW Option;26.956;25-Aug-2023")</f>
        <v>140174;INF843K01AM8;INF843K01AN6;Edelweiss Large and Mid Cap Fund - Direct Plan - IDCW Option;26.956;25-Aug-2023</v>
      </c>
      <c r="B5270" s="1"/>
    </row>
    <row r="5271">
      <c r="A5271" s="1" t="str">
        <f>IFERROR(__xludf.DUMMYFUNCTION("""COMPUTED_VALUE"""),"140173;INF843K01054;INF843K01062;Edelweiss Large and Mid Cap Fund - Regular Plan - IDCW Option;23.156;25-Aug-2023")</f>
        <v>140173;INF843K01054;INF843K01062;Edelweiss Large and Mid Cap Fund - Regular Plan - IDCW Option;23.156;25-Aug-2023</v>
      </c>
      <c r="B5271" s="1"/>
    </row>
    <row r="5272">
      <c r="A5272" s="1"/>
      <c r="B5272" s="1"/>
    </row>
    <row r="5273">
      <c r="A5273" s="1" t="str">
        <f>IFERROR(__xludf.DUMMYFUNCTION("""COMPUTED_VALUE"""),"Franklin Templeton Mutual Fund")</f>
        <v>Franklin Templeton Mutual Fund</v>
      </c>
      <c r="B5273" s="1"/>
    </row>
    <row r="5274">
      <c r="A5274" s="1"/>
      <c r="B5274" s="1"/>
    </row>
    <row r="5275">
      <c r="A5275" s="1" t="str">
        <f>IFERROR(__xludf.DUMMYFUNCTION("""COMPUTED_VALUE"""),"118510;INF090I01IN1;-;Franklin India Equity Advantage Fund - Direct - Growth;146.0646;25-Aug-2023")</f>
        <v>118510;INF090I01IN1;-;Franklin India Equity Advantage Fund - Direct - Growth;146.0646;25-Aug-2023</v>
      </c>
      <c r="B5275" s="1"/>
    </row>
    <row r="5276">
      <c r="A5276" s="1" t="str">
        <f>IFERROR(__xludf.DUMMYFUNCTION("""COMPUTED_VALUE"""),"118509;INF090I01IL5;INF090I01IM3;Franklin India Equity Advantage Fund - Direct - IDCW ;20.5544;25-Aug-2023")</f>
        <v>118509;INF090I01IL5;INF090I01IM3;Franklin India Equity Advantage Fund - Direct - IDCW ;20.5544;25-Aug-2023</v>
      </c>
      <c r="B5276" s="1"/>
    </row>
    <row r="5277">
      <c r="A5277" s="1" t="str">
        <f>IFERROR(__xludf.DUMMYFUNCTION("""COMPUTED_VALUE"""),"102883;INF090I01205;-;Franklin India Equity Advantage Fund - Growth Plan;134.7690;25-Aug-2023")</f>
        <v>102883;INF090I01205;-;Franklin India Equity Advantage Fund - Growth Plan;134.7690;25-Aug-2023</v>
      </c>
      <c r="B5277" s="1"/>
    </row>
    <row r="5278">
      <c r="A5278" s="1" t="str">
        <f>IFERROR(__xludf.DUMMYFUNCTION("""COMPUTED_VALUE"""),"102884;INF090I01189;INF090I01197;Franklin India Equity Advantage Fund - IDCW ;18.2375;25-Aug-2023")</f>
        <v>102884;INF090I01189;INF090I01197;Franklin India Equity Advantage Fund - IDCW ;18.2375;25-Aug-2023</v>
      </c>
      <c r="B5278" s="1"/>
    </row>
    <row r="5279">
      <c r="A5279" s="1"/>
      <c r="B5279" s="1"/>
    </row>
    <row r="5280">
      <c r="A5280" s="1" t="str">
        <f>IFERROR(__xludf.DUMMYFUNCTION("""COMPUTED_VALUE"""),"HDFC Mutual Fund")</f>
        <v>HDFC Mutual Fund</v>
      </c>
      <c r="B5280" s="1"/>
    </row>
    <row r="5281">
      <c r="A5281" s="1"/>
      <c r="B5281" s="1"/>
    </row>
    <row r="5282">
      <c r="A5282" s="1" t="str">
        <f>IFERROR(__xludf.DUMMYFUNCTION("""COMPUTED_VALUE"""),"130496;INF179KA1RT1;-;HDFC Large and Mid Cap Fund - Growth Option;235.997;25-Aug-2023")</f>
        <v>130496;INF179KA1RT1;-;HDFC Large and Mid Cap Fund - Growth Option;235.997;25-Aug-2023</v>
      </c>
      <c r="B5282" s="1"/>
    </row>
    <row r="5283">
      <c r="A5283" s="1" t="str">
        <f>IFERROR(__xludf.DUMMYFUNCTION("""COMPUTED_VALUE"""),"130498;INF179KA1RQ7;-;HDFC Large and Mid Cap Fund - Growth Option - Direct Plan;244.346;25-Aug-2023")</f>
        <v>130498;INF179KA1RQ7;-;HDFC Large and Mid Cap Fund - Growth Option - Direct Plan;244.346;25-Aug-2023</v>
      </c>
      <c r="B5283" s="1"/>
    </row>
    <row r="5284">
      <c r="A5284" s="1" t="str">
        <f>IFERROR(__xludf.DUMMYFUNCTION("""COMPUTED_VALUE"""),"130497;INF179KA1RU9;-;HDFC Large and Mid Cap Fund - IDCW Option;29.649;25-Aug-2023")</f>
        <v>130497;INF179KA1RU9;-;HDFC Large and Mid Cap Fund - IDCW Option;29.649;25-Aug-2023</v>
      </c>
      <c r="B5284" s="1"/>
    </row>
    <row r="5285">
      <c r="A5285" s="1" t="str">
        <f>IFERROR(__xludf.DUMMYFUNCTION("""COMPUTED_VALUE"""),"130499;INF179KA1RR5;-;HDFC Large and Mid Cap Fund - IDCW Option - Direct Plan;37.057;25-Aug-2023")</f>
        <v>130499;INF179KA1RR5;-;HDFC Large and Mid Cap Fund - IDCW Option - Direct Plan;37.057;25-Aug-2023</v>
      </c>
      <c r="B5285" s="1"/>
    </row>
    <row r="5286">
      <c r="A5286" s="1"/>
      <c r="B5286" s="1"/>
    </row>
    <row r="5287">
      <c r="A5287" s="1" t="str">
        <f>IFERROR(__xludf.DUMMYFUNCTION("""COMPUTED_VALUE"""),"HSBC Mutual Fund")</f>
        <v>HSBC Mutual Fund</v>
      </c>
      <c r="B5287" s="1"/>
    </row>
    <row r="5288">
      <c r="A5288" s="1"/>
      <c r="B5288" s="1"/>
    </row>
    <row r="5289">
      <c r="A5289" s="1" t="str">
        <f>IFERROR(__xludf.DUMMYFUNCTION("""COMPUTED_VALUE"""),"146772;INF336L01NV5;-;HSBC Large &amp; Mid Cap Fund - Direct Growth;19.4285;25-Aug-2023")</f>
        <v>146772;INF336L01NV5;-;HSBC Large &amp; Mid Cap Fund - Direct Growth;19.4285;25-Aug-2023</v>
      </c>
      <c r="B5289" s="1"/>
    </row>
    <row r="5290">
      <c r="A5290" s="1" t="str">
        <f>IFERROR(__xludf.DUMMYFUNCTION("""COMPUTED_VALUE"""),"146770;INF336L01NW3;INF336L01NX1;HSBC Large &amp; Mid Cap Fund - Direct IDCW;17.8052;25-Aug-2023")</f>
        <v>146770;INF336L01NW3;INF336L01NX1;HSBC Large &amp; Mid Cap Fund - Direct IDCW;17.8052;25-Aug-2023</v>
      </c>
      <c r="B5290" s="1"/>
    </row>
    <row r="5291">
      <c r="A5291" s="1" t="str">
        <f>IFERROR(__xludf.DUMMYFUNCTION("""COMPUTED_VALUE"""),"146771;INF336L01NY9;-;HSBC Large &amp; Mid Cap Fund - Regular Growth;18.1302;25-Aug-2023")</f>
        <v>146771;INF336L01NY9;-;HSBC Large &amp; Mid Cap Fund - Regular Growth;18.1302;25-Aug-2023</v>
      </c>
      <c r="B5291" s="1"/>
    </row>
    <row r="5292">
      <c r="A5292" s="1" t="str">
        <f>IFERROR(__xludf.DUMMYFUNCTION("""COMPUTED_VALUE"""),"146769;INF336L01NZ6;INF336L01OA7;HSBC Large &amp; Mid Cap Fund - Regular IDCW;16.553;25-Aug-2023")</f>
        <v>146769;INF336L01NZ6;INF336L01OA7;HSBC Large &amp; Mid Cap Fund - Regular IDCW;16.553;25-Aug-2023</v>
      </c>
      <c r="B5292" s="1"/>
    </row>
    <row r="5293">
      <c r="A5293" s="1"/>
      <c r="B5293" s="1"/>
    </row>
    <row r="5294">
      <c r="A5294" s="1" t="str">
        <f>IFERROR(__xludf.DUMMYFUNCTION("""COMPUTED_VALUE"""),"ICICI Prudential Mutual Fund")</f>
        <v>ICICI Prudential Mutual Fund</v>
      </c>
      <c r="B5294" s="1"/>
    </row>
    <row r="5295">
      <c r="A5295" s="1"/>
      <c r="B5295" s="1"/>
    </row>
    <row r="5296">
      <c r="A5296" s="1" t="str">
        <f>IFERROR(__xludf.DUMMYFUNCTION("""COMPUTED_VALUE"""),"120596;INF109K011O5;-;ICICI Prudential Large &amp; Mid Cap Fund - Direct Plan - Growth;725.65;25-Aug-2023")</f>
        <v>120596;INF109K011O5;-;ICICI Prudential Large &amp; Mid Cap Fund - Direct Plan - Growth;725.65;25-Aug-2023</v>
      </c>
      <c r="B5296" s="1"/>
    </row>
    <row r="5297">
      <c r="A5297" s="1" t="str">
        <f>IFERROR(__xludf.DUMMYFUNCTION("""COMPUTED_VALUE"""),"120597;INF109K019N0;INF109K010O7;ICICI Prudential Large &amp; Mid Cap Fund - Direct Plan - IDCW;39.71;25-Aug-2023")</f>
        <v>120597;INF109K019N0;INF109K010O7;ICICI Prudential Large &amp; Mid Cap Fund - Direct Plan - IDCW;39.71;25-Aug-2023</v>
      </c>
      <c r="B5297" s="1"/>
    </row>
    <row r="5298">
      <c r="A5298" s="1" t="str">
        <f>IFERROR(__xludf.DUMMYFUNCTION("""COMPUTED_VALUE"""),"100349;INF109K01431;-;ICICI Prudential Large &amp; Mid Cap Fund - Growth;660.54;25-Aug-2023")</f>
        <v>100349;INF109K01431;-;ICICI Prudential Large &amp; Mid Cap Fund - Growth;660.54;25-Aug-2023</v>
      </c>
      <c r="B5298" s="1"/>
    </row>
    <row r="5299">
      <c r="A5299" s="1" t="str">
        <f>IFERROR(__xludf.DUMMYFUNCTION("""COMPUTED_VALUE"""),"100348;INF109K01EQ7;INF109K01449;ICICI Prudential Large &amp; Mid Cap Fund - IDCW;25.25;25-Aug-2023")</f>
        <v>100348;INF109K01EQ7;INF109K01449;ICICI Prudential Large &amp; Mid Cap Fund - IDCW;25.25;25-Aug-2023</v>
      </c>
      <c r="B5299" s="1"/>
    </row>
    <row r="5300">
      <c r="A5300" s="1"/>
      <c r="B5300" s="1"/>
    </row>
    <row r="5301">
      <c r="A5301" s="1" t="str">
        <f>IFERROR(__xludf.DUMMYFUNCTION("""COMPUTED_VALUE"""),"Invesco Mutual Fund")</f>
        <v>Invesco Mutual Fund</v>
      </c>
      <c r="B5301" s="1"/>
    </row>
    <row r="5302">
      <c r="A5302" s="1"/>
      <c r="B5302" s="1"/>
    </row>
    <row r="5303">
      <c r="A5303" s="1" t="str">
        <f>IFERROR(__xludf.DUMMYFUNCTION("""COMPUTED_VALUE"""),"120357;INF205K01MA0;-;Invesco India Growth Opportunities Fund - Direct Plan - Growth;68.97;25-Aug-2023")</f>
        <v>120357;INF205K01MA0;-;Invesco India Growth Opportunities Fund - Direct Plan - Growth;68.97;25-Aug-2023</v>
      </c>
      <c r="B5303" s="1"/>
    </row>
    <row r="5304">
      <c r="A5304" s="1" t="str">
        <f>IFERROR(__xludf.DUMMYFUNCTION("""COMPUTED_VALUE"""),"120356;INF205K01LY2;INF205K01LZ9;Invesco India Growth Opportunities Fund - Direct Plan - IDCW (Payout / Reinvestment);34.66;25-Aug-2023")</f>
        <v>120356;INF205K01LY2;INF205K01LZ9;Invesco India Growth Opportunities Fund - Direct Plan - IDCW (Payout / Reinvestment);34.66;25-Aug-2023</v>
      </c>
      <c r="B5304" s="1"/>
    </row>
    <row r="5305">
      <c r="A5305" s="1" t="str">
        <f>IFERROR(__xludf.DUMMYFUNCTION("""COMPUTED_VALUE"""),"106144;INF205K01247;-;Invesco India Growth Opportunities Fund - Growth;59.55;25-Aug-2023")</f>
        <v>106144;INF205K01247;-;Invesco India Growth Opportunities Fund - Growth;59.55;25-Aug-2023</v>
      </c>
      <c r="B5305" s="1"/>
    </row>
    <row r="5306">
      <c r="A5306" s="1" t="str">
        <f>IFERROR(__xludf.DUMMYFUNCTION("""COMPUTED_VALUE"""),"106143;INF205K01262;INF205K01254;Invesco India Growth Opportunities Fund - IDCW (Payout / Reinvestment);29.5;25-Aug-2023")</f>
        <v>106143;INF205K01262;INF205K01254;Invesco India Growth Opportunities Fund - IDCW (Payout / Reinvestment);29.5;25-Aug-2023</v>
      </c>
      <c r="B5306" s="1"/>
    </row>
    <row r="5307">
      <c r="A5307" s="1"/>
      <c r="B5307" s="1"/>
    </row>
    <row r="5308">
      <c r="A5308" s="1" t="str">
        <f>IFERROR(__xludf.DUMMYFUNCTION("""COMPUTED_VALUE"""),"Kotak Mahindra Mutual Fund")</f>
        <v>Kotak Mahindra Mutual Fund</v>
      </c>
      <c r="B5308" s="1"/>
    </row>
    <row r="5309">
      <c r="A5309" s="1"/>
      <c r="B5309" s="1"/>
    </row>
    <row r="5310">
      <c r="A5310" s="1" t="str">
        <f>IFERROR(__xludf.DUMMYFUNCTION("""COMPUTED_VALUE"""),"103234;INF174K01187;-;Kotak Equity Opportunities Fund - Growth;237.72;25-Aug-2023")</f>
        <v>103234;INF174K01187;-;Kotak Equity Opportunities Fund - Growth;237.72;25-Aug-2023</v>
      </c>
      <c r="B5310" s="1"/>
    </row>
    <row r="5311">
      <c r="A5311" s="1" t="str">
        <f>IFERROR(__xludf.DUMMYFUNCTION("""COMPUTED_VALUE"""),"120158;INF174K01LF9;-;Kotak Equity Opportunities Fund - Growth - Direct;267.318;25-Aug-2023")</f>
        <v>120158;INF174K01LF9;-;Kotak Equity Opportunities Fund - Growth - Direct;267.318;25-Aug-2023</v>
      </c>
      <c r="B5311" s="1"/>
    </row>
    <row r="5312">
      <c r="A5312" s="1" t="str">
        <f>IFERROR(__xludf.DUMMYFUNCTION("""COMPUTED_VALUE"""),"103233;INF174K01203;INF174K01195;Kotak Equity Opportunities Fund - Payout of Income Distribution cum capital withdrawal option;41.473;25-Aug-2023")</f>
        <v>103233;INF174K01203;INF174K01195;Kotak Equity Opportunities Fund - Payout of Income Distribution cum capital withdrawal option;41.473;25-Aug-2023</v>
      </c>
      <c r="B5312" s="1"/>
    </row>
    <row r="5313">
      <c r="A5313" s="1" t="str">
        <f>IFERROR(__xludf.DUMMYFUNCTION("""COMPUTED_VALUE"""),"120157;INF174K01LG7;-;Kotak Equity Opportunities Fund - Payout of Income Distribution cum capital withdrawal option - Direct;47.17;25-Aug-2023")</f>
        <v>120157;INF174K01LG7;-;Kotak Equity Opportunities Fund - Payout of Income Distribution cum capital withdrawal option - Direct;47.17;25-Aug-2023</v>
      </c>
      <c r="B5313" s="1"/>
    </row>
    <row r="5314">
      <c r="A5314" s="1"/>
      <c r="B5314" s="1"/>
    </row>
    <row r="5315">
      <c r="A5315" s="1" t="str">
        <f>IFERROR(__xludf.DUMMYFUNCTION("""COMPUTED_VALUE"""),"LIC Mutual Fund")</f>
        <v>LIC Mutual Fund</v>
      </c>
      <c r="B5315" s="1"/>
    </row>
    <row r="5316">
      <c r="A5316" s="1"/>
      <c r="B5316" s="1"/>
    </row>
    <row r="5317">
      <c r="A5317" s="1" t="str">
        <f>IFERROR(__xludf.DUMMYFUNCTION("""COMPUTED_VALUE"""),"133710;INF767K01NE9;-;LIC MF Large &amp; Mid Cap Fund-Direct Plan-Growth;29.7566;25-Aug-2023")</f>
        <v>133710;INF767K01NE9;-;LIC MF Large &amp; Mid Cap Fund-Direct Plan-Growth;29.7566;25-Aug-2023</v>
      </c>
      <c r="B5317" s="1"/>
    </row>
    <row r="5318">
      <c r="A5318" s="1" t="str">
        <f>IFERROR(__xludf.DUMMYFUNCTION("""COMPUTED_VALUE"""),"133709;INF767K01ND1;INF767K01NF6;LIC MF Large &amp; Mid Cap Fund-Direct Plan-IDCW;23.6125;25-Aug-2023")</f>
        <v>133709;INF767K01ND1;INF767K01NF6;LIC MF Large &amp; Mid Cap Fund-Direct Plan-IDCW;23.6125;25-Aug-2023</v>
      </c>
      <c r="B5318" s="1"/>
    </row>
    <row r="5319">
      <c r="A5319" s="1" t="str">
        <f>IFERROR(__xludf.DUMMYFUNCTION("""COMPUTED_VALUE"""),"133711;INF767K01NB5;-;LIC MF Large &amp; Mid Cap Fund-Regular Plan-Growth;26.5158;25-Aug-2023")</f>
        <v>133711;INF767K01NB5;-;LIC MF Large &amp; Mid Cap Fund-Regular Plan-Growth;26.5158;25-Aug-2023</v>
      </c>
      <c r="B5319" s="1"/>
    </row>
    <row r="5320">
      <c r="A5320" s="1" t="str">
        <f>IFERROR(__xludf.DUMMYFUNCTION("""COMPUTED_VALUE"""),"133712;INF767K01NA7;INF767K01NC3;LIC MF Large &amp; Mid Cap Fund-Regular Plan-IDCW;21.4686;25-Aug-2023")</f>
        <v>133712;INF767K01NA7;INF767K01NC3;LIC MF Large &amp; Mid Cap Fund-Regular Plan-IDCW;21.4686;25-Aug-2023</v>
      </c>
      <c r="B5320" s="1"/>
    </row>
    <row r="5321">
      <c r="A5321" s="1"/>
      <c r="B5321" s="1"/>
    </row>
    <row r="5322">
      <c r="A5322" s="1" t="str">
        <f>IFERROR(__xludf.DUMMYFUNCTION("""COMPUTED_VALUE"""),"Mahindra Manulife Mutual Fund")</f>
        <v>Mahindra Manulife Mutual Fund</v>
      </c>
      <c r="B5322" s="1"/>
    </row>
    <row r="5323">
      <c r="A5323" s="1"/>
      <c r="B5323" s="1"/>
    </row>
    <row r="5324">
      <c r="A5324" s="1" t="str">
        <f>IFERROR(__xludf.DUMMYFUNCTION("""COMPUTED_VALUE"""),"147841;INF174V01960;INF174V01952;Mahindra Manulife Large &amp; Mid Cap Fund - Direct Plan - IDCW;18.0805;25-Aug-2023")</f>
        <v>147841;INF174V01960;INF174V01952;Mahindra Manulife Large &amp; Mid Cap Fund - Direct Plan - IDCW;18.0805;25-Aug-2023</v>
      </c>
      <c r="B5324" s="1"/>
    </row>
    <row r="5325">
      <c r="A5325" s="1" t="str">
        <f>IFERROR(__xludf.DUMMYFUNCTION("""COMPUTED_VALUE"""),"147840;INF174V01945;-;Mahindra Manulife Large &amp; Mid Cap Fund - Direct Plan -Growth;21.1372;25-Aug-2023")</f>
        <v>147840;INF174V01945;-;Mahindra Manulife Large &amp; Mid Cap Fund - Direct Plan -Growth;21.1372;25-Aug-2023</v>
      </c>
      <c r="B5325" s="1"/>
    </row>
    <row r="5326">
      <c r="A5326" s="1" t="str">
        <f>IFERROR(__xludf.DUMMYFUNCTION("""COMPUTED_VALUE"""),"147843;INF174V01911;-;Mahindra Manulife Large &amp; Mid Cap Fund - Regular Plan - Growth;19.7521;25-Aug-2023")</f>
        <v>147843;INF174V01911;-;Mahindra Manulife Large &amp; Mid Cap Fund - Regular Plan - Growth;19.7521;25-Aug-2023</v>
      </c>
      <c r="B5326" s="1"/>
    </row>
    <row r="5327">
      <c r="A5327" s="1" t="str">
        <f>IFERROR(__xludf.DUMMYFUNCTION("""COMPUTED_VALUE"""),"147842;INF174V01937;INF174V01929;Mahindra Manulife Large &amp; Mid Cap Fund - Regular Plan - IDCW;16.7502;25-Aug-2023")</f>
        <v>147842;INF174V01937;INF174V01929;Mahindra Manulife Large &amp; Mid Cap Fund - Regular Plan - IDCW;16.7502;25-Aug-2023</v>
      </c>
      <c r="B5327" s="1"/>
    </row>
    <row r="5328">
      <c r="A5328" s="1"/>
      <c r="B5328" s="1"/>
    </row>
    <row r="5329">
      <c r="A5329" s="1" t="str">
        <f>IFERROR(__xludf.DUMMYFUNCTION("""COMPUTED_VALUE"""),"Mirae Asset Mutual Fund")</f>
        <v>Mirae Asset Mutual Fund</v>
      </c>
      <c r="B5329" s="1"/>
    </row>
    <row r="5330">
      <c r="A5330" s="1"/>
      <c r="B5330" s="1"/>
    </row>
    <row r="5331">
      <c r="A5331" s="1" t="str">
        <f>IFERROR(__xludf.DUMMYFUNCTION("""COMPUTED_VALUE"""),"118834;INF769K01BI1;-;Mirae Asset Emerging Bluechip Fund - Direct Plan - Growth;121.084;25-Aug-2023")</f>
        <v>118834;INF769K01BI1;-;Mirae Asset Emerging Bluechip Fund - Direct Plan - Growth;121.084;25-Aug-2023</v>
      </c>
      <c r="B5331" s="1"/>
    </row>
    <row r="5332">
      <c r="A5332" s="1" t="str">
        <f>IFERROR(__xludf.DUMMYFUNCTION("""COMPUTED_VALUE"""),"112932;INF769K01101;-;Mirae Asset Emerging Bluechip Fund - Regular Plan - Growth Option;109.512;25-Aug-2023")</f>
        <v>112932;INF769K01101;-;Mirae Asset Emerging Bluechip Fund - Regular Plan - Growth Option;109.512;25-Aug-2023</v>
      </c>
      <c r="B5332" s="1"/>
    </row>
    <row r="5333">
      <c r="A5333" s="1" t="str">
        <f>IFERROR(__xludf.DUMMYFUNCTION("""COMPUTED_VALUE"""),"118835;INF769K01BJ9;INF769K01BK7;Mirae Asset Emerging Bluechip Fund Direct IDCW;66.265;25-Aug-2023")</f>
        <v>118835;INF769K01BJ9;INF769K01BK7;Mirae Asset Emerging Bluechip Fund Direct IDCW;66.265;25-Aug-2023</v>
      </c>
      <c r="B5333" s="1"/>
    </row>
    <row r="5334">
      <c r="A5334" s="1" t="str">
        <f>IFERROR(__xludf.DUMMYFUNCTION("""COMPUTED_VALUE"""),"112931;INF769K01127;INF769K01119;Mirae Asset Emerging Bluechip Fund Regular IDCW;39.286;25-Aug-2023")</f>
        <v>112931;INF769K01127;INF769K01119;Mirae Asset Emerging Bluechip Fund Regular IDCW;39.286;25-Aug-2023</v>
      </c>
      <c r="B5334" s="1"/>
    </row>
    <row r="5335">
      <c r="A5335" s="1"/>
      <c r="B5335" s="1"/>
    </row>
    <row r="5336">
      <c r="A5336" s="1" t="str">
        <f>IFERROR(__xludf.DUMMYFUNCTION("""COMPUTED_VALUE"""),"Motilal Oswal Mutual Fund")</f>
        <v>Motilal Oswal Mutual Fund</v>
      </c>
      <c r="B5336" s="1"/>
    </row>
    <row r="5337">
      <c r="A5337" s="1"/>
      <c r="B5337" s="1"/>
    </row>
    <row r="5338">
      <c r="A5338" s="1" t="str">
        <f>IFERROR(__xludf.DUMMYFUNCTION("""COMPUTED_VALUE"""),"147704;INF247L01999;-;Motilal Oswal Large and Midcap Fund - Direct Plan Growth;21.7013;25-Aug-2023")</f>
        <v>147704;INF247L01999;-;Motilal Oswal Large and Midcap Fund - Direct Plan Growth;21.7013;25-Aug-2023</v>
      </c>
      <c r="B5338" s="1"/>
    </row>
    <row r="5339">
      <c r="A5339" s="1" t="str">
        <f>IFERROR(__xludf.DUMMYFUNCTION("""COMPUTED_VALUE"""),"147701;INF247L01965;-;Motilal Oswal Large and Midcap Fund - Regular Plan Growth;20.3839;25-Aug-2023")</f>
        <v>147701;INF247L01965;-;Motilal Oswal Large and Midcap Fund - Regular Plan Growth;20.3839;25-Aug-2023</v>
      </c>
      <c r="B5339" s="1"/>
    </row>
    <row r="5340">
      <c r="A5340" s="1" t="str">
        <f>IFERROR(__xludf.DUMMYFUNCTION("""COMPUTED_VALUE"""),"147706;INF247L01AB3;INF247L01AA5;Motilal Oswal Large and Midcap Fund Direct - IDCW Payout/Reinvestment;18.7968;25-Aug-2023")</f>
        <v>147706;INF247L01AB3;INF247L01AA5;Motilal Oswal Large and Midcap Fund Direct - IDCW Payout/Reinvestment;18.7968;25-Aug-2023</v>
      </c>
      <c r="B5340" s="1"/>
    </row>
    <row r="5341">
      <c r="A5341" s="1" t="str">
        <f>IFERROR(__xludf.DUMMYFUNCTION("""COMPUTED_VALUE"""),"147703;INF247L01981;INF247L01973;Motilal Oswal Large and Midcap Fund Regular - IDCW Payout/Reinvestment;17.9014;25-Aug-2023")</f>
        <v>147703;INF247L01981;INF247L01973;Motilal Oswal Large and Midcap Fund Regular - IDCW Payout/Reinvestment;17.9014;25-Aug-2023</v>
      </c>
      <c r="B5341" s="1"/>
    </row>
    <row r="5342">
      <c r="A5342" s="1"/>
      <c r="B5342" s="1"/>
    </row>
    <row r="5343">
      <c r="A5343" s="1" t="str">
        <f>IFERROR(__xludf.DUMMYFUNCTION("""COMPUTED_VALUE"""),"Navi Mutual Fund")</f>
        <v>Navi Mutual Fund</v>
      </c>
      <c r="B5343" s="1"/>
    </row>
    <row r="5344">
      <c r="A5344" s="1"/>
      <c r="B5344" s="1"/>
    </row>
    <row r="5345">
      <c r="A5345" s="1" t="str">
        <f>IFERROR(__xludf.DUMMYFUNCTION("""COMPUTED_VALUE"""),"141414;INF959L01CR5;INF959L01CS3;Navi Large &amp; Midcap Fund - Direct Annual IDCW Payout;31.6792;25-Aug-2023")</f>
        <v>141414;INF959L01CR5;INF959L01CS3;Navi Large &amp; Midcap Fund - Direct Annual IDCW Payout;31.6792;25-Aug-2023</v>
      </c>
      <c r="B5345" s="1"/>
    </row>
    <row r="5346">
      <c r="A5346" s="1" t="str">
        <f>IFERROR(__xludf.DUMMYFUNCTION("""COMPUTED_VALUE"""),"141415;INF959L01CP9;INF959L01CQ7;Navi Large &amp; Midcap Fund - Direct Half Yearly IDCW Payout;31.708;25-Aug-2023")</f>
        <v>141415;INF959L01CP9;INF959L01CQ7;Navi Large &amp; Midcap Fund - Direct Half Yearly IDCW Payout;31.708;25-Aug-2023</v>
      </c>
      <c r="B5346" s="1"/>
    </row>
    <row r="5347">
      <c r="A5347" s="1" t="str">
        <f>IFERROR(__xludf.DUMMYFUNCTION("""COMPUTED_VALUE"""),"135679;INF959L01CI4;INF959L01CJ2;Navi Large &amp; Midcap Fund - Direct Normal IDCW Payout;31.7865;25-Aug-2023")</f>
        <v>135679;INF959L01CI4;INF959L01CJ2;Navi Large &amp; Midcap Fund - Direct Normal IDCW Payout;31.7865;25-Aug-2023</v>
      </c>
      <c r="B5347" s="1"/>
    </row>
    <row r="5348">
      <c r="A5348" s="1" t="str">
        <f>IFERROR(__xludf.DUMMYFUNCTION("""COMPUTED_VALUE"""),"141411;INF959L01CV7;INF959L01CW5;Navi Large &amp; Midcap Fund - Regular Annual IDCW payout;28.6889;25-Aug-2023")</f>
        <v>141411;INF959L01CV7;INF959L01CW5;Navi Large &amp; Midcap Fund - Regular Annual IDCW payout;28.6889;25-Aug-2023</v>
      </c>
      <c r="B5348" s="1"/>
    </row>
    <row r="5349">
      <c r="A5349" s="1" t="str">
        <f>IFERROR(__xludf.DUMMYFUNCTION("""COMPUTED_VALUE"""),"141410;INF959L01CT1;INF959L01CU9;NAVI Large &amp; Midcap Fund - Regular Half Yearly IDCW Payout;27.9009;25-Aug-2023")</f>
        <v>141410;INF959L01CT1;INF959L01CU9;NAVI Large &amp; Midcap Fund - Regular Half Yearly IDCW Payout;27.9009;25-Aug-2023</v>
      </c>
      <c r="B5349" s="1"/>
    </row>
    <row r="5350">
      <c r="A5350" s="1" t="str">
        <f>IFERROR(__xludf.DUMMYFUNCTION("""COMPUTED_VALUE"""),"135680;INF959L01CL8;INF959L01CM6;Navi Large &amp; Midcap Fund - Regular Normal IDCW Payout;27.8909;25-Aug-2023")</f>
        <v>135680;INF959L01CL8;INF959L01CM6;Navi Large &amp; Midcap Fund - Regular Normal IDCW Payout;27.8909;25-Aug-2023</v>
      </c>
      <c r="B5350" s="1"/>
    </row>
    <row r="5351">
      <c r="A5351" s="1" t="str">
        <f>IFERROR(__xludf.DUMMYFUNCTION("""COMPUTED_VALUE"""),"135677;INF959L01CH6;-;Navi Large &amp; Midcap Fund- Direct Plan- Growth Option;32.1734;25-Aug-2023")</f>
        <v>135677;INF959L01CH6;-;Navi Large &amp; Midcap Fund- Direct Plan- Growth Option;32.1734;25-Aug-2023</v>
      </c>
      <c r="B5351" s="1"/>
    </row>
    <row r="5352">
      <c r="A5352" s="1" t="str">
        <f>IFERROR(__xludf.DUMMYFUNCTION("""COMPUTED_VALUE"""),"135678;INF959L01CK0;-;Navi Large &amp; Midcap Fund- Regular Plan- Growth Option;27.894;25-Aug-2023")</f>
        <v>135678;INF959L01CK0;-;Navi Large &amp; Midcap Fund- Regular Plan- Growth Option;27.894;25-Aug-2023</v>
      </c>
      <c r="B5352" s="1"/>
    </row>
    <row r="5353">
      <c r="A5353" s="1"/>
      <c r="B5353" s="1"/>
    </row>
    <row r="5354">
      <c r="A5354" s="1" t="str">
        <f>IFERROR(__xludf.DUMMYFUNCTION("""COMPUTED_VALUE"""),"Nippon India Mutual Fund")</f>
        <v>Nippon India Mutual Fund</v>
      </c>
      <c r="B5354" s="1"/>
    </row>
    <row r="5355">
      <c r="A5355" s="1"/>
      <c r="B5355" s="1"/>
    </row>
    <row r="5356">
      <c r="A5356" s="1" t="str">
        <f>IFERROR(__xludf.DUMMYFUNCTION("""COMPUTED_VALUE"""),"118676;INF204K01F04;INF204K01F12;NIPPON INDIA VISION FUND - DIRECT Plan - IDCW Option;57.1512;25-Aug-2023")</f>
        <v>118676;INF204K01F04;INF204K01F12;NIPPON INDIA VISION FUND - DIRECT Plan - IDCW Option;57.1512;25-Aug-2023</v>
      </c>
      <c r="B5356" s="1"/>
    </row>
    <row r="5357">
      <c r="A5357" s="1" t="str">
        <f>IFERROR(__xludf.DUMMYFUNCTION("""COMPUTED_VALUE"""),"118675;INF204K01E96;-;Nippon India Vision Fund - Direct Plan Growth Plan - Bonus Option;173.4288;25-Aug-2023")</f>
        <v>118675;INF204K01E96;-;Nippon India Vision Fund - Direct Plan Growth Plan - Bonus Option;173.4288;25-Aug-2023</v>
      </c>
      <c r="B5357" s="1"/>
    </row>
    <row r="5358">
      <c r="A5358" s="1" t="str">
        <f>IFERROR(__xludf.DUMMYFUNCTION("""COMPUTED_VALUE"""),"118678;INF204K01F20;-;Nippon India Vision Fund - Direct Plan Growth Plan - Growth Option;1022.9134;25-Aug-2023")</f>
        <v>118678;INF204K01F20;-;Nippon India Vision Fund - Direct Plan Growth Plan - Growth Option;1022.9134;25-Aug-2023</v>
      </c>
      <c r="B5358" s="1"/>
    </row>
    <row r="5359">
      <c r="A5359" s="1" t="str">
        <f>IFERROR(__xludf.DUMMYFUNCTION("""COMPUTED_VALUE"""),"100378;INF204K01372;INF204K01380;NIPPON INDIA VISION FUND - IDCW Option;51.6864;25-Aug-2023")</f>
        <v>100378;INF204K01372;INF204K01380;NIPPON INDIA VISION FUND - IDCW Option;51.6864;25-Aug-2023</v>
      </c>
      <c r="B5359" s="1"/>
    </row>
    <row r="5360">
      <c r="A5360" s="1" t="str">
        <f>IFERROR(__xludf.DUMMYFUNCTION("""COMPUTED_VALUE"""),"106255;INF204K01331;INF204K01349;Nippon India Vision Fund Institutional Dividend Plan;258.7308;04-Jun-2018")</f>
        <v>106255;INF204K01331;INF204K01349;Nippon India Vision Fund Institutional Dividend Plan;258.7308;04-Jun-2018</v>
      </c>
      <c r="B5360" s="1"/>
    </row>
    <row r="5361">
      <c r="A5361" s="1" t="str">
        <f>IFERROR(__xludf.DUMMYFUNCTION("""COMPUTED_VALUE"""),"100379;INF204K01398;-;Nippon India Vision Fund-GROWTH PLAN-Bonus Option;161.8699;25-Aug-2023")</f>
        <v>100379;INF204K01398;-;Nippon India Vision Fund-GROWTH PLAN-Bonus Option;161.8699;25-Aug-2023</v>
      </c>
      <c r="B5361" s="1"/>
    </row>
    <row r="5362">
      <c r="A5362" s="1" t="str">
        <f>IFERROR(__xludf.DUMMYFUNCTION("""COMPUTED_VALUE"""),"100380;INF204K01406;-;Nippon India Vision Fund-GROWTH PLAN-Growth Option;961.0769;25-Aug-2023")</f>
        <v>100380;INF204K01406;-;Nippon India Vision Fund-GROWTH PLAN-Growth Option;961.0769;25-Aug-2023</v>
      </c>
      <c r="B5362" s="1"/>
    </row>
    <row r="5363">
      <c r="A5363" s="1"/>
      <c r="B5363" s="1"/>
    </row>
    <row r="5364">
      <c r="A5364" s="1" t="str">
        <f>IFERROR(__xludf.DUMMYFUNCTION("""COMPUTED_VALUE"""),"quant Mutual Fund")</f>
        <v>quant Mutual Fund</v>
      </c>
      <c r="B5364" s="1"/>
    </row>
    <row r="5365">
      <c r="A5365" s="1"/>
      <c r="B5365" s="1"/>
    </row>
    <row r="5366">
      <c r="A5366" s="1" t="str">
        <f>IFERROR(__xludf.DUMMYFUNCTION("""COMPUTED_VALUE"""),"104515;INF966L01424;-;quant Large &amp; Mid Cap Fund - Bonus Option - Regular Plan;80.3154;25-Aug-2023")</f>
        <v>104515;INF966L01424;-;quant Large &amp; Mid Cap Fund - Bonus Option - Regular Plan;80.3154;25-Aug-2023</v>
      </c>
      <c r="B5366" s="1"/>
    </row>
    <row r="5367">
      <c r="A5367" s="1" t="str">
        <f>IFERROR(__xludf.DUMMYFUNCTION("""COMPUTED_VALUE"""),"120824;INF966L01655;-;quant Large &amp; Mid Cap Fund - Bonus Option-Direct Plan;80.3154;25-Aug-2023")</f>
        <v>120824;INF966L01655;-;quant Large &amp; Mid Cap Fund - Bonus Option-Direct Plan;80.3154;25-Aug-2023</v>
      </c>
      <c r="B5367" s="1"/>
    </row>
    <row r="5368">
      <c r="A5368" s="1" t="str">
        <f>IFERROR(__xludf.DUMMYFUNCTION("""COMPUTED_VALUE"""),"104513;INF966L01341;-;quant Large &amp; Mid Cap Fund - Growth Option;80.2514;25-Aug-2023")</f>
        <v>104513;INF966L01341;-;quant Large &amp; Mid Cap Fund - Growth Option;80.2514;25-Aug-2023</v>
      </c>
      <c r="B5368" s="1"/>
    </row>
    <row r="5369">
      <c r="A5369" s="1" t="str">
        <f>IFERROR(__xludf.DUMMYFUNCTION("""COMPUTED_VALUE"""),"120826;INF966L01648;-;quant Large &amp; Mid Cap Fund - Growth Option-Direct Plan;85.7289;25-Aug-2023")</f>
        <v>120826;INF966L01648;-;quant Large &amp; Mid Cap Fund - Growth Option-Direct Plan;85.7289;25-Aug-2023</v>
      </c>
      <c r="B5369" s="1"/>
    </row>
    <row r="5370">
      <c r="A5370" s="1" t="str">
        <f>IFERROR(__xludf.DUMMYFUNCTION("""COMPUTED_VALUE"""),"120825;INF966L01622;INF966L01630;quant Large &amp; Mid Cap Fund - IDCW Option - Direct Plan;39.9276;25-Aug-2023")</f>
        <v>120825;INF966L01622;INF966L01630;quant Large &amp; Mid Cap Fund - IDCW Option - Direct Plan;39.9276;25-Aug-2023</v>
      </c>
      <c r="B5370" s="1"/>
    </row>
    <row r="5371">
      <c r="A5371" s="1" t="str">
        <f>IFERROR(__xludf.DUMMYFUNCTION("""COMPUTED_VALUE"""),"104514;INF966L01325;INF966L01333;quant Large &amp; Mid Cap Fund - IDCW Option - Regular Plan;48.9077;25-Aug-2023")</f>
        <v>104514;INF966L01325;INF966L01333;quant Large &amp; Mid Cap Fund - IDCW Option - Regular Plan;48.9077;25-Aug-2023</v>
      </c>
      <c r="B5371" s="1"/>
    </row>
    <row r="5372">
      <c r="A5372" s="1"/>
      <c r="B5372" s="1"/>
    </row>
    <row r="5373">
      <c r="A5373" s="1" t="str">
        <f>IFERROR(__xludf.DUMMYFUNCTION("""COMPUTED_VALUE"""),"SBI Mutual Fund")</f>
        <v>SBI Mutual Fund</v>
      </c>
      <c r="B5373" s="1"/>
    </row>
    <row r="5374">
      <c r="A5374" s="1"/>
      <c r="B5374" s="1"/>
    </row>
    <row r="5375">
      <c r="A5375" s="1" t="str">
        <f>IFERROR(__xludf.DUMMYFUNCTION("""COMPUTED_VALUE"""),"119720;INF200K01UH9;INF200K01UI7;SBI Large &amp; Midcap Fund - Direct Plan - Income Distribution cum Capital Withdrawal Option (IDCW);246.6520;25-Aug-2023")</f>
        <v>119720;INF200K01UH9;INF200K01UI7;SBI Large &amp; Midcap Fund - Direct Plan - Income Distribution cum Capital Withdrawal Option (IDCW);246.6520;25-Aug-2023</v>
      </c>
      <c r="B5375" s="1"/>
    </row>
    <row r="5376">
      <c r="A5376" s="1" t="str">
        <f>IFERROR(__xludf.DUMMYFUNCTION("""COMPUTED_VALUE"""),"101530;INF200K01289;INF200K01297;SBI Large &amp; Midcap Fund - Regular Plan - Income Distribution cum Capital Withdrawal Option (IDCW);200.3987;25-Aug-2023")</f>
        <v>101530;INF200K01289;INF200K01297;SBI Large &amp; Midcap Fund - Regular Plan - Income Distribution cum Capital Withdrawal Option (IDCW);200.3987;25-Aug-2023</v>
      </c>
      <c r="B5376" s="1"/>
    </row>
    <row r="5377">
      <c r="A5377" s="1" t="str">
        <f>IFERROR(__xludf.DUMMYFUNCTION("""COMPUTED_VALUE"""),"119721;INF200K01UJ5;-;SBI LARGE &amp; MIDCAP FUND -DIRECT PLAN -Growth;473.2136;25-Aug-2023")</f>
        <v>119721;INF200K01UJ5;-;SBI LARGE &amp; MIDCAP FUND -DIRECT PLAN -Growth;473.2136;25-Aug-2023</v>
      </c>
      <c r="B5377" s="1"/>
    </row>
    <row r="5378">
      <c r="A5378" s="1" t="str">
        <f>IFERROR(__xludf.DUMMYFUNCTION("""COMPUTED_VALUE"""),"103024;INF200K01305;-;SBI LARGE &amp; MIDCAP FUND- REGULAR PLAN -Growth;443.5782;25-Aug-2023")</f>
        <v>103024;INF200K01305;-;SBI LARGE &amp; MIDCAP FUND- REGULAR PLAN -Growth;443.5782;25-Aug-2023</v>
      </c>
      <c r="B5378" s="1"/>
    </row>
    <row r="5379">
      <c r="A5379" s="1"/>
      <c r="B5379" s="1"/>
    </row>
    <row r="5380">
      <c r="A5380" s="1" t="str">
        <f>IFERROR(__xludf.DUMMYFUNCTION("""COMPUTED_VALUE"""),"Sundaram Mutual Fund")</f>
        <v>Sundaram Mutual Fund</v>
      </c>
      <c r="B5380" s="1"/>
    </row>
    <row r="5381">
      <c r="A5381" s="1"/>
      <c r="B5381" s="1"/>
    </row>
    <row r="5382">
      <c r="A5382" s="1" t="str">
        <f>IFERROR(__xludf.DUMMYFUNCTION("""COMPUTED_VALUE"""),"119565;INF903J01PP3;INF903J01PQ1;Sundaram Large and Midcap Direct Plan - Income Distribution cum Capital Withdrawal (IDCW);29.0200;25-Aug-2023")</f>
        <v>119565;INF903J01PP3;INF903J01PQ1;Sundaram Large and Midcap Direct Plan - Income Distribution cum Capital Withdrawal (IDCW);29.0200;25-Aug-2023</v>
      </c>
      <c r="B5382" s="1"/>
    </row>
    <row r="5383">
      <c r="A5383" s="1" t="str">
        <f>IFERROR(__xludf.DUMMYFUNCTION("""COMPUTED_VALUE"""),"119566;INF903J01PR9;-;Sundaram Large and Midcap Fund Direct Plan - Growth;67.4230;25-Aug-2023")</f>
        <v>119566;INF903J01PR9;-;Sundaram Large and Midcap Fund Direct Plan - Growth;67.4230;25-Aug-2023</v>
      </c>
      <c r="B5383" s="1"/>
    </row>
    <row r="5384">
      <c r="A5384" s="1" t="str">
        <f>IFERROR(__xludf.DUMMYFUNCTION("""COMPUTED_VALUE"""),"105001;INF903J01DT1;-;Sundaram Large and Midcap Fund Regular Plan - Growth;61.1695;25-Aug-2023")</f>
        <v>105001;INF903J01DT1;-;Sundaram Large and Midcap Fund Regular Plan - Growth;61.1695;25-Aug-2023</v>
      </c>
      <c r="B5384" s="1"/>
    </row>
    <row r="5385">
      <c r="A5385" s="1" t="str">
        <f>IFERROR(__xludf.DUMMYFUNCTION("""COMPUTED_VALUE"""),"105000;INF903J01DU9;INF903J01DV7;Sundaram Large and Midcap Regular Plan - Income Distribution cum Capital Withdrawal (IDCW);25.7740;25-Aug-2023")</f>
        <v>105000;INF903J01DU9;INF903J01DV7;Sundaram Large and Midcap Regular Plan - Income Distribution cum Capital Withdrawal (IDCW);25.7740;25-Aug-2023</v>
      </c>
      <c r="B5385" s="1"/>
    </row>
    <row r="5386">
      <c r="A5386" s="1"/>
      <c r="B5386" s="1"/>
    </row>
    <row r="5387">
      <c r="A5387" s="1" t="str">
        <f>IFERROR(__xludf.DUMMYFUNCTION("""COMPUTED_VALUE"""),"Tata Mutual Fund")</f>
        <v>Tata Mutual Fund</v>
      </c>
      <c r="B5387" s="1"/>
    </row>
    <row r="5388">
      <c r="A5388" s="1"/>
      <c r="B5388" s="1"/>
    </row>
    <row r="5389">
      <c r="A5389" s="1" t="str">
        <f>IFERROR(__xludf.DUMMYFUNCTION("""COMPUTED_VALUE"""),"119202;INF277K01MK8;-;Tata Large &amp; MId Cap Fund -Direct Plan- Growth Option;449.1829;25-Aug-2023")</f>
        <v>119202;INF277K01MK8;-;Tata Large &amp; MId Cap Fund -Direct Plan- Growth Option;449.1829;25-Aug-2023</v>
      </c>
      <c r="B5389" s="1"/>
    </row>
    <row r="5390">
      <c r="A5390" s="1" t="str">
        <f>IFERROR(__xludf.DUMMYFUNCTION("""COMPUTED_VALUE"""),"119201;INF277K01MI2;INF277K01MJ0;Tata Large &amp; Mid Cap Fund Direct Plan - Payout of IDCW Option;88.0120;25-Aug-2023")</f>
        <v>119201;INF277K01MI2;INF277K01MJ0;Tata Large &amp; Mid Cap Fund Direct Plan - Payout of IDCW Option;88.0120;25-Aug-2023</v>
      </c>
      <c r="B5390" s="1"/>
    </row>
    <row r="5391">
      <c r="A5391" s="1" t="str">
        <f>IFERROR(__xludf.DUMMYFUNCTION("""COMPUTED_VALUE"""),"101823;INF277K01DH3;INF277K01410;Tata Large &amp; Mid Cap Fund Regular Plan - Payout of IDCW Option;64.8479;25-Aug-2023")</f>
        <v>101823;INF277K01DH3;INF277K01410;Tata Large &amp; Mid Cap Fund Regular Plan - Payout of IDCW Option;64.8479;25-Aug-2023</v>
      </c>
      <c r="B5391" s="1"/>
    </row>
    <row r="5392">
      <c r="A5392" s="1" t="str">
        <f>IFERROR(__xludf.DUMMYFUNCTION("""COMPUTED_VALUE"""),"101824;INF277K01428;-;Tata Large &amp; Mid Cap Fund- Regular Plan - Growth Option;402.3016;25-Aug-2023")</f>
        <v>101824;INF277K01428;-;Tata Large &amp; Mid Cap Fund- Regular Plan - Growth Option;402.3016;25-Aug-2023</v>
      </c>
      <c r="B5392" s="1"/>
    </row>
    <row r="5393">
      <c r="A5393" s="1"/>
      <c r="B5393" s="1"/>
    </row>
    <row r="5394">
      <c r="A5394" s="1" t="str">
        <f>IFERROR(__xludf.DUMMYFUNCTION("""COMPUTED_VALUE"""),"Union Mutual Fund")</f>
        <v>Union Mutual Fund</v>
      </c>
      <c r="B5394" s="1"/>
    </row>
    <row r="5395">
      <c r="A5395" s="1"/>
      <c r="B5395" s="1"/>
    </row>
    <row r="5396">
      <c r="A5396" s="1" t="str">
        <f>IFERROR(__xludf.DUMMYFUNCTION("""COMPUTED_VALUE"""),"147750;INF582M01GA0;-;Union Large &amp; Midcap Fund - Direct Plan - Growth Option;19.72;25-Aug-2023")</f>
        <v>147750;INF582M01GA0;-;Union Large &amp; Midcap Fund - Direct Plan - Growth Option;19.72;25-Aug-2023</v>
      </c>
      <c r="B5396" s="1"/>
    </row>
    <row r="5397">
      <c r="A5397" s="1" t="str">
        <f>IFERROR(__xludf.DUMMYFUNCTION("""COMPUTED_VALUE"""),"147751;INF582M01GC6;INF582M01GB8;Union Large &amp; Midcap Fund - Direct Plan - IDCW Option;19.72;25-Aug-2023")</f>
        <v>147751;INF582M01GC6;INF582M01GB8;Union Large &amp; Midcap Fund - Direct Plan - IDCW Option;19.72;25-Aug-2023</v>
      </c>
      <c r="B5397" s="1"/>
    </row>
    <row r="5398">
      <c r="A5398" s="1" t="str">
        <f>IFERROR(__xludf.DUMMYFUNCTION("""COMPUTED_VALUE"""),"147748;INF582M01GD4;-;Union Large &amp; Midcap Fund - Regular Plan - Growth Option;18.90;25-Aug-2023")</f>
        <v>147748;INF582M01GD4;-;Union Large &amp; Midcap Fund - Regular Plan - Growth Option;18.90;25-Aug-2023</v>
      </c>
      <c r="B5398" s="1"/>
    </row>
    <row r="5399">
      <c r="A5399" s="1" t="str">
        <f>IFERROR(__xludf.DUMMYFUNCTION("""COMPUTED_VALUE"""),"147749;INF582M01GG7;INF582M01GF9;Union Large &amp; Midcap Fund - Regular Plan - IDCW Option;18.90;25-Aug-2023")</f>
        <v>147749;INF582M01GG7;INF582M01GF9;Union Large &amp; Midcap Fund - Regular Plan - IDCW Option;18.90;25-Aug-2023</v>
      </c>
      <c r="B5399" s="1"/>
    </row>
    <row r="5400">
      <c r="A5400" s="1"/>
      <c r="B5400" s="1"/>
    </row>
    <row r="5401">
      <c r="A5401" s="1" t="str">
        <f>IFERROR(__xludf.DUMMYFUNCTION("""COMPUTED_VALUE"""),"UTI Mutual Fund")</f>
        <v>UTI Mutual Fund</v>
      </c>
      <c r="B5401" s="1"/>
    </row>
    <row r="5402">
      <c r="A5402" s="1"/>
      <c r="B5402" s="1"/>
    </row>
    <row r="5403">
      <c r="A5403" s="1" t="str">
        <f>IFERROR(__xludf.DUMMYFUNCTION("""COMPUTED_VALUE"""),"120665;INF789F01UG3;-;UTI - Core Equity Fund - Direct Plan - Growth Option;125.4976;25-Aug-2023")</f>
        <v>120665;INF789F01UG3;-;UTI - Core Equity Fund - Direct Plan - Growth Option;125.4976;25-Aug-2023</v>
      </c>
      <c r="B5403" s="1"/>
    </row>
    <row r="5404">
      <c r="A5404" s="1" t="str">
        <f>IFERROR(__xludf.DUMMYFUNCTION("""COMPUTED_VALUE"""),"100664;INF789F01869;-;UTI - Core Equity Fund - Regular Plan - Growth Option;119.1059;25-Aug-2023")</f>
        <v>100664;INF789F01869;-;UTI - Core Equity Fund - Regular Plan - Growth Option;119.1059;25-Aug-2023</v>
      </c>
      <c r="B5404" s="1"/>
    </row>
    <row r="5405">
      <c r="A5405" s="1" t="str">
        <f>IFERROR(__xludf.DUMMYFUNCTION("""COMPUTED_VALUE"""),"120664;INF789F01UE8;INF789F01UF5;UTI Core Equity Fund - Direct Plan - IDCW;61.6706;25-Aug-2023")</f>
        <v>120664;INF789F01UE8;INF789F01UF5;UTI Core Equity Fund - Direct Plan - IDCW;61.6706;25-Aug-2023</v>
      </c>
      <c r="B5405" s="1"/>
    </row>
    <row r="5406">
      <c r="A5406" s="1" t="str">
        <f>IFERROR(__xludf.DUMMYFUNCTION("""COMPUTED_VALUE"""),"100663;INF189A01046;INF789F01851;UTI Core Equity Fund - Regular Plan - IDCW;58.023;25-Aug-2023")</f>
        <v>100663;INF189A01046;INF789F01851;UTI Core Equity Fund - Regular Plan - IDCW;58.023;25-Aug-2023</v>
      </c>
      <c r="B5406" s="1"/>
    </row>
    <row r="5407">
      <c r="A5407" s="1"/>
      <c r="B5407" s="1"/>
    </row>
    <row r="5408">
      <c r="A5408" s="1" t="str">
        <f>IFERROR(__xludf.DUMMYFUNCTION("""COMPUTED_VALUE"""),"Open Ended Schemes(Equity Scheme - Large Cap Fund)")</f>
        <v>Open Ended Schemes(Equity Scheme - Large Cap Fund)</v>
      </c>
      <c r="B5408" s="1"/>
    </row>
    <row r="5409">
      <c r="A5409" s="1"/>
      <c r="B5409" s="1"/>
    </row>
    <row r="5410">
      <c r="A5410" s="1" t="str">
        <f>IFERROR(__xludf.DUMMYFUNCTION("""COMPUTED_VALUE"""),"Aditya Birla Sun Life Mutual Fund")</f>
        <v>Aditya Birla Sun Life Mutual Fund</v>
      </c>
      <c r="B5410" s="1"/>
    </row>
    <row r="5411">
      <c r="A5411" s="1"/>
      <c r="B5411" s="1"/>
    </row>
    <row r="5412">
      <c r="A5412" s="1" t="str">
        <f>IFERROR(__xludf.DUMMYFUNCTION("""COMPUTED_VALUE"""),"119528;INF209K01YY7;-;Aditya Birla Sun Life Frontline Equity Fund - Growth - Direct Plan;419.57;25-Aug-2023")</f>
        <v>119528;INF209K01YY7;-;Aditya Birla Sun Life Frontline Equity Fund - Growth - Direct Plan;419.57;25-Aug-2023</v>
      </c>
      <c r="B5412" s="1"/>
    </row>
    <row r="5413">
      <c r="A5413" s="1" t="str">
        <f>IFERROR(__xludf.DUMMYFUNCTION("""COMPUTED_VALUE"""),"119527;INF209K01YX9;INF209K01YW1;Aditya Birla Sun Life Frontline Equity Fund-DIRECT - IDCW;83.21;25-Aug-2023")</f>
        <v>119527;INF209K01YX9;INF209K01YW1;Aditya Birla Sun Life Frontline Equity Fund-DIRECT - IDCW;83.21;25-Aug-2023</v>
      </c>
      <c r="B5413" s="1"/>
    </row>
    <row r="5414">
      <c r="A5414" s="1" t="str">
        <f>IFERROR(__xludf.DUMMYFUNCTION("""COMPUTED_VALUE"""),"103174;INF209K01BR9;-;Aditya Birla Sun Life Frontline Equity Fund-Growth;384.48;25-Aug-2023")</f>
        <v>103174;INF209K01BR9;-;Aditya Birla Sun Life Frontline Equity Fund-Growth;384.48;25-Aug-2023</v>
      </c>
      <c r="B5414" s="1"/>
    </row>
    <row r="5415">
      <c r="A5415" s="1" t="str">
        <f>IFERROR(__xludf.DUMMYFUNCTION("""COMPUTED_VALUE"""),"103173;INF209K01BO6;INF209K01EC5;Aditya Birla Sun Life Frontline Equity Fund-Regular - IDCW;35.29;25-Aug-2023")</f>
        <v>103173;INF209K01BO6;INF209K01EC5;Aditya Birla Sun Life Frontline Equity Fund-Regular - IDCW;35.29;25-Aug-2023</v>
      </c>
      <c r="B5415" s="1"/>
    </row>
    <row r="5416">
      <c r="A5416" s="1"/>
      <c r="B5416" s="1"/>
    </row>
    <row r="5417">
      <c r="A5417" s="1" t="str">
        <f>IFERROR(__xludf.DUMMYFUNCTION("""COMPUTED_VALUE"""),"Axis Mutual Fund")</f>
        <v>Axis Mutual Fund</v>
      </c>
      <c r="B5417" s="1"/>
    </row>
    <row r="5418">
      <c r="A5418" s="1"/>
      <c r="B5418" s="1"/>
    </row>
    <row r="5419">
      <c r="A5419" s="1" t="str">
        <f>IFERROR(__xludf.DUMMYFUNCTION("""COMPUTED_VALUE"""),"120465;INF846K01DP8;-;Axis Bluechip Fund - Direct Plan - Growth;51.43;25-Aug-2023")</f>
        <v>120465;INF846K01DP8;-;Axis Bluechip Fund - Direct Plan - Growth;51.43;25-Aug-2023</v>
      </c>
      <c r="B5419" s="1"/>
    </row>
    <row r="5420">
      <c r="A5420" s="1" t="str">
        <f>IFERROR(__xludf.DUMMYFUNCTION("""COMPUTED_VALUE"""),"120466;INF846K01DN3;INF846K01DO1;Axis Bluechip Fund - Direct Plan - IDCW;22.05;25-Aug-2023")</f>
        <v>120466;INF846K01DN3;INF846K01DO1;Axis Bluechip Fund - Direct Plan - IDCW;22.05;25-Aug-2023</v>
      </c>
      <c r="B5420" s="1"/>
    </row>
    <row r="5421">
      <c r="A5421" s="1" t="str">
        <f>IFERROR(__xludf.DUMMYFUNCTION("""COMPUTED_VALUE"""),"112277;INF846K01164;-;Axis Bluechip Fund - Regular Plan - Growth;45.48;25-Aug-2023")</f>
        <v>112277;INF846K01164;-;Axis Bluechip Fund - Regular Plan - Growth;45.48;25-Aug-2023</v>
      </c>
      <c r="B5421" s="1"/>
    </row>
    <row r="5422">
      <c r="A5422" s="1" t="str">
        <f>IFERROR(__xludf.DUMMYFUNCTION("""COMPUTED_VALUE"""),"112278;INF846K01172;INF846K01180;Axis Bluechip Fund - Regular Plan - IDCW;16.55;25-Aug-2023")</f>
        <v>112278;INF846K01172;INF846K01180;Axis Bluechip Fund - Regular Plan - IDCW;16.55;25-Aug-2023</v>
      </c>
      <c r="B5422" s="1"/>
    </row>
    <row r="5423">
      <c r="A5423" s="1"/>
      <c r="B5423" s="1"/>
    </row>
    <row r="5424">
      <c r="A5424" s="1" t="str">
        <f>IFERROR(__xludf.DUMMYFUNCTION("""COMPUTED_VALUE"""),"Bandhan Mutual Fund")</f>
        <v>Bandhan Mutual Fund</v>
      </c>
      <c r="B5424" s="1"/>
    </row>
    <row r="5425">
      <c r="A5425" s="1"/>
      <c r="B5425" s="1"/>
    </row>
    <row r="5426">
      <c r="A5426" s="1" t="str">
        <f>IFERROR(__xludf.DUMMYFUNCTION("""COMPUTED_VALUE"""),"108799;INF194K01516;-;BANDHAN Large Cap Fund - Regular Plan - Growth;54.470;25-Aug-2023")</f>
        <v>108799;INF194K01516;-;BANDHAN Large Cap Fund - Regular Plan - Growth;54.470;25-Aug-2023</v>
      </c>
      <c r="B5426" s="1"/>
    </row>
    <row r="5427">
      <c r="A5427" s="1" t="str">
        <f>IFERROR(__xludf.DUMMYFUNCTION("""COMPUTED_VALUE"""),"108800;INF194K01490;INF194K01508;BANDHAN Large Cap Fund - Regular Plan - IDCW;18.529;25-Aug-2023")</f>
        <v>108800;INF194K01490;INF194K01508;BANDHAN Large Cap Fund - Regular Plan - IDCW;18.529;25-Aug-2023</v>
      </c>
      <c r="B5427" s="1"/>
    </row>
    <row r="5428">
      <c r="A5428" s="1" t="str">
        <f>IFERROR(__xludf.DUMMYFUNCTION("""COMPUTED_VALUE"""),"118479;INF194K01Z44;-;BANDHAN Large Cap Fund-Direct Plan-Growth;61.183;25-Aug-2023")</f>
        <v>118479;INF194K01Z44;-;BANDHAN Large Cap Fund-Direct Plan-Growth;61.183;25-Aug-2023</v>
      </c>
      <c r="B5428" s="1"/>
    </row>
    <row r="5429">
      <c r="A5429" s="1" t="str">
        <f>IFERROR(__xludf.DUMMYFUNCTION("""COMPUTED_VALUE"""),"118478;INF194K01Z51;INF194K01Z69;BANDHAN Large Cap Fund-Direct Plan-IDCW;23.772;25-Aug-2023")</f>
        <v>118478;INF194K01Z51;INF194K01Z69;BANDHAN Large Cap Fund-Direct Plan-IDCW;23.772;25-Aug-2023</v>
      </c>
      <c r="B5429" s="1"/>
    </row>
    <row r="5430">
      <c r="A5430" s="1"/>
      <c r="B5430" s="1"/>
    </row>
    <row r="5431">
      <c r="A5431" s="1" t="str">
        <f>IFERROR(__xludf.DUMMYFUNCTION("""COMPUTED_VALUE"""),"Bank of India Mutual Fund")</f>
        <v>Bank of India Mutual Fund</v>
      </c>
      <c r="B5431" s="1"/>
    </row>
    <row r="5432">
      <c r="A5432" s="1"/>
      <c r="B5432" s="1"/>
    </row>
    <row r="5433">
      <c r="A5433" s="1" t="str">
        <f>IFERROR(__xludf.DUMMYFUNCTION("""COMPUTED_VALUE"""),"148980;INF761K01FL3;-;BANK OF INDIA Bluechip Fund Direct Plan Growth;11.89;25-Aug-2023")</f>
        <v>148980;INF761K01FL3;-;BANK OF INDIA Bluechip Fund Direct Plan Growth;11.89;25-Aug-2023</v>
      </c>
      <c r="B5433" s="1"/>
    </row>
    <row r="5434">
      <c r="A5434" s="1" t="str">
        <f>IFERROR(__xludf.DUMMYFUNCTION("""COMPUTED_VALUE"""),"148981;INF761K01FK5;INF761K01FM1;BANK OF INDIA Bluechip Fund Direct Plan IDCW;11.88;25-Aug-2023")</f>
        <v>148981;INF761K01FK5;INF761K01FM1;BANK OF INDIA Bluechip Fund Direct Plan IDCW;11.88;25-Aug-2023</v>
      </c>
      <c r="B5434" s="1"/>
    </row>
    <row r="5435">
      <c r="A5435" s="1" t="str">
        <f>IFERROR(__xludf.DUMMYFUNCTION("""COMPUTED_VALUE"""),"148982;INF761K01FO7;-;BANK OF INDIA Bluechip Fund Regular Plan Growth;11.57;25-Aug-2023")</f>
        <v>148982;INF761K01FO7;-;BANK OF INDIA Bluechip Fund Regular Plan Growth;11.57;25-Aug-2023</v>
      </c>
      <c r="B5435" s="1"/>
    </row>
    <row r="5436">
      <c r="A5436" s="1" t="str">
        <f>IFERROR(__xludf.DUMMYFUNCTION("""COMPUTED_VALUE"""),"148983;INF761K01FN9;INF761K01FP4;BANK OF INDIA Bluechip Fund Regular Plan IDCW;11.57;25-Aug-2023")</f>
        <v>148983;INF761K01FN9;INF761K01FP4;BANK OF INDIA Bluechip Fund Regular Plan IDCW;11.57;25-Aug-2023</v>
      </c>
      <c r="B5436" s="1"/>
    </row>
    <row r="5437">
      <c r="A5437" s="1"/>
      <c r="B5437" s="1"/>
    </row>
    <row r="5438">
      <c r="A5438" s="1" t="str">
        <f>IFERROR(__xludf.DUMMYFUNCTION("""COMPUTED_VALUE"""),"Baroda BNP Paribas Mutual Fund")</f>
        <v>Baroda BNP Paribas Mutual Fund</v>
      </c>
      <c r="B5438" s="1"/>
    </row>
    <row r="5439">
      <c r="A5439" s="1"/>
      <c r="B5439" s="1"/>
    </row>
    <row r="5440">
      <c r="A5440" s="1" t="str">
        <f>IFERROR(__xludf.DUMMYFUNCTION("""COMPUTED_VALUE"""),"150187;INF251K01HN7;-;BARODA BNP PARIBAS LARGE CAP Fund - Direct Plan - Growth Option;178.7009;25-Aug-2023")</f>
        <v>150187;INF251K01HN7;-;BARODA BNP PARIBAS LARGE CAP Fund - Direct Plan - Growth Option;178.7009;25-Aug-2023</v>
      </c>
      <c r="B5440" s="1"/>
    </row>
    <row r="5441">
      <c r="A5441" s="1" t="str">
        <f>IFERROR(__xludf.DUMMYFUNCTION("""COMPUTED_VALUE"""),"150188;INF251K01HL1;INF251K01HM9;BARODA BNP PARIBAS LARGE CAP Fund - Direct Plan - IDCW Option;23.8286;25-Aug-2023")</f>
        <v>150188;INF251K01HL1;INF251K01HM9;BARODA BNP PARIBAS LARGE CAP Fund - Direct Plan - IDCW Option;23.8286;25-Aug-2023</v>
      </c>
      <c r="B5441" s="1"/>
    </row>
    <row r="5442">
      <c r="A5442" s="1" t="str">
        <f>IFERROR(__xludf.DUMMYFUNCTION("""COMPUTED_VALUE"""),"150186;INF251K01910;INF251K01902;BARODA BNP PARIBAS LARGE CAP Fund - Regular Plan - IDCW Option;20.2812;25-Aug-2023")</f>
        <v>150186;INF251K01910;INF251K01902;BARODA BNP PARIBAS LARGE CAP Fund - Regular Plan - IDCW Option;20.2812;25-Aug-2023</v>
      </c>
      <c r="B5442" s="1"/>
    </row>
    <row r="5443">
      <c r="A5443" s="1" t="str">
        <f>IFERROR(__xludf.DUMMYFUNCTION("""COMPUTED_VALUE"""),"150185;INF251K01894;-;BARODA BNP PARIBAS LARGE CAP Fund- Regular Plan - Growth Option;158.4210;25-Aug-2023")</f>
        <v>150185;INF251K01894;-;BARODA BNP PARIBAS LARGE CAP Fund- Regular Plan - Growth Option;158.4210;25-Aug-2023</v>
      </c>
      <c r="B5443" s="1"/>
    </row>
    <row r="5444">
      <c r="A5444" s="1"/>
      <c r="B5444" s="1"/>
    </row>
    <row r="5445">
      <c r="A5445" s="1" t="str">
        <f>IFERROR(__xludf.DUMMYFUNCTION("""COMPUTED_VALUE"""),"Canara Robeco Mutual Fund")</f>
        <v>Canara Robeco Mutual Fund</v>
      </c>
      <c r="B5445" s="1"/>
    </row>
    <row r="5446">
      <c r="A5446" s="1"/>
      <c r="B5446" s="1"/>
    </row>
    <row r="5447">
      <c r="A5447" s="1" t="str">
        <f>IFERROR(__xludf.DUMMYFUNCTION("""COMPUTED_VALUE"""),"118269;INF760K01FR2;-;CANARA ROBECO BLUE CHIP EQUITY FUND - DIRECT PLAN - GROWTH OPTION;51.4800;25-Aug-2023")</f>
        <v>118269;INF760K01FR2;-;CANARA ROBECO BLUE CHIP EQUITY FUND - DIRECT PLAN - GROWTH OPTION;51.4800;25-Aug-2023</v>
      </c>
      <c r="B5447" s="1"/>
    </row>
    <row r="5448">
      <c r="A5448" s="1" t="str">
        <f>IFERROR(__xludf.DUMMYFUNCTION("""COMPUTED_VALUE"""),"118270;INF760K01FP6;INF760K01FQ4;CANARA ROBECO BLUE CHIP EQUITY FUND - DIRECT PLAN - IDCW (Payout/Reinvestment);41.4900;25-Aug-2023")</f>
        <v>118270;INF760K01FP6;INF760K01FQ4;CANARA ROBECO BLUE CHIP EQUITY FUND - DIRECT PLAN - IDCW (Payout/Reinvestment);41.4900;25-Aug-2023</v>
      </c>
      <c r="B5448" s="1"/>
    </row>
    <row r="5449">
      <c r="A5449" s="1" t="str">
        <f>IFERROR(__xludf.DUMMYFUNCTION("""COMPUTED_VALUE"""),"113221;INF760K01AR3;-;CANARA ROBECO BLUE CHIP EQUITY FUND - REGULAR PLAN - GROWTH OPTION;45.5800;25-Aug-2023")</f>
        <v>113221;INF760K01AR3;-;CANARA ROBECO BLUE CHIP EQUITY FUND - REGULAR PLAN - GROWTH OPTION;45.5800;25-Aug-2023</v>
      </c>
      <c r="B5449" s="1"/>
    </row>
    <row r="5450">
      <c r="A5450" s="1" t="str">
        <f>IFERROR(__xludf.DUMMYFUNCTION("""COMPUTED_VALUE"""),"113222;INF760K01AS1;INF760K01AT9;CANARA ROBECO BLUE CHIP EQUITY FUND - REGULAR PLAN - IDCW (Payout/Reinvestment);23.2800;25-Aug-2023")</f>
        <v>113222;INF760K01AS1;INF760K01AT9;CANARA ROBECO BLUE CHIP EQUITY FUND - REGULAR PLAN - IDCW (Payout/Reinvestment);23.2800;25-Aug-2023</v>
      </c>
      <c r="B5450" s="1"/>
    </row>
    <row r="5451">
      <c r="A5451" s="1"/>
      <c r="B5451" s="1"/>
    </row>
    <row r="5452">
      <c r="A5452" s="1" t="str">
        <f>IFERROR(__xludf.DUMMYFUNCTION("""COMPUTED_VALUE"""),"DSP Mutual Fund")</f>
        <v>DSP Mutual Fund</v>
      </c>
      <c r="B5452" s="1"/>
    </row>
    <row r="5453">
      <c r="A5453" s="1"/>
      <c r="B5453" s="1"/>
    </row>
    <row r="5454">
      <c r="A5454" s="1" t="str">
        <f>IFERROR(__xludf.DUMMYFUNCTION("""COMPUTED_VALUE"""),"119250;INF740K01PR3;-;DSP Top 100 Equity Fund - Direct Plan - Growth;355.745;25-Aug-2023")</f>
        <v>119250;INF740K01PR3;-;DSP Top 100 Equity Fund - Direct Plan - Growth;355.745;25-Aug-2023</v>
      </c>
      <c r="B5454" s="1"/>
    </row>
    <row r="5455">
      <c r="A5455" s="1" t="str">
        <f>IFERROR(__xludf.DUMMYFUNCTION("""COMPUTED_VALUE"""),"119249;INF740K01PS1;INF740K01PT9;DSP Top 100 Equity Fund - Direct Plan - IDCW;24.594;25-Aug-2023")</f>
        <v>119249;INF740K01PS1;INF740K01PT9;DSP Top 100 Equity Fund - Direct Plan - IDCW;24.594;25-Aug-2023</v>
      </c>
      <c r="B5455" s="1"/>
    </row>
    <row r="5456">
      <c r="A5456" s="1" t="str">
        <f>IFERROR(__xludf.DUMMYFUNCTION("""COMPUTED_VALUE"""),"101635;INF740K01243;-;DSP Top 100 Equity Fund - Regular Plan - Growth;330.709;25-Aug-2023")</f>
        <v>101635;INF740K01243;-;DSP Top 100 Equity Fund - Regular Plan - Growth;330.709;25-Aug-2023</v>
      </c>
      <c r="B5456" s="1"/>
    </row>
    <row r="5457">
      <c r="A5457" s="1" t="str">
        <f>IFERROR(__xludf.DUMMYFUNCTION("""COMPUTED_VALUE"""),"101636;INF740K01227;INF740K01235;DSP Top 100 Equity Fund - Regular Plan - IDCW;21.805;25-Aug-2023")</f>
        <v>101636;INF740K01227;INF740K01235;DSP Top 100 Equity Fund - Regular Plan - IDCW;21.805;25-Aug-2023</v>
      </c>
      <c r="B5457" s="1"/>
    </row>
    <row r="5458">
      <c r="A5458" s="1"/>
      <c r="B5458" s="1"/>
    </row>
    <row r="5459">
      <c r="A5459" s="1" t="str">
        <f>IFERROR(__xludf.DUMMYFUNCTION("""COMPUTED_VALUE"""),"Edelweiss Mutual Fund")</f>
        <v>Edelweiss Mutual Fund</v>
      </c>
      <c r="B5459" s="1"/>
    </row>
    <row r="5460">
      <c r="A5460" s="1"/>
      <c r="B5460" s="1"/>
    </row>
    <row r="5461">
      <c r="A5461" s="1" t="str">
        <f>IFERROR(__xludf.DUMMYFUNCTION("""COMPUTED_VALUE"""),"118616;INF754K01BT0;INF754K01BU8;Edelweiss Large Cap Fund - Direct Plan - IDCW Option;31.61;25-Aug-2023")</f>
        <v>118616;INF754K01BT0;INF754K01BU8;Edelweiss Large Cap Fund - Direct Plan - IDCW Option;31.61;25-Aug-2023</v>
      </c>
      <c r="B5461" s="1"/>
    </row>
    <row r="5462">
      <c r="A5462" s="1" t="str">
        <f>IFERROR(__xludf.DUMMYFUNCTION("""COMPUTED_VALUE"""),"118617;INF754K01BW4;-;Edelweiss Large Cap Fund - Direct Plan-Growth option;69.69;25-Aug-2023")</f>
        <v>118617;INF754K01BW4;-;Edelweiss Large Cap Fund - Direct Plan-Growth option;69.69;25-Aug-2023</v>
      </c>
      <c r="B5462" s="1"/>
    </row>
    <row r="5463">
      <c r="A5463" s="1" t="str">
        <f>IFERROR(__xludf.DUMMYFUNCTION("""COMPUTED_VALUE"""),"111938;INF754K01053;INF754K01061;Edelweiss Large Cap Fund - Plan B - IDCW Option;63.63;25-Aug-2023")</f>
        <v>111938;INF754K01053;INF754K01061;Edelweiss Large Cap Fund - Plan B - IDCW Option;63.63;25-Aug-2023</v>
      </c>
      <c r="B5463" s="1"/>
    </row>
    <row r="5464">
      <c r="A5464" s="1" t="str">
        <f>IFERROR(__xludf.DUMMYFUNCTION("""COMPUTED_VALUE"""),"111939;INF754K01095;INF754K01103;Edelweiss Large Cap Fund - Plan C - IDCW Option;50.72;25-Aug-2023")</f>
        <v>111939;INF754K01095;INF754K01103;Edelweiss Large Cap Fund - Plan C - IDCW Option;50.72;25-Aug-2023</v>
      </c>
      <c r="B5464" s="1"/>
    </row>
    <row r="5465">
      <c r="A5465" s="1" t="str">
        <f>IFERROR(__xludf.DUMMYFUNCTION("""COMPUTED_VALUE"""),"111940;INF754K01046;-;Edelweiss Large Cap Fund - Regular Plan - Growth Option;62.5;25-Aug-2023")</f>
        <v>111940;INF754K01046;-;Edelweiss Large Cap Fund - Regular Plan - Growth Option;62.5;25-Aug-2023</v>
      </c>
      <c r="B5465" s="1"/>
    </row>
    <row r="5466">
      <c r="A5466" s="1" t="str">
        <f>IFERROR(__xludf.DUMMYFUNCTION("""COMPUTED_VALUE"""),"111936;INF754K01012;INF754K01020;Edelweiss Large Cap Fund - Regular Plan - IDCW Option;23.88;25-Aug-2023")</f>
        <v>111936;INF754K01012;INF754K01020;Edelweiss Large Cap Fund - Regular Plan - IDCW Option;23.88;25-Aug-2023</v>
      </c>
      <c r="B5466" s="1"/>
    </row>
    <row r="5467">
      <c r="A5467" s="1" t="str">
        <f>IFERROR(__xludf.DUMMYFUNCTION("""COMPUTED_VALUE"""),"111935;INF754K01087;-;Edelweiss Large Cap Fund -Plan B - Growth option;62.88;25-Aug-2023")</f>
        <v>111935;INF754K01087;-;Edelweiss Large Cap Fund -Plan B - Growth option;62.88;25-Aug-2023</v>
      </c>
      <c r="B5467" s="1"/>
    </row>
    <row r="5468">
      <c r="A5468" s="1" t="str">
        <f>IFERROR(__xludf.DUMMYFUNCTION("""COMPUTED_VALUE"""),"111937;INF754K01129;-;Edelweiss Large Cap Fund -Plan C - Growth option;62.06;25-Aug-2023")</f>
        <v>111937;INF754K01129;-;Edelweiss Large Cap Fund -Plan C - Growth option;62.06;25-Aug-2023</v>
      </c>
      <c r="B5468" s="1"/>
    </row>
    <row r="5469">
      <c r="A5469" s="1"/>
      <c r="B5469" s="1"/>
    </row>
    <row r="5470">
      <c r="A5470" s="1" t="str">
        <f>IFERROR(__xludf.DUMMYFUNCTION("""COMPUTED_VALUE"""),"Franklin Templeton Mutual Fund")</f>
        <v>Franklin Templeton Mutual Fund</v>
      </c>
      <c r="B5470" s="1"/>
    </row>
    <row r="5471">
      <c r="A5471" s="1"/>
      <c r="B5471" s="1"/>
    </row>
    <row r="5472">
      <c r="A5472" s="1" t="str">
        <f>IFERROR(__xludf.DUMMYFUNCTION("""COMPUTED_VALUE"""),"118462;INF090I01FO5;INF090I01FP2;Franklin India BLUECHIP FUND - Direct - IDCW ;47.6404;25-Aug-2023")</f>
        <v>118462;INF090I01FO5;INF090I01FP2;Franklin India BLUECHIP FUND - Direct - IDCW ;47.6404;25-Aug-2023</v>
      </c>
      <c r="B5472" s="1"/>
    </row>
    <row r="5473">
      <c r="A5473" s="1" t="str">
        <f>IFERROR(__xludf.DUMMYFUNCTION("""COMPUTED_VALUE"""),"100470;INF090I01155;INF090I01163;Franklin India BLUECHIP FUND - IDCW ;41.6792;25-Aug-2023")</f>
        <v>100470;INF090I01155;INF090I01163;Franklin India BLUECHIP FUND - IDCW ;41.6792;25-Aug-2023</v>
      </c>
      <c r="B5473" s="1"/>
    </row>
    <row r="5474">
      <c r="A5474" s="1" t="str">
        <f>IFERROR(__xludf.DUMMYFUNCTION("""COMPUTED_VALUE"""),"118531;INF090I01FN7;-;Franklin India Bluechip Fund- Direct - Growth;820.2190;25-Aug-2023")</f>
        <v>118531;INF090I01FN7;-;Franklin India Bluechip Fund- Direct - Growth;820.2190;25-Aug-2023</v>
      </c>
      <c r="B5474" s="1"/>
    </row>
    <row r="5475">
      <c r="A5475" s="1" t="str">
        <f>IFERROR(__xludf.DUMMYFUNCTION("""COMPUTED_VALUE"""),"100471;INF090I01171;-;Franklin India Bluechip Fund-Growth;752.1241;25-Aug-2023")</f>
        <v>100471;INF090I01171;-;Franklin India Bluechip Fund-Growth;752.1241;25-Aug-2023</v>
      </c>
      <c r="B5475" s="1"/>
    </row>
    <row r="5476">
      <c r="A5476" s="1"/>
      <c r="B5476" s="1"/>
    </row>
    <row r="5477">
      <c r="A5477" s="1" t="str">
        <f>IFERROR(__xludf.DUMMYFUNCTION("""COMPUTED_VALUE"""),"Groww Mutual Fund")</f>
        <v>Groww Mutual Fund</v>
      </c>
      <c r="B5477" s="1"/>
    </row>
    <row r="5478">
      <c r="A5478" s="1"/>
      <c r="B5478" s="1"/>
    </row>
    <row r="5479">
      <c r="A5479" s="1" t="str">
        <f>IFERROR(__xludf.DUMMYFUNCTION("""COMPUTED_VALUE"""),"119133;INF666M01600;-;Groww Largecap Fund (formerly known as Indiabulls Blue Chip Fund) - Direct Plan - Growth Option;36.77;25-Aug-2023")</f>
        <v>119133;INF666M01600;-;Groww Largecap Fund (formerly known as Indiabulls Blue Chip Fund) - Direct Plan - Growth Option;36.77;25-Aug-2023</v>
      </c>
      <c r="B5479" s="1"/>
    </row>
    <row r="5480">
      <c r="A5480" s="1" t="str">
        <f>IFERROR(__xludf.DUMMYFUNCTION("""COMPUTED_VALUE"""),"116547;INF666M01162;-;Groww Largecap Fund (formerly known as Indiabulls Blue Chip Fund) - Regular Plan- Growth Option;31.48;25-Aug-2023")</f>
        <v>116547;INF666M01162;-;Groww Largecap Fund (formerly known as Indiabulls Blue Chip Fund) - Regular Plan- Growth Option;31.48;25-Aug-2023</v>
      </c>
      <c r="B5480" s="1"/>
    </row>
    <row r="5481">
      <c r="A5481" s="1" t="str">
        <f>IFERROR(__xludf.DUMMYFUNCTION("""COMPUTED_VALUE"""),"119134;INF666M01626;INF666M01618;Groww Largecap Fund (formerly known as Indiabulls Bluechip Fund)- Direct Plan- - Income Distribution cum capital withdrawal Option (Payout &amp; Reinvestment);21.32;25-Aug-2023")</f>
        <v>119134;INF666M01626;INF666M01618;Groww Largecap Fund (formerly known as Indiabulls Bluechip Fund)- Direct Plan- - Income Distribution cum capital withdrawal Option (Payout &amp; Reinvestment);21.32;25-Aug-2023</v>
      </c>
      <c r="B5481" s="1"/>
    </row>
    <row r="5482">
      <c r="A5482" s="1" t="str">
        <f>IFERROR(__xludf.DUMMYFUNCTION("""COMPUTED_VALUE"""),"140814;INF666M01CQ6;INF666M01CR4;Groww Largecap Fund (formerly known as Indiabulls Bluechip Fund)- Direct Plan- Half Yearly -Income Distribution cum capital withdrawal Option (Payout &amp; Reinvestment);20.69;25-Aug-2023")</f>
        <v>140814;INF666M01CQ6;INF666M01CR4;Groww Largecap Fund (formerly known as Indiabulls Bluechip Fund)- Direct Plan- Half Yearly -Income Distribution cum capital withdrawal Option (Payout &amp; Reinvestment);20.69;25-Aug-2023</v>
      </c>
      <c r="B5482" s="1"/>
    </row>
    <row r="5483">
      <c r="A5483" s="1" t="str">
        <f>IFERROR(__xludf.DUMMYFUNCTION("""COMPUTED_VALUE"""),"140809;INF666M01CM5;INF666M01CN3;Groww Largecap Fund (formerly known as Indiabulls Bluechip Fund)- Direct Plan- Monthly - Income Distribution cum capital withdrawal Option (Payout &amp; Reinvestment);16.44;25-Aug-2023")</f>
        <v>140809;INF666M01CM5;INF666M01CN3;Groww Largecap Fund (formerly known as Indiabulls Bluechip Fund)- Direct Plan- Monthly - Income Distribution cum capital withdrawal Option (Payout &amp; Reinvestment);16.44;25-Aug-2023</v>
      </c>
      <c r="B5483" s="1"/>
    </row>
    <row r="5484">
      <c r="A5484" s="1" t="str">
        <f>IFERROR(__xludf.DUMMYFUNCTION("""COMPUTED_VALUE"""),"140811;INF666M01CO1;INF666M01CP8;Groww Largecap Fund (formerly known as Indiabulls Bluechip Fund)- Direct Plan- Quarterly - Income Distribution cum capital withdrawal Option (Payout &amp; Reinvestment);20.53;25-Aug-2023")</f>
        <v>140811;INF666M01CO1;INF666M01CP8;Groww Largecap Fund (formerly known as Indiabulls Bluechip Fund)- Direct Plan- Quarterly - Income Distribution cum capital withdrawal Option (Payout &amp; Reinvestment);20.53;25-Aug-2023</v>
      </c>
      <c r="B5484" s="1"/>
    </row>
    <row r="5485">
      <c r="A5485" s="1" t="str">
        <f>IFERROR(__xludf.DUMMYFUNCTION("""COMPUTED_VALUE"""),"116548;INF666M01188;INF666M01170;Groww Largecap Fund (formerly known as Indiabulls Bluechip Fund)- Regular Plan- - Income Distribution cum capital withdrawal Option (Payout &amp; Reinvestment);17.74;25-Aug-2023")</f>
        <v>116548;INF666M01188;INF666M01170;Groww Largecap Fund (formerly known as Indiabulls Bluechip Fund)- Regular Plan- - Income Distribution cum capital withdrawal Option (Payout &amp; Reinvestment);17.74;25-Aug-2023</v>
      </c>
      <c r="B5485" s="1"/>
    </row>
    <row r="5486">
      <c r="A5486" s="1" t="str">
        <f>IFERROR(__xludf.DUMMYFUNCTION("""COMPUTED_VALUE"""),"140813;INF666M01CW4;INF666M01CX2;Groww Largecap Fund (formerly known as Indiabulls Bluechip Fund)- Regular Plan- Half Yearly - Income Distribution cum capital withdrawal Option (Payout &amp; Reinvestment);18.9;25-Aug-2023")</f>
        <v>140813;INF666M01CW4;INF666M01CX2;Groww Largecap Fund (formerly known as Indiabulls Bluechip Fund)- Regular Plan- Half Yearly - Income Distribution cum capital withdrawal Option (Payout &amp; Reinvestment);18.9;25-Aug-2023</v>
      </c>
      <c r="B5486" s="1"/>
    </row>
    <row r="5487">
      <c r="A5487" s="1" t="str">
        <f>IFERROR(__xludf.DUMMYFUNCTION("""COMPUTED_VALUE"""),"140810;INF666M01CS2;INF666M01CT0;Groww Largecap Fund (formerly known as Indiabulls Bluechip Fund)- Regular Plan- Monthly - Income Distribution cum capital withdrawal Option (Payout &amp; Reinvestment);18.13;25-Aug-2023")</f>
        <v>140810;INF666M01CS2;INF666M01CT0;Groww Largecap Fund (formerly known as Indiabulls Bluechip Fund)- Regular Plan- Monthly - Income Distribution cum capital withdrawal Option (Payout &amp; Reinvestment);18.13;25-Aug-2023</v>
      </c>
      <c r="B5487" s="1"/>
    </row>
    <row r="5488">
      <c r="A5488" s="1" t="str">
        <f>IFERROR(__xludf.DUMMYFUNCTION("""COMPUTED_VALUE"""),"140812;INF666M01CU8;INF666M01CV6;Groww Largecap Fund (formerly known as Indiabulls Bluechip Fund)- Regular Plan- Quarterly - Income Distribution cum capital withdrawal Option (Payout &amp; Reinvestment);18.8;25-Aug-2023")</f>
        <v>140812;INF666M01CU8;INF666M01CV6;Groww Largecap Fund (formerly known as Indiabulls Bluechip Fund)- Regular Plan- Quarterly - Income Distribution cum capital withdrawal Option (Payout &amp; Reinvestment);18.8;25-Aug-2023</v>
      </c>
      <c r="B5488" s="1"/>
    </row>
    <row r="5489">
      <c r="A5489" s="1"/>
      <c r="B5489" s="1"/>
    </row>
    <row r="5490">
      <c r="A5490" s="1" t="str">
        <f>IFERROR(__xludf.DUMMYFUNCTION("""COMPUTED_VALUE"""),"HDFC Mutual Fund")</f>
        <v>HDFC Mutual Fund</v>
      </c>
      <c r="B5490" s="1"/>
    </row>
    <row r="5491">
      <c r="A5491" s="1"/>
      <c r="B5491" s="1"/>
    </row>
    <row r="5492">
      <c r="A5492" s="1" t="str">
        <f>IFERROR(__xludf.DUMMYFUNCTION("""COMPUTED_VALUE"""),"119018;INF179K01YV8;-;HDFC Top 100 Fund - Growth Option - Direct Plan;900.724;25-Aug-2023")</f>
        <v>119018;INF179K01YV8;-;HDFC Top 100 Fund - Growth Option - Direct Plan;900.724;25-Aug-2023</v>
      </c>
      <c r="B5492" s="1"/>
    </row>
    <row r="5493">
      <c r="A5493" s="1" t="str">
        <f>IFERROR(__xludf.DUMMYFUNCTION("""COMPUTED_VALUE"""),"102000;INF179K01BE2;-;HDFC Top 100 Fund - Growth Option - Regular Plan;842.262;25-Aug-2023")</f>
        <v>102000;INF179K01BE2;-;HDFC Top 100 Fund - Growth Option - Regular Plan;842.262;25-Aug-2023</v>
      </c>
      <c r="B5493" s="1"/>
    </row>
    <row r="5494">
      <c r="A5494" s="1" t="str">
        <f>IFERROR(__xludf.DUMMYFUNCTION("""COMPUTED_VALUE"""),"119017;INF179K01YT2;INF179K01YU0;HDFC Top 100 Fund - IDCW Option - Direct Plan;58.551;25-Aug-2023")</f>
        <v>119017;INF179K01YT2;INF179K01YU0;HDFC Top 100 Fund - IDCW Option - Direct Plan;58.551;25-Aug-2023</v>
      </c>
      <c r="B5494" s="1"/>
    </row>
    <row r="5495">
      <c r="A5495" s="1" t="str">
        <f>IFERROR(__xludf.DUMMYFUNCTION("""COMPUTED_VALUE"""),"102001;INF179K01BC6;INF179K01BD4;HDFC Top 100 Fund - IDCW Option - Regular Plan;51.619;25-Aug-2023")</f>
        <v>102001;INF179K01BC6;INF179K01BD4;HDFC Top 100 Fund - IDCW Option - Regular Plan;51.619;25-Aug-2023</v>
      </c>
      <c r="B5495" s="1"/>
    </row>
    <row r="5496">
      <c r="A5496" s="1"/>
      <c r="B5496" s="1"/>
    </row>
    <row r="5497">
      <c r="A5497" s="1" t="str">
        <f>IFERROR(__xludf.DUMMYFUNCTION("""COMPUTED_VALUE"""),"HSBC Mutual Fund")</f>
        <v>HSBC Mutual Fund</v>
      </c>
      <c r="B5497" s="1"/>
    </row>
    <row r="5498">
      <c r="A5498" s="1"/>
      <c r="B5498" s="1"/>
    </row>
    <row r="5499">
      <c r="A5499" s="1" t="str">
        <f>IFERROR(__xludf.DUMMYFUNCTION("""COMPUTED_VALUE"""),"120030;INF336L01CM7;-;HSBC Large Cap Fund - Direct Growth;384.4339;25-Aug-2023")</f>
        <v>120030;INF336L01CM7;-;HSBC Large Cap Fund - Direct Growth;384.4339;25-Aug-2023</v>
      </c>
      <c r="B5499" s="1"/>
    </row>
    <row r="5500">
      <c r="A5500" s="1" t="str">
        <f>IFERROR(__xludf.DUMMYFUNCTION("""COMPUTED_VALUE"""),"120029;INF336L01CK1;INF336L01CL9;HSBC Large Cap Fund - Direct IDCW;38.4009;25-Aug-2023")</f>
        <v>120029;INF336L01CK1;INF336L01CL9;HSBC Large Cap Fund - Direct IDCW;38.4009;25-Aug-2023</v>
      </c>
      <c r="B5500" s="1"/>
    </row>
    <row r="5501">
      <c r="A5501" s="1" t="str">
        <f>IFERROR(__xludf.DUMMYFUNCTION("""COMPUTED_VALUE"""),"101594;INF336L01016;-;HSBC Large Cap Fund - Regular Growth;352.2653;25-Aug-2023")</f>
        <v>101594;INF336L01016;-;HSBC Large Cap Fund - Regular Growth;352.2653;25-Aug-2023</v>
      </c>
      <c r="B5501" s="1"/>
    </row>
    <row r="5502">
      <c r="A5502" s="1" t="str">
        <f>IFERROR(__xludf.DUMMYFUNCTION("""COMPUTED_VALUE"""),"101593;INF336L01024;INF336L01032;HSBC Large Cap Fund - Regular IDCW;40.9575;25-Aug-2023")</f>
        <v>101593;INF336L01024;INF336L01032;HSBC Large Cap Fund - Regular IDCW;40.9575;25-Aug-2023</v>
      </c>
      <c r="B5502" s="1"/>
    </row>
    <row r="5503">
      <c r="A5503" s="1"/>
      <c r="B5503" s="1"/>
    </row>
    <row r="5504">
      <c r="A5504" s="1" t="str">
        <f>IFERROR(__xludf.DUMMYFUNCTION("""COMPUTED_VALUE"""),"ICICI Prudential Mutual Fund")</f>
        <v>ICICI Prudential Mutual Fund</v>
      </c>
      <c r="B5504" s="1"/>
    </row>
    <row r="5505">
      <c r="A5505" s="1"/>
      <c r="B5505" s="1"/>
    </row>
    <row r="5506">
      <c r="A5506" s="1" t="str">
        <f>IFERROR(__xludf.DUMMYFUNCTION("""COMPUTED_VALUE"""),"120586;INF109K016L0;-;ICICI Prudential Bluechip Fund - Direct Plan - Growth;83.32;25-Aug-2023")</f>
        <v>120586;INF109K016L0;-;ICICI Prudential Bluechip Fund - Direct Plan - Growth;83.32;25-Aug-2023</v>
      </c>
      <c r="B5506" s="1"/>
    </row>
    <row r="5507">
      <c r="A5507" s="1" t="str">
        <f>IFERROR(__xludf.DUMMYFUNCTION("""COMPUTED_VALUE"""),"120585;INF109K014L5;INF109K015L2;ICICI Prudential Bluechip Fund - Direct Plan - IDCW;48.05;25-Aug-2023")</f>
        <v>120585;INF109K014L5;INF109K015L2;ICICI Prudential Bluechip Fund - Direct Plan - IDCW;48.05;25-Aug-2023</v>
      </c>
      <c r="B5507" s="1"/>
    </row>
    <row r="5508">
      <c r="A5508" s="1" t="str">
        <f>IFERROR(__xludf.DUMMYFUNCTION("""COMPUTED_VALUE"""),"108466;INF109K01BL4;-;ICICI Prudential Bluechip Fund - Growth;76.70;25-Aug-2023")</f>
        <v>108466;INF109K01BL4;-;ICICI Prudential Bluechip Fund - Growth;76.70;25-Aug-2023</v>
      </c>
      <c r="B5508" s="1"/>
    </row>
    <row r="5509">
      <c r="A5509" s="1" t="str">
        <f>IFERROR(__xludf.DUMMYFUNCTION("""COMPUTED_VALUE"""),"108465;INF109K01EP9;INF109K01BM2;ICICI Prudential Bluechip Fund - IDCW;26.62;25-Aug-2023")</f>
        <v>108465;INF109K01EP9;INF109K01BM2;ICICI Prudential Bluechip Fund - IDCW;26.62;25-Aug-2023</v>
      </c>
      <c r="B5509" s="1"/>
    </row>
    <row r="5510">
      <c r="A5510" s="1" t="str">
        <f>IFERROR(__xludf.DUMMYFUNCTION("""COMPUTED_VALUE"""),"108467;INF109K01BN0;-;ICICI Prudential Bluechip Fund - Institutional Option - I - Growth;37.59;24-Apr-2020")</f>
        <v>108467;INF109K01BN0;-;ICICI Prudential Bluechip Fund - Institutional Option - I - Growth;37.59;24-Apr-2020</v>
      </c>
      <c r="B5510" s="1"/>
    </row>
    <row r="5511">
      <c r="A5511" s="1"/>
      <c r="B5511" s="1"/>
    </row>
    <row r="5512">
      <c r="A5512" s="1" t="str">
        <f>IFERROR(__xludf.DUMMYFUNCTION("""COMPUTED_VALUE"""),"Invesco Mutual Fund")</f>
        <v>Invesco Mutual Fund</v>
      </c>
      <c r="B5512" s="1"/>
    </row>
    <row r="5513">
      <c r="A5513" s="1"/>
      <c r="B5513" s="1"/>
    </row>
    <row r="5514">
      <c r="A5514" s="1" t="str">
        <f>IFERROR(__xludf.DUMMYFUNCTION("""COMPUTED_VALUE"""),"120392;INF205K01LB0;-;Invesco India Largecap Fund - Direct Plan - Growth;57.18;25-Aug-2023")</f>
        <v>120392;INF205K01LB0;-;Invesco India Largecap Fund - Direct Plan - Growth;57.18;25-Aug-2023</v>
      </c>
      <c r="B5514" s="1"/>
    </row>
    <row r="5515">
      <c r="A5515" s="1" t="str">
        <f>IFERROR(__xludf.DUMMYFUNCTION("""COMPUTED_VALUE"""),"120393;INF205K01KZ1;INF205K01LA2;Invesco India Largecap Fund - Direct Plan - IDCW (Payout / Reinvestment);30.16;25-Aug-2023")</f>
        <v>120393;INF205K01KZ1;INF205K01LA2;Invesco India Largecap Fund - Direct Plan - IDCW (Payout / Reinvestment);30.16;25-Aug-2023</v>
      </c>
      <c r="B5515" s="1"/>
    </row>
    <row r="5516">
      <c r="A5516" s="1" t="str">
        <f>IFERROR(__xludf.DUMMYFUNCTION("""COMPUTED_VALUE"""),"112098;INF205K01304;-;Invesco India Largecap Fund - Growth;48.91;25-Aug-2023")</f>
        <v>112098;INF205K01304;-;Invesco India Largecap Fund - Growth;48.91;25-Aug-2023</v>
      </c>
      <c r="B5516" s="1"/>
    </row>
    <row r="5517">
      <c r="A5517" s="1" t="str">
        <f>IFERROR(__xludf.DUMMYFUNCTION("""COMPUTED_VALUE"""),"112099;INF205K01320;INF205K01312;Invesco India Largecap Fund - IDCW (Payout / Reinvestment);25.17;25-Aug-2023")</f>
        <v>112099;INF205K01320;INF205K01312;Invesco India Largecap Fund - IDCW (Payout / Reinvestment);25.17;25-Aug-2023</v>
      </c>
      <c r="B5517" s="1"/>
    </row>
    <row r="5518">
      <c r="A5518" s="1"/>
      <c r="B5518" s="1"/>
    </row>
    <row r="5519">
      <c r="A5519" s="1" t="str">
        <f>IFERROR(__xludf.DUMMYFUNCTION("""COMPUTED_VALUE"""),"ITI Mutual Fund")</f>
        <v>ITI Mutual Fund</v>
      </c>
      <c r="B5519" s="1"/>
    </row>
    <row r="5520">
      <c r="A5520" s="1"/>
      <c r="B5520" s="1"/>
    </row>
    <row r="5521">
      <c r="A5521" s="1" t="str">
        <f>IFERROR(__xludf.DUMMYFUNCTION("""COMPUTED_VALUE"""),"148353;INF00XX01804;-;ITI Large Cap Fund - Direct Plan - Growth Option;13.9263;25-Aug-2023")</f>
        <v>148353;INF00XX01804;-;ITI Large Cap Fund - Direct Plan - Growth Option;13.9263;25-Aug-2023</v>
      </c>
      <c r="B5521" s="1"/>
    </row>
    <row r="5522">
      <c r="A5522" s="1" t="str">
        <f>IFERROR(__xludf.DUMMYFUNCTION("""COMPUTED_VALUE"""),"148352;INF00XX01812;INF00XX01820;ITI Large Cap Fund - Direct Plan - IDCW Option;13.9263;25-Aug-2023")</f>
        <v>148352;INF00XX01812;INF00XX01820;ITI Large Cap Fund - Direct Plan - IDCW Option;13.9263;25-Aug-2023</v>
      </c>
      <c r="B5522" s="1"/>
    </row>
    <row r="5523">
      <c r="A5523" s="1" t="str">
        <f>IFERROR(__xludf.DUMMYFUNCTION("""COMPUTED_VALUE"""),"148351;INF00XX01770;-;ITI Large Cap Fund - Regular Plan - Growth Option;13.1417;25-Aug-2023")</f>
        <v>148351;INF00XX01770;-;ITI Large Cap Fund - Regular Plan - Growth Option;13.1417;25-Aug-2023</v>
      </c>
      <c r="B5523" s="1"/>
    </row>
    <row r="5524">
      <c r="A5524" s="1" t="str">
        <f>IFERROR(__xludf.DUMMYFUNCTION("""COMPUTED_VALUE"""),"148354;INF00XX01788;INF00XX01796;ITI Large Cap Fund - Regular Plan - IDCW Option;13.1417;25-Aug-2023")</f>
        <v>148354;INF00XX01788;INF00XX01796;ITI Large Cap Fund - Regular Plan - IDCW Option;13.1417;25-Aug-2023</v>
      </c>
      <c r="B5524" s="1"/>
    </row>
    <row r="5525">
      <c r="A5525" s="1"/>
      <c r="B5525" s="1"/>
    </row>
    <row r="5526">
      <c r="A5526" s="1" t="str">
        <f>IFERROR(__xludf.DUMMYFUNCTION("""COMPUTED_VALUE"""),"JM Financial Mutual Fund")</f>
        <v>JM Financial Mutual Fund</v>
      </c>
      <c r="B5526" s="1"/>
    </row>
    <row r="5527">
      <c r="A5527" s="1"/>
      <c r="B5527" s="1"/>
    </row>
    <row r="5528">
      <c r="A5528" s="1" t="str">
        <f>IFERROR(__xludf.DUMMYFUNCTION("""COMPUTED_VALUE"""),"134958;INF192K01JU4;INF192K01JV2;JM Large Cap Fund (Direct) - Annual IDCW;51.2732;25-Aug-2023")</f>
        <v>134958;INF192K01JU4;INF192K01JV2;JM Large Cap Fund (Direct) - Annual IDCW;51.2732;25-Aug-2023</v>
      </c>
      <c r="B5528" s="1"/>
    </row>
    <row r="5529">
      <c r="A5529" s="1" t="str">
        <f>IFERROR(__xludf.DUMMYFUNCTION("""COMPUTED_VALUE"""),"120490;INF192K01BZ0;-;JM Large Cap Fund (Direct) - Growth Option;124.4731;25-Aug-2023")</f>
        <v>120490;INF192K01BZ0;-;JM Large Cap Fund (Direct) - Growth Option;124.4731;25-Aug-2023</v>
      </c>
      <c r="B5529" s="1"/>
    </row>
    <row r="5530">
      <c r="A5530" s="1" t="str">
        <f>IFERROR(__xludf.DUMMYFUNCTION("""COMPUTED_VALUE"""),"134957;INF192K01JR0;INF192K01JZ3;JM Large Cap Fund (Direct) - Half Yearly IDCW ;50.9155;25-Aug-2023")</f>
        <v>134957;INF192K01JR0;INF192K01JZ3;JM Large Cap Fund (Direct) - Half Yearly IDCW ;50.9155;25-Aug-2023</v>
      </c>
      <c r="B5530" s="1"/>
    </row>
    <row r="5531">
      <c r="A5531" s="1" t="str">
        <f>IFERROR(__xludf.DUMMYFUNCTION("""COMPUTED_VALUE"""),"120489;INF192K01BX5;INF192K01BY3;JM Large Cap Fund (Direct) - IDCW;49.9752;25-Aug-2023")</f>
        <v>120489;INF192K01BX5;INF192K01BY3;JM Large Cap Fund (Direct) - IDCW;49.9752;25-Aug-2023</v>
      </c>
      <c r="B5531" s="1"/>
    </row>
    <row r="5532">
      <c r="A5532" s="1" t="str">
        <f>IFERROR(__xludf.DUMMYFUNCTION("""COMPUTED_VALUE"""),"134956;INF192K01JJ7;INF192K01JK5;JM Large Cap Fund (Direct) - Monthly IDCW ;50.8092;25-Aug-2023")</f>
        <v>134956;INF192K01JJ7;INF192K01JK5;JM Large Cap Fund (Direct) - Monthly IDCW ;50.8092;25-Aug-2023</v>
      </c>
      <c r="B5532" s="1"/>
    </row>
    <row r="5533">
      <c r="A5533" s="1" t="str">
        <f>IFERROR(__xludf.DUMMYFUNCTION("""COMPUTED_VALUE"""),"134960;INF192K01JN9;INF192K01JO7;JM Large Cap Fund (Direct) - Quarterly IDCW;51.2824;25-Aug-2023")</f>
        <v>134960;INF192K01JN9;INF192K01JO7;JM Large Cap Fund (Direct) - Quarterly IDCW;51.2824;25-Aug-2023</v>
      </c>
      <c r="B5533" s="1"/>
    </row>
    <row r="5534">
      <c r="A5534" s="1" t="str">
        <f>IFERROR(__xludf.DUMMYFUNCTION("""COMPUTED_VALUE"""),"134961;INF192K01JS8;INF192K01JT6;JM Large Cap Fund (Regular) - Annual IDCW;22.2897;25-Aug-2023")</f>
        <v>134961;INF192K01JS8;INF192K01JT6;JM Large Cap Fund (Regular) - Annual IDCW;22.2897;25-Aug-2023</v>
      </c>
      <c r="B5534" s="1"/>
    </row>
    <row r="5535">
      <c r="A5535" s="1" t="str">
        <f>IFERROR(__xludf.DUMMYFUNCTION("""COMPUTED_VALUE"""),"100219;INF192K01601;-;JM Large Cap Fund (Regular) - Growth Option;111.6571;25-Aug-2023")</f>
        <v>100219;INF192K01601;-;JM Large Cap Fund (Regular) - Growth Option;111.6571;25-Aug-2023</v>
      </c>
      <c r="B5535" s="1"/>
    </row>
    <row r="5536">
      <c r="A5536" s="1" t="str">
        <f>IFERROR(__xludf.DUMMYFUNCTION("""COMPUTED_VALUE"""),"134955;INF192K01JP4;INF192K01JQ2;JM Large Cap Fund (Regular) - Half Yearly IDCW;18.3045;25-Aug-2023")</f>
        <v>134955;INF192K01JP4;INF192K01JQ2;JM Large Cap Fund (Regular) - Half Yearly IDCW;18.3045;25-Aug-2023</v>
      </c>
      <c r="B5536" s="1"/>
    </row>
    <row r="5537">
      <c r="A5537" s="1" t="str">
        <f>IFERROR(__xludf.DUMMYFUNCTION("""COMPUTED_VALUE"""),"100218;INF192K01585;INF192K01593;JM Large Cap Fund (Regular) - IDCW ;21.6758;25-Aug-2023")</f>
        <v>100218;INF192K01585;INF192K01593;JM Large Cap Fund (Regular) - IDCW ;21.6758;25-Aug-2023</v>
      </c>
      <c r="B5537" s="1"/>
    </row>
    <row r="5538">
      <c r="A5538" s="1" t="str">
        <f>IFERROR(__xludf.DUMMYFUNCTION("""COMPUTED_VALUE"""),"134959;INF192K01JH1;INF192K01JI9;JM Large Cap Fund (Regular) - Monthly IDCW;17.3498;25-Aug-2023")</f>
        <v>134959;INF192K01JH1;INF192K01JI9;JM Large Cap Fund (Regular) - Monthly IDCW;17.3498;25-Aug-2023</v>
      </c>
      <c r="B5538" s="1"/>
    </row>
    <row r="5539">
      <c r="A5539" s="1" t="str">
        <f>IFERROR(__xludf.DUMMYFUNCTION("""COMPUTED_VALUE"""),"134954;INF192K01JL3;INF192K01JM1;JM Large Cap Fund (Regular) - Quarterly IDCW;25.1985;25-Aug-2023")</f>
        <v>134954;INF192K01JL3;INF192K01JM1;JM Large Cap Fund (Regular) - Quarterly IDCW;25.1985;25-Aug-2023</v>
      </c>
      <c r="B5539" s="1"/>
    </row>
    <row r="5540">
      <c r="A5540" s="1"/>
      <c r="B5540" s="1"/>
    </row>
    <row r="5541">
      <c r="A5541" s="1" t="str">
        <f>IFERROR(__xludf.DUMMYFUNCTION("""COMPUTED_VALUE"""),"Kotak Mahindra Mutual Fund")</f>
        <v>Kotak Mahindra Mutual Fund</v>
      </c>
      <c r="B5541" s="1"/>
    </row>
    <row r="5542">
      <c r="A5542" s="1"/>
      <c r="B5542" s="1"/>
    </row>
    <row r="5543">
      <c r="A5543" s="1" t="str">
        <f>IFERROR(__xludf.DUMMYFUNCTION("""COMPUTED_VALUE"""),"114458;INF174K01153;-;Kotak Bluechip Fund - Growth;416.344;25-Aug-2023")</f>
        <v>114458;INF174K01153;-;Kotak Bluechip Fund - Growth;416.344;25-Aug-2023</v>
      </c>
      <c r="B5543" s="1"/>
    </row>
    <row r="5544">
      <c r="A5544" s="1" t="str">
        <f>IFERROR(__xludf.DUMMYFUNCTION("""COMPUTED_VALUE"""),"120152;INF174K01KW6;-;Kotak Bluechip Fund - Growth - Direct;468.531;25-Aug-2023")</f>
        <v>120152;INF174K01KW6;-;Kotak Bluechip Fund - Growth - Direct;468.531;25-Aug-2023</v>
      </c>
      <c r="B5544" s="1"/>
    </row>
    <row r="5545">
      <c r="A5545" s="1" t="str">
        <f>IFERROR(__xludf.DUMMYFUNCTION("""COMPUTED_VALUE"""),"120153;INF174K01KY2;INF174K01KX4;Kotak Bluechip Fund - Payout of Income Distribution cum capital withdrawal option - Direct;61.965;25-Aug-2023")</f>
        <v>120153;INF174K01KY2;INF174K01KX4;Kotak Bluechip Fund - Payout of Income Distribution cum capital withdrawal option - Direct;61.965;25-Aug-2023</v>
      </c>
      <c r="B5545" s="1"/>
    </row>
    <row r="5546">
      <c r="A5546" s="1" t="str">
        <f>IFERROR(__xludf.DUMMYFUNCTION("""COMPUTED_VALUE"""),"114457;INF174K01179;INF174K01161;Kotak Bluechip Fund - Payout of Income Distribution cumcapital withdrawal option;53.743;25-Aug-2023")</f>
        <v>114457;INF174K01179;INF174K01161;Kotak Bluechip Fund - Payout of Income Distribution cumcapital withdrawal option;53.743;25-Aug-2023</v>
      </c>
      <c r="B5546" s="1"/>
    </row>
    <row r="5547">
      <c r="A5547" s="1"/>
      <c r="B5547" s="1"/>
    </row>
    <row r="5548">
      <c r="A5548" s="1" t="str">
        <f>IFERROR(__xludf.DUMMYFUNCTION("""COMPUTED_VALUE"""),"LIC Mutual Fund")</f>
        <v>LIC Mutual Fund</v>
      </c>
      <c r="B5548" s="1"/>
    </row>
    <row r="5549">
      <c r="A5549" s="1"/>
      <c r="B5549" s="1"/>
    </row>
    <row r="5550">
      <c r="A5550" s="1" t="str">
        <f>IFERROR(__xludf.DUMMYFUNCTION("""COMPUTED_VALUE"""),"120267;INF767K01EJ7;-;LIC MF Large Cap Fund-Direct Plan-Growth;47.199;25-Aug-2023")</f>
        <v>120267;INF767K01EJ7;-;LIC MF Large Cap Fund-Direct Plan-Growth;47.199;25-Aug-2023</v>
      </c>
      <c r="B5550" s="1"/>
    </row>
    <row r="5551">
      <c r="A5551" s="1" t="str">
        <f>IFERROR(__xludf.DUMMYFUNCTION("""COMPUTED_VALUE"""),"120268;INF767K01EI9;INF767K01EK5;LIC MF Large Cap Fund-Direct Plan-IDCW;29.7278;25-Aug-2023")</f>
        <v>120268;INF767K01EI9;INF767K01EK5;LIC MF Large Cap Fund-Direct Plan-IDCW;29.7278;25-Aug-2023</v>
      </c>
      <c r="B5551" s="1"/>
    </row>
    <row r="5552">
      <c r="A5552" s="1" t="str">
        <f>IFERROR(__xludf.DUMMYFUNCTION("""COMPUTED_VALUE"""),"106871;INF767K01105;-;LIC MF Large Cap Fund-Regular Plan-Growth;42.4316;25-Aug-2023")</f>
        <v>106871;INF767K01105;-;LIC MF Large Cap Fund-Regular Plan-Growth;42.4316;25-Aug-2023</v>
      </c>
      <c r="B5552" s="1"/>
    </row>
    <row r="5553">
      <c r="A5553" s="1" t="str">
        <f>IFERROR(__xludf.DUMMYFUNCTION("""COMPUTED_VALUE"""),"100332;INF767K01097;INF767K01089;LIC MF Large Cap Fund-Regular Plan-IDCW;25.626;25-Aug-2023")</f>
        <v>100332;INF767K01097;INF767K01089;LIC MF Large Cap Fund-Regular Plan-IDCW;25.626;25-Aug-2023</v>
      </c>
      <c r="B5553" s="1"/>
    </row>
    <row r="5554">
      <c r="A5554" s="1"/>
      <c r="B5554" s="1"/>
    </row>
    <row r="5555">
      <c r="A5555" s="1" t="str">
        <f>IFERROR(__xludf.DUMMYFUNCTION("""COMPUTED_VALUE"""),"Mahindra Manulife Mutual Fund")</f>
        <v>Mahindra Manulife Mutual Fund</v>
      </c>
      <c r="B5555" s="1"/>
    </row>
    <row r="5556">
      <c r="A5556" s="1"/>
      <c r="B5556" s="1"/>
    </row>
    <row r="5557">
      <c r="A5557" s="1" t="str">
        <f>IFERROR(__xludf.DUMMYFUNCTION("""COMPUTED_VALUE"""),"146550;INF174V01747;INF174V01739;Mahindra Manulife Large Cap Fund - Direct Plan - IDCW;15.7870;25-Aug-2023")</f>
        <v>146550;INF174V01747;INF174V01739;Mahindra Manulife Large Cap Fund - Direct Plan - IDCW;15.7870;25-Aug-2023</v>
      </c>
      <c r="B5557" s="1"/>
    </row>
    <row r="5558">
      <c r="A5558" s="1" t="str">
        <f>IFERROR(__xludf.DUMMYFUNCTION("""COMPUTED_VALUE"""),"146549;INF174V01721;-;Mahindra Manulife Large Cap Fund - Direct Plan -Growth;18.6522;25-Aug-2023")</f>
        <v>146549;INF174V01721;-;Mahindra Manulife Large Cap Fund - Direct Plan -Growth;18.6522;25-Aug-2023</v>
      </c>
      <c r="B5558" s="1"/>
    </row>
    <row r="5559">
      <c r="A5559" s="1" t="str">
        <f>IFERROR(__xludf.DUMMYFUNCTION("""COMPUTED_VALUE"""),"146551;INF174V01697;-;Mahindra Manulife Large Cap Fund - Regular Plan - Growth;17.1587;25-Aug-2023")</f>
        <v>146551;INF174V01697;-;Mahindra Manulife Large Cap Fund - Regular Plan - Growth;17.1587;25-Aug-2023</v>
      </c>
      <c r="B5559" s="1"/>
    </row>
    <row r="5560">
      <c r="A5560" s="1" t="str">
        <f>IFERROR(__xludf.DUMMYFUNCTION("""COMPUTED_VALUE"""),"146548;INF174V01713;INF174V01705;Mahindra Manulife Large Cap Fund - Regular Plan - IDCW;14.3534;25-Aug-2023")</f>
        <v>146548;INF174V01713;INF174V01705;Mahindra Manulife Large Cap Fund - Regular Plan - IDCW;14.3534;25-Aug-2023</v>
      </c>
      <c r="B5560" s="1"/>
    </row>
    <row r="5561">
      <c r="A5561" s="1"/>
      <c r="B5561" s="1"/>
    </row>
    <row r="5562">
      <c r="A5562" s="1" t="str">
        <f>IFERROR(__xludf.DUMMYFUNCTION("""COMPUTED_VALUE"""),"Mirae Asset Mutual Fund")</f>
        <v>Mirae Asset Mutual Fund</v>
      </c>
      <c r="B5562" s="1"/>
    </row>
    <row r="5563">
      <c r="A5563" s="1"/>
      <c r="B5563" s="1"/>
    </row>
    <row r="5564">
      <c r="A5564" s="1" t="str">
        <f>IFERROR(__xludf.DUMMYFUNCTION("""COMPUTED_VALUE"""),"118825;INF769K01AX2;-;Mirae Asset Large Cap Fund - Direct Plan - Growth;95.407;25-Aug-2023")</f>
        <v>118825;INF769K01AX2;-;Mirae Asset Large Cap Fund - Direct Plan - Growth;95.407;25-Aug-2023</v>
      </c>
      <c r="B5564" s="1"/>
    </row>
    <row r="5565">
      <c r="A5565" s="1" t="str">
        <f>IFERROR(__xludf.DUMMYFUNCTION("""COMPUTED_VALUE"""),"107578;INF769K01010;-;Mirae Asset Large Cap Fund - Growth Plan;86.222;25-Aug-2023")</f>
        <v>107578;INF769K01010;-;Mirae Asset Large Cap Fund - Growth Plan;86.222;25-Aug-2023</v>
      </c>
      <c r="B5565" s="1"/>
    </row>
    <row r="5566">
      <c r="A5566" s="1" t="str">
        <f>IFERROR(__xludf.DUMMYFUNCTION("""COMPUTED_VALUE"""),"118826;INF769K01AY0;INF769K01AZ7;Mirae Asset Large Cap Fund Direct IDCW;58.759;25-Aug-2023")</f>
        <v>118826;INF769K01AY0;INF769K01AZ7;Mirae Asset Large Cap Fund Direct IDCW;58.759;25-Aug-2023</v>
      </c>
      <c r="B5566" s="1"/>
    </row>
    <row r="5567">
      <c r="A5567" s="1" t="str">
        <f>IFERROR(__xludf.DUMMYFUNCTION("""COMPUTED_VALUE"""),"107579;INF769K01036;INF769K01028;Mirae Asset Large Cap Fund Regular IDCW;26.028;25-Aug-2023")</f>
        <v>107579;INF769K01036;INF769K01028;Mirae Asset Large Cap Fund Regular IDCW;26.028;25-Aug-2023</v>
      </c>
      <c r="B5567" s="1"/>
    </row>
    <row r="5568">
      <c r="A5568" s="1"/>
      <c r="B5568" s="1"/>
    </row>
    <row r="5569">
      <c r="A5569" s="1" t="str">
        <f>IFERROR(__xludf.DUMMYFUNCTION("""COMPUTED_VALUE"""),"Nippon India Mutual Fund")</f>
        <v>Nippon India Mutual Fund</v>
      </c>
      <c r="B5569" s="1"/>
    </row>
    <row r="5570">
      <c r="A5570" s="1"/>
      <c r="B5570" s="1"/>
    </row>
    <row r="5571">
      <c r="A5571" s="1" t="str">
        <f>IFERROR(__xludf.DUMMYFUNCTION("""COMPUTED_VALUE"""),"106235;INF204K01562;-;Nippon India Large Cap  Fund- Growth Plan -Growth Option;64.0040;25-Aug-2023")</f>
        <v>106235;INF204K01562;-;Nippon India Large Cap  Fund- Growth Plan -Growth Option;64.0040;25-Aug-2023</v>
      </c>
      <c r="B5571" s="1"/>
    </row>
    <row r="5572">
      <c r="A5572" s="1" t="str">
        <f>IFERROR(__xludf.DUMMYFUNCTION("""COMPUTED_VALUE"""),"118634;INF204K01XG7;INF204K01XH5;NIPPON INDIA LARGE CAP FUND - DIRECT Plan - IDCW Option;32.9079;25-Aug-2023")</f>
        <v>118634;INF204K01XG7;INF204K01XH5;NIPPON INDIA LARGE CAP FUND - DIRECT Plan - IDCW Option;32.9079;25-Aug-2023</v>
      </c>
      <c r="B5572" s="1"/>
    </row>
    <row r="5573">
      <c r="A5573" s="1" t="str">
        <f>IFERROR(__xludf.DUMMYFUNCTION("""COMPUTED_VALUE"""),"118633;INF204K01D30;-;Nippon India Large Cap Fund - Direct Plan Growth Plan - Bonus Option;70.2294;25-Aug-2023")</f>
        <v>118633;INF204K01D30;-;Nippon India Large Cap Fund - Direct Plan Growth Plan - Bonus Option;70.2294;25-Aug-2023</v>
      </c>
      <c r="B5573" s="1"/>
    </row>
    <row r="5574">
      <c r="A5574" s="1" t="str">
        <f>IFERROR(__xludf.DUMMYFUNCTION("""COMPUTED_VALUE"""),"118632;INF204K01XI3;-;Nippon India Large Cap Fund - Direct Plan Growth Plan - Growth Option;70.2294;25-Aug-2023")</f>
        <v>118632;INF204K01XI3;-;Nippon India Large Cap Fund - Direct Plan Growth Plan - Growth Option;70.2294;25-Aug-2023</v>
      </c>
      <c r="B5574" s="1"/>
    </row>
    <row r="5575">
      <c r="A5575" s="1" t="str">
        <f>IFERROR(__xludf.DUMMYFUNCTION("""COMPUTED_VALUE"""),"106236;INF204K01539;INF204K01547;NIPPON INDIA LARGE CAP FUND - IDCW Option;22.6486;25-Aug-2023")</f>
        <v>106236;INF204K01539;INF204K01547;NIPPON INDIA LARGE CAP FUND - IDCW Option;22.6486;25-Aug-2023</v>
      </c>
      <c r="B5575" s="1"/>
    </row>
    <row r="5576">
      <c r="A5576" s="1" t="str">
        <f>IFERROR(__xludf.DUMMYFUNCTION("""COMPUTED_VALUE"""),"106240;INF204K01554;-;Nippon India Large Cap Fund- Growth Plan Bonus Option;64.0040;25-Aug-2023")</f>
        <v>106240;INF204K01554;-;Nippon India Large Cap Fund- Growth Plan Bonus Option;64.0040;25-Aug-2023</v>
      </c>
      <c r="B5576" s="1"/>
    </row>
    <row r="5577">
      <c r="A5577" s="1" t="str">
        <f>IFERROR(__xludf.DUMMYFUNCTION("""COMPUTED_VALUE"""),"106238;INF204K01513;-;Nippon India Large Cap Fund-Institutional Plan Growth Plan Bonus Option;34.1366;03-Mar-2020")</f>
        <v>106238;INF204K01513;-;Nippon India Large Cap Fund-Institutional Plan Growth Plan Bonus Option;34.1366;03-Mar-2020</v>
      </c>
      <c r="B5577" s="1"/>
    </row>
    <row r="5578">
      <c r="A5578" s="1"/>
      <c r="B5578" s="1"/>
    </row>
    <row r="5579">
      <c r="A5579" s="1" t="str">
        <f>IFERROR(__xludf.DUMMYFUNCTION("""COMPUTED_VALUE"""),"PGIM India Mutual Fund")</f>
        <v>PGIM India Mutual Fund</v>
      </c>
      <c r="B5579" s="1"/>
    </row>
    <row r="5580">
      <c r="A5580" s="1"/>
      <c r="B5580" s="1"/>
    </row>
    <row r="5581">
      <c r="A5581" s="1" t="str">
        <f>IFERROR(__xludf.DUMMYFUNCTION("""COMPUTED_VALUE"""),"138311;INF223J01895;-;PGIM India Large Cap Fund - BONUS OPTION;22.38;28-Jul-2019")</f>
        <v>138311;INF223J01895;-;PGIM India Large Cap Fund - BONUS OPTION;22.38;28-Jul-2019</v>
      </c>
      <c r="B5581" s="1"/>
    </row>
    <row r="5582">
      <c r="A5582" s="1" t="str">
        <f>IFERROR(__xludf.DUMMYFUNCTION("""COMPUTED_VALUE"""),"138314;INF223J01MM0;-;PGIM India Large Cap Fund - Direct Plan - Bonus;24.02;28-Jul-2019")</f>
        <v>138314;INF223J01MM0;-;PGIM India Large Cap Fund - Direct Plan - Bonus;24.02;28-Jul-2019</v>
      </c>
      <c r="B5582" s="1"/>
    </row>
    <row r="5583">
      <c r="A5583" s="1" t="str">
        <f>IFERROR(__xludf.DUMMYFUNCTION("""COMPUTED_VALUE"""),"138313;INF663L01GS2;INF663L01GT0;PGIM India Large Cap Fund - Direct Plan - Dividend;26.44;25-Aug-2023")</f>
        <v>138313;INF663L01GS2;INF663L01GT0;PGIM India Large Cap Fund - Direct Plan - Dividend;26.44;25-Aug-2023</v>
      </c>
      <c r="B5583" s="1"/>
    </row>
    <row r="5584">
      <c r="A5584" s="1" t="str">
        <f>IFERROR(__xludf.DUMMYFUNCTION("""COMPUTED_VALUE"""),"138312;INF663L01GR4;-;PGIM India Large Cap Fund - Direct Plan - Growth;309.79;25-Aug-2023")</f>
        <v>138312;INF663L01GR4;-;PGIM India Large Cap Fund - Direct Plan - Growth;309.79;25-Aug-2023</v>
      </c>
      <c r="B5584" s="1"/>
    </row>
    <row r="5585">
      <c r="A5585" s="1" t="str">
        <f>IFERROR(__xludf.DUMMYFUNCTION("""COMPUTED_VALUE"""),"138307;INF663L01GU8;INF663L01GV6;PGIM India Large Cap Fund - Dividend;19.05;25-Aug-2023")</f>
        <v>138307;INF663L01GU8;INF663L01GV6;PGIM India Large Cap Fund - Dividend;19.05;25-Aug-2023</v>
      </c>
      <c r="B5585" s="1"/>
    </row>
    <row r="5586">
      <c r="A5586" s="1" t="str">
        <f>IFERROR(__xludf.DUMMYFUNCTION("""COMPUTED_VALUE"""),"138308;INF663L01GW4;-;PGIM India Large Cap Fund - Growth;268.76;25-Aug-2023")</f>
        <v>138308;INF663L01GW4;-;PGIM India Large Cap Fund - Growth;268.76;25-Aug-2023</v>
      </c>
      <c r="B5586" s="1"/>
    </row>
    <row r="5587">
      <c r="A5587" s="1" t="str">
        <f>IFERROR(__xludf.DUMMYFUNCTION("""COMPUTED_VALUE"""),"138310;INF223J01267;-;PGIM India Large Cap Fund Wealth Plan - Growth Option;34.74;28-Jul-2019")</f>
        <v>138310;INF223J01267;-;PGIM India Large Cap Fund Wealth Plan - Growth Option;34.74;28-Jul-2019</v>
      </c>
      <c r="B5587" s="1"/>
    </row>
    <row r="5588">
      <c r="A5588" s="1" t="str">
        <f>IFERROR(__xludf.DUMMYFUNCTION("""COMPUTED_VALUE"""),"138309;INF223J01242;-;PGIM India Large Cap Fund Wealth Plan -Dividend Option;11.63;28-Jul-2019")</f>
        <v>138309;INF223J01242;-;PGIM India Large Cap Fund Wealth Plan -Dividend Option;11.63;28-Jul-2019</v>
      </c>
      <c r="B5588" s="1"/>
    </row>
    <row r="5589">
      <c r="A5589" s="1"/>
      <c r="B5589" s="1"/>
    </row>
    <row r="5590">
      <c r="A5590" s="1" t="str">
        <f>IFERROR(__xludf.DUMMYFUNCTION("""COMPUTED_VALUE"""),"quant Mutual Fund")</f>
        <v>quant Mutual Fund</v>
      </c>
      <c r="B5590" s="1"/>
    </row>
    <row r="5591">
      <c r="A5591" s="1"/>
      <c r="B5591" s="1"/>
    </row>
    <row r="5592">
      <c r="A5592" s="1" t="str">
        <f>IFERROR(__xludf.DUMMYFUNCTION("""COMPUTED_VALUE"""),"150440;INF966L01AT0;-;quant Large Cap Fund - Growth Option - Direct Plan;10.882;25-Aug-2023")</f>
        <v>150440;INF966L01AT0;-;quant Large Cap Fund - Growth Option - Direct Plan;10.882;25-Aug-2023</v>
      </c>
      <c r="B5592" s="1"/>
    </row>
    <row r="5593">
      <c r="A5593" s="1" t="str">
        <f>IFERROR(__xludf.DUMMYFUNCTION("""COMPUTED_VALUE"""),"150441;INF966L01AW4;-;quant Large Cap Fund - Growth Option - Regular Plan;10.6822;25-Aug-2023")</f>
        <v>150441;INF966L01AW4;-;quant Large Cap Fund - Growth Option - Regular Plan;10.6822;25-Aug-2023</v>
      </c>
      <c r="B5593" s="1"/>
    </row>
    <row r="5594">
      <c r="A5594" s="1" t="str">
        <f>IFERROR(__xludf.DUMMYFUNCTION("""COMPUTED_VALUE"""),"150439;INF966L01AU8;INF966L01AV6;quant Large Cap Fund - IDCW Option - Direct Plan;10.8852;25-Aug-2023")</f>
        <v>150439;INF966L01AU8;INF966L01AV6;quant Large Cap Fund - IDCW Option - Direct Plan;10.8852;25-Aug-2023</v>
      </c>
      <c r="B5594" s="1"/>
    </row>
    <row r="5595">
      <c r="A5595" s="1" t="str">
        <f>IFERROR(__xludf.DUMMYFUNCTION("""COMPUTED_VALUE"""),"150442;INF966L01AX2;INF966L01AY0;quant Large Cap Fund - IDCW Option - Regular Plan;10.6805;25-Aug-2023")</f>
        <v>150442;INF966L01AX2;INF966L01AY0;quant Large Cap Fund - IDCW Option - Regular Plan;10.6805;25-Aug-2023</v>
      </c>
      <c r="B5595" s="1"/>
    </row>
    <row r="5596">
      <c r="A5596" s="1"/>
      <c r="B5596" s="1"/>
    </row>
    <row r="5597">
      <c r="A5597" s="1" t="str">
        <f>IFERROR(__xludf.DUMMYFUNCTION("""COMPUTED_VALUE"""),"SBI Mutual Fund")</f>
        <v>SBI Mutual Fund</v>
      </c>
      <c r="B5597" s="1"/>
    </row>
    <row r="5598">
      <c r="A5598" s="1"/>
      <c r="B5598" s="1"/>
    </row>
    <row r="5599">
      <c r="A5599" s="1" t="str">
        <f>IFERROR(__xludf.DUMMYFUNCTION("""COMPUTED_VALUE"""),"119585;INF200K01QV8;INF200K01QW6;SBI Blue Chip Fund - Direct Plan - Income Distribution cum Capital Withdrawal Option (IDCW);49.6519;25-Aug-2023")</f>
        <v>119585;INF200K01QV8;INF200K01QW6;SBI Blue Chip Fund - Direct Plan - Income Distribution cum Capital Withdrawal Option (IDCW);49.6519;25-Aug-2023</v>
      </c>
      <c r="B5599" s="1"/>
    </row>
    <row r="5600">
      <c r="A5600" s="1" t="str">
        <f>IFERROR(__xludf.DUMMYFUNCTION("""COMPUTED_VALUE"""),"103616;INF200K01164;INF200K01172;SBI Blue Chip Fund - Regular Plan - Income Distribution cum Capital Withdrawal Option (IDCW);39.8083;25-Aug-2023")</f>
        <v>103616;INF200K01164;INF200K01172;SBI Blue Chip Fund - Regular Plan - Income Distribution cum Capital Withdrawal Option (IDCW);39.8083;25-Aug-2023</v>
      </c>
      <c r="B5600" s="1"/>
    </row>
    <row r="5601">
      <c r="A5601" s="1" t="str">
        <f>IFERROR(__xludf.DUMMYFUNCTION("""COMPUTED_VALUE"""),"119598;INF200K01QX4;-;SBI BLUE CHIP FUND-DIRECT PLAN -GROWTH;76.5058;25-Aug-2023")</f>
        <v>119598;INF200K01QX4;-;SBI BLUE CHIP FUND-DIRECT PLAN -GROWTH;76.5058;25-Aug-2023</v>
      </c>
      <c r="B5601" s="1"/>
    </row>
    <row r="5602">
      <c r="A5602" s="1" t="str">
        <f>IFERROR(__xludf.DUMMYFUNCTION("""COMPUTED_VALUE"""),"103504;INF200K01180;-;SBI BLUE CHIP FUND-REGULAR PLAN GROWTH;69.9763;25-Aug-2023")</f>
        <v>103504;INF200K01180;-;SBI BLUE CHIP FUND-REGULAR PLAN GROWTH;69.9763;25-Aug-2023</v>
      </c>
      <c r="B5602" s="1"/>
    </row>
    <row r="5603">
      <c r="A5603" s="1"/>
      <c r="B5603" s="1"/>
    </row>
    <row r="5604">
      <c r="A5604" s="1" t="str">
        <f>IFERROR(__xludf.DUMMYFUNCTION("""COMPUTED_VALUE"""),"Sundaram Mutual Fund")</f>
        <v>Sundaram Mutual Fund</v>
      </c>
      <c r="B5604" s="1"/>
    </row>
    <row r="5605">
      <c r="A5605" s="1"/>
      <c r="B5605" s="1"/>
    </row>
    <row r="5606">
      <c r="A5606" s="1" t="str">
        <f>IFERROR(__xludf.DUMMYFUNCTION("""COMPUTED_VALUE"""),"148509;INF903JA1JE6;-;Sundaram Large Cap Fund (Formerly Known as Sundaram Blue Chip  Fund)  Direct Plan - Reinvestment of Income Distribution cum Capital Withdrawal (IDCW);15.3065;25-Aug-2023")</f>
        <v>148509;INF903JA1JE6;-;Sundaram Large Cap Fund (Formerly Known as Sundaram Blue Chip  Fund)  Direct Plan - Reinvestment of Income Distribution cum Capital Withdrawal (IDCW);15.3065;25-Aug-2023</v>
      </c>
      <c r="B5606" s="1"/>
    </row>
    <row r="5607">
      <c r="A5607" s="1" t="str">
        <f>IFERROR(__xludf.DUMMYFUNCTION("""COMPUTED_VALUE"""),"148505;INF903JA1JA4;-;Sundaram Large Cap Fund (Formerly Known as Sundaram Blue Chip Fund)  Regular Plan - Payout of Income Distribution cum Capital Withdrawal (IDCW);14.5955;25-Aug-2023")</f>
        <v>148505;INF903JA1JA4;-;Sundaram Large Cap Fund (Formerly Known as Sundaram Blue Chip Fund)  Regular Plan - Payout of Income Distribution cum Capital Withdrawal (IDCW);14.5955;25-Aug-2023</v>
      </c>
      <c r="B5607" s="1"/>
    </row>
    <row r="5608">
      <c r="A5608" s="1" t="str">
        <f>IFERROR(__xludf.DUMMYFUNCTION("""COMPUTED_VALUE"""),"148508;INF903JA1JD8;-;Sundaram Large Cap Fund (Formerly Known as Sundaram Blue Chip Fund) Direct Plan - Payout of Income Distribution cum Capital Withdrawal (IDCW);15.3065;25-Aug-2023")</f>
        <v>148508;INF903JA1JD8;-;Sundaram Large Cap Fund (Formerly Known as Sundaram Blue Chip Fund) Direct Plan - Payout of Income Distribution cum Capital Withdrawal (IDCW);15.3065;25-Aug-2023</v>
      </c>
      <c r="B5608" s="1"/>
    </row>
    <row r="5609">
      <c r="A5609" s="1" t="str">
        <f>IFERROR(__xludf.DUMMYFUNCTION("""COMPUTED_VALUE"""),"148506;INF903JA1JB2;-;Sundaram Large Cap Fund (Formerly Known as Sundaram Blue Chip Fund) Regular Plan - Reinvestment of Income Distribution cum Capital Withdrawal (IDCW);14.5955;25-Aug-2023")</f>
        <v>148506;INF903JA1JB2;-;Sundaram Large Cap Fund (Formerly Known as Sundaram Blue Chip Fund) Regular Plan - Reinvestment of Income Distribution cum Capital Withdrawal (IDCW);14.5955;25-Aug-2023</v>
      </c>
      <c r="B5609" s="1"/>
    </row>
    <row r="5610">
      <c r="A5610" s="1" t="str">
        <f>IFERROR(__xludf.DUMMYFUNCTION("""COMPUTED_VALUE"""),"148507;INF903JA1JC0;-;Sundaram Large Cap Fund (Formerly Known as Sundaram Blue Chip Fund)Direct Plan - Growth;17.3969;25-Aug-2023")</f>
        <v>148507;INF903JA1JC0;-;Sundaram Large Cap Fund (Formerly Known as Sundaram Blue Chip Fund)Direct Plan - Growth;17.3969;25-Aug-2023</v>
      </c>
      <c r="B5610" s="1"/>
    </row>
    <row r="5611">
      <c r="A5611" s="1" t="str">
        <f>IFERROR(__xludf.DUMMYFUNCTION("""COMPUTED_VALUE"""),"148504;INF903JA1IZ3;-;Sundaram Large Cap Fund(Formerly Known as Sundaram Blue Chip Fund) Regular Plan - Growth;16.6034;25-Aug-2023")</f>
        <v>148504;INF903JA1IZ3;-;Sundaram Large Cap Fund(Formerly Known as Sundaram Blue Chip Fund) Regular Plan - Growth;16.6034;25-Aug-2023</v>
      </c>
      <c r="B5611" s="1"/>
    </row>
    <row r="5612">
      <c r="A5612" s="1"/>
      <c r="B5612" s="1"/>
    </row>
    <row r="5613">
      <c r="A5613" s="1" t="str">
        <f>IFERROR(__xludf.DUMMYFUNCTION("""COMPUTED_VALUE"""),"Tata Mutual Fund")</f>
        <v>Tata Mutual Fund</v>
      </c>
      <c r="B5613" s="1"/>
    </row>
    <row r="5614">
      <c r="A5614" s="1"/>
      <c r="B5614" s="1"/>
    </row>
    <row r="5615">
      <c r="A5615" s="1" t="str">
        <f>IFERROR(__xludf.DUMMYFUNCTION("""COMPUTED_VALUE"""),"119160;INF277K01QZ7;-;Tata Large Cap Fund -Direct Plan Growth Option;419.2793;25-Aug-2023")</f>
        <v>119160;INF277K01QZ7;-;Tata Large Cap Fund -Direct Plan Growth Option;419.2793;25-Aug-2023</v>
      </c>
      <c r="B5615" s="1"/>
    </row>
    <row r="5616">
      <c r="A5616" s="1" t="str">
        <f>IFERROR(__xludf.DUMMYFUNCTION("""COMPUTED_VALUE"""),"100475;INF277K01931;-;Tata Large Cap Fund -Regular Plan - Growth Option;372.2962;25-Aug-2023")</f>
        <v>100475;INF277K01931;-;Tata Large Cap Fund -Regular Plan - Growth Option;372.2962;25-Aug-2023</v>
      </c>
      <c r="B5616" s="1"/>
    </row>
    <row r="5617">
      <c r="A5617" s="1" t="str">
        <f>IFERROR(__xludf.DUMMYFUNCTION("""COMPUTED_VALUE"""),"119159;INF277K01QX2;INF277K01QY0;Tata Large Cap Fund- Direct Plan - Payout of IDCW Option;95.2594;25-Aug-2023")</f>
        <v>119159;INF277K01QX2;INF277K01QY0;Tata Large Cap Fund- Direct Plan - Payout of IDCW Option;95.2594;25-Aug-2023</v>
      </c>
      <c r="B5617" s="1"/>
    </row>
    <row r="5618">
      <c r="A5618" s="1" t="str">
        <f>IFERROR(__xludf.DUMMYFUNCTION("""COMPUTED_VALUE"""),"102036;INF277K01EG3;INF277K01923;Tata Large Cap Fund- Regular Plan - Payout of IDCW Option;81.1195;25-Aug-2023")</f>
        <v>102036;INF277K01EG3;INF277K01923;Tata Large Cap Fund- Regular Plan - Payout of IDCW Option;81.1195;25-Aug-2023</v>
      </c>
      <c r="B5618" s="1"/>
    </row>
    <row r="5619">
      <c r="A5619" s="1"/>
      <c r="B5619" s="1"/>
    </row>
    <row r="5620">
      <c r="A5620" s="1" t="str">
        <f>IFERROR(__xludf.DUMMYFUNCTION("""COMPUTED_VALUE"""),"Taurus Mutual Fund")</f>
        <v>Taurus Mutual Fund</v>
      </c>
      <c r="B5620" s="1"/>
    </row>
    <row r="5621">
      <c r="A5621" s="1"/>
      <c r="B5621" s="1"/>
    </row>
    <row r="5622">
      <c r="A5622" s="1" t="str">
        <f>IFERROR(__xludf.DUMMYFUNCTION("""COMPUTED_VALUE"""),"118870;INF044D01BX3;-;Taurus Largecap Equity Fund - Direct Plan - Growth;118.22;25-Aug-2023")</f>
        <v>118870;INF044D01BX3;-;Taurus Largecap Equity Fund - Direct Plan - Growth;118.22;25-Aug-2023</v>
      </c>
      <c r="B5622" s="1"/>
    </row>
    <row r="5623">
      <c r="A5623" s="1" t="str">
        <f>IFERROR(__xludf.DUMMYFUNCTION("""COMPUTED_VALUE"""),"118871;INF044D01BY1;INF044D01BZ8;Taurus Largecap Equity Fund - Direct Plan - Payout of Income Distribution cum Capital Withdrawal option;52.08;25-Aug-2023")</f>
        <v>118871;INF044D01BY1;INF044D01BZ8;Taurus Largecap Equity Fund - Direct Plan - Payout of Income Distribution cum Capital Withdrawal option;52.08;25-Aug-2023</v>
      </c>
      <c r="B5623" s="1"/>
    </row>
    <row r="5624">
      <c r="A5624" s="1" t="str">
        <f>IFERROR(__xludf.DUMMYFUNCTION("""COMPUTED_VALUE"""),"101209;INF044D01773;-;Taurus Largecap Equity Fund - Regular Plan - Growth;112.02;25-Aug-2023")</f>
        <v>101209;INF044D01773;-;Taurus Largecap Equity Fund - Regular Plan - Growth;112.02;25-Aug-2023</v>
      </c>
      <c r="B5624" s="1"/>
    </row>
    <row r="5625">
      <c r="A5625" s="1" t="str">
        <f>IFERROR(__xludf.DUMMYFUNCTION("""COMPUTED_VALUE"""),"108403;INF044D01740;INF044D01757;Taurus Largecap Equity Fund - Regular Plan - Payout of Income Distribution cum Capital Withdrawal option;49.07;25-Aug-2023")</f>
        <v>108403;INF044D01740;INF044D01757;Taurus Largecap Equity Fund - Regular Plan - Payout of Income Distribution cum Capital Withdrawal option;49.07;25-Aug-2023</v>
      </c>
      <c r="B5625" s="1"/>
    </row>
    <row r="5626">
      <c r="A5626" s="1"/>
      <c r="B5626" s="1"/>
    </row>
    <row r="5627">
      <c r="A5627" s="1" t="str">
        <f>IFERROR(__xludf.DUMMYFUNCTION("""COMPUTED_VALUE"""),"Union Mutual Fund")</f>
        <v>Union Mutual Fund</v>
      </c>
      <c r="B5627" s="1"/>
    </row>
    <row r="5628">
      <c r="A5628" s="1"/>
      <c r="B5628" s="1"/>
    </row>
    <row r="5629">
      <c r="A5629" s="1" t="str">
        <f>IFERROR(__xludf.DUMMYFUNCTION("""COMPUTED_VALUE"""),"141248;INF582M01CU7;-;Union Largecap Fund - Direct Plan - Growth Option;18.94;25-Aug-2023")</f>
        <v>141248;INF582M01CU7;-;Union Largecap Fund - Direct Plan - Growth Option;18.94;25-Aug-2023</v>
      </c>
      <c r="B5629" s="1"/>
    </row>
    <row r="5630">
      <c r="A5630" s="1" t="str">
        <f>IFERROR(__xludf.DUMMYFUNCTION("""COMPUTED_VALUE"""),"141249;INF582M01CV5;INF582M01CW3;Union Largecap Fund - Direct Plan - IDCW Option;18.94;25-Aug-2023")</f>
        <v>141249;INF582M01CV5;INF582M01CW3;Union Largecap Fund - Direct Plan - IDCW Option;18.94;25-Aug-2023</v>
      </c>
      <c r="B5630" s="1"/>
    </row>
    <row r="5631">
      <c r="A5631" s="1" t="str">
        <f>IFERROR(__xludf.DUMMYFUNCTION("""COMPUTED_VALUE"""),"141247;INF582M01CQ5;-;Union Largecap Fund - Regular Plan - Growth Option;18.13;25-Aug-2023")</f>
        <v>141247;INF582M01CQ5;-;Union Largecap Fund - Regular Plan - Growth Option;18.13;25-Aug-2023</v>
      </c>
      <c r="B5631" s="1"/>
    </row>
    <row r="5632">
      <c r="A5632" s="1" t="str">
        <f>IFERROR(__xludf.DUMMYFUNCTION("""COMPUTED_VALUE"""),"141250;INF582M01CR3;INF582M01CS1;Union Largecap Fund - Regular Plan - IDCW Option;18.13;25-Aug-2023")</f>
        <v>141250;INF582M01CR3;INF582M01CS1;Union Largecap Fund - Regular Plan - IDCW Option;18.13;25-Aug-2023</v>
      </c>
      <c r="B5632" s="1"/>
    </row>
    <row r="5633">
      <c r="A5633" s="1"/>
      <c r="B5633" s="1"/>
    </row>
    <row r="5634">
      <c r="A5634" s="1" t="str">
        <f>IFERROR(__xludf.DUMMYFUNCTION("""COMPUTED_VALUE"""),"UTI Mutual Fund")</f>
        <v>UTI Mutual Fund</v>
      </c>
      <c r="B5634" s="1"/>
    </row>
    <row r="5635">
      <c r="A5635" s="1"/>
      <c r="B5635" s="1"/>
    </row>
    <row r="5636">
      <c r="A5636" s="1" t="str">
        <f>IFERROR(__xludf.DUMMYFUNCTION("""COMPUTED_VALUE"""),"100651;INF789F01976;-;UTI - Master Share-Growth Option;209.1391;25-Aug-2023")</f>
        <v>100651;INF789F01976;-;UTI - Master Share-Growth Option;209.1391;25-Aug-2023</v>
      </c>
      <c r="B5636" s="1"/>
    </row>
    <row r="5637">
      <c r="A5637" s="1" t="str">
        <f>IFERROR(__xludf.DUMMYFUNCTION("""COMPUTED_VALUE"""),"120656;INF789F01US8;-;UTI - Master Share-Growth Option - Direct;225.5419;25-Aug-2023")</f>
        <v>120656;INF789F01US8;-;UTI - Master Share-Growth Option - Direct;225.5419;25-Aug-2023</v>
      </c>
      <c r="B5637" s="1"/>
    </row>
    <row r="5638">
      <c r="A5638" s="1" t="str">
        <f>IFERROR(__xludf.DUMMYFUNCTION("""COMPUTED_VALUE"""),"120657;INF789F01UQ2;INF789F01UR0;UTI Mastershare Unit Scheme - Direct Plan - IDCW;51.2787;25-Aug-2023")</f>
        <v>120657;INF789F01UQ2;INF789F01UR0;UTI Mastershare Unit Scheme - Direct Plan - IDCW;51.2787;25-Aug-2023</v>
      </c>
      <c r="B5638" s="1"/>
    </row>
    <row r="5639">
      <c r="A5639" s="1" t="str">
        <f>IFERROR(__xludf.DUMMYFUNCTION("""COMPUTED_VALUE"""),"100650;INF189A01038;INF789F01950;UTI Mastershare Unit Scheme - Regular Plan - IDCW;44.5887;25-Aug-2023")</f>
        <v>100650;INF189A01038;INF789F01950;UTI Mastershare Unit Scheme - Regular Plan - IDCW;44.5887;25-Aug-2023</v>
      </c>
      <c r="B5639" s="1"/>
    </row>
    <row r="5640">
      <c r="A5640" s="1"/>
      <c r="B5640" s="1"/>
    </row>
    <row r="5641">
      <c r="A5641" s="1" t="str">
        <f>IFERROR(__xludf.DUMMYFUNCTION("""COMPUTED_VALUE"""),"WhiteOak Capital Mutual Fund")</f>
        <v>WhiteOak Capital Mutual Fund</v>
      </c>
      <c r="B5641" s="1"/>
    </row>
    <row r="5642">
      <c r="A5642" s="1"/>
      <c r="B5642" s="1"/>
    </row>
    <row r="5643">
      <c r="A5643" s="1" t="str">
        <f>IFERROR(__xludf.DUMMYFUNCTION("""COMPUTED_VALUE"""),"150797;INF03VN01696;-;WhiteOak Capital Large Cap Fund Direct Plan Growth;10.457;25-Aug-2023")</f>
        <v>150797;INF03VN01696;-;WhiteOak Capital Large Cap Fund Direct Plan Growth;10.457;25-Aug-2023</v>
      </c>
      <c r="B5643" s="1"/>
    </row>
    <row r="5644">
      <c r="A5644" s="1" t="str">
        <f>IFERROR(__xludf.DUMMYFUNCTION("""COMPUTED_VALUE"""),"150798;INF03VN01704;INF03VN01712;WhiteOak Capital Large Cap Fund Direct Plan IDCW;10.457;25-Aug-2023")</f>
        <v>150798;INF03VN01704;INF03VN01712;WhiteOak Capital Large Cap Fund Direct Plan IDCW;10.457;25-Aug-2023</v>
      </c>
      <c r="B5644" s="1"/>
    </row>
    <row r="5645">
      <c r="A5645" s="1" t="str">
        <f>IFERROR(__xludf.DUMMYFUNCTION("""COMPUTED_VALUE"""),"150799;INF03VN01662;-;WhiteOak Capital Large Cap Fund Regular Plan Growth;10.326;25-Aug-2023")</f>
        <v>150799;INF03VN01662;-;WhiteOak Capital Large Cap Fund Regular Plan Growth;10.326;25-Aug-2023</v>
      </c>
      <c r="B5645" s="1"/>
    </row>
    <row r="5646">
      <c r="A5646" s="1" t="str">
        <f>IFERROR(__xludf.DUMMYFUNCTION("""COMPUTED_VALUE"""),"150800;INF03VN01670;INF03VN01688;WhiteOak Capital Large Cap Fund Regular Plan IDCW;10.326;25-Aug-2023")</f>
        <v>150800;INF03VN01670;INF03VN01688;WhiteOak Capital Large Cap Fund Regular Plan IDCW;10.326;25-Aug-2023</v>
      </c>
      <c r="B5646" s="1"/>
    </row>
    <row r="5647">
      <c r="A5647" s="1"/>
      <c r="B5647" s="1"/>
    </row>
    <row r="5648">
      <c r="A5648" s="1" t="str">
        <f>IFERROR(__xludf.DUMMYFUNCTION("""COMPUTED_VALUE"""),"Open Ended Schemes(Equity Scheme - Mid Cap Fund)")</f>
        <v>Open Ended Schemes(Equity Scheme - Mid Cap Fund)</v>
      </c>
      <c r="B5648" s="1"/>
    </row>
    <row r="5649">
      <c r="A5649" s="1"/>
      <c r="B5649" s="1"/>
    </row>
    <row r="5650">
      <c r="A5650" s="1" t="str">
        <f>IFERROR(__xludf.DUMMYFUNCTION("""COMPUTED_VALUE"""),"Aditya Birla Sun Life Mutual Fund")</f>
        <v>Aditya Birla Sun Life Mutual Fund</v>
      </c>
      <c r="B5650" s="1"/>
    </row>
    <row r="5651">
      <c r="A5651" s="1"/>
      <c r="B5651" s="1"/>
    </row>
    <row r="5652">
      <c r="A5652" s="1" t="str">
        <f>IFERROR(__xludf.DUMMYFUNCTION("""COMPUTED_VALUE"""),"119620;INF209K01Q30;-;Aditya Birla Sun Life Midcap Fund - Growth - Direct Plan;595.77;25-Aug-2023")</f>
        <v>119620;INF209K01Q30;-;Aditya Birla Sun Life Midcap Fund - Growth - Direct Plan;595.77;25-Aug-2023</v>
      </c>
      <c r="B5652" s="1"/>
    </row>
    <row r="5653">
      <c r="A5653" s="1" t="str">
        <f>IFERROR(__xludf.DUMMYFUNCTION("""COMPUTED_VALUE"""),"119619;INF209K01Q22;-;Aditya Birla Sun Life Midcap Fund -DIRECT - IDCW;72.76;25-Aug-2023")</f>
        <v>119619;INF209K01Q22;-;Aditya Birla Sun Life Midcap Fund -DIRECT - IDCW;72.76;25-Aug-2023</v>
      </c>
      <c r="B5653" s="1"/>
    </row>
    <row r="5654">
      <c r="A5654" s="1" t="str">
        <f>IFERROR(__xludf.DUMMYFUNCTION("""COMPUTED_VALUE"""),"101591;INF209K01355;INF209K01CN6;Aditya Birla Sun Life Midcap Fund -REGULAR - IDCW;43.33;25-Aug-2023")</f>
        <v>101591;INF209K01355;INF209K01CN6;Aditya Birla Sun Life Midcap Fund -REGULAR - IDCW;43.33;25-Aug-2023</v>
      </c>
      <c r="B5654" s="1"/>
    </row>
    <row r="5655">
      <c r="A5655" s="1" t="str">
        <f>IFERROR(__xludf.DUMMYFUNCTION("""COMPUTED_VALUE"""),"101592;INF209K01363;-;Aditya Birla Sun Life MIDCAP Fund-Growth;543.38;25-Aug-2023")</f>
        <v>101592;INF209K01363;-;Aditya Birla Sun Life MIDCAP Fund-Growth;543.38;25-Aug-2023</v>
      </c>
      <c r="B5655" s="1"/>
    </row>
    <row r="5656">
      <c r="A5656" s="1"/>
      <c r="B5656" s="1"/>
    </row>
    <row r="5657">
      <c r="A5657" s="1" t="str">
        <f>IFERROR(__xludf.DUMMYFUNCTION("""COMPUTED_VALUE"""),"Axis Mutual Fund")</f>
        <v>Axis Mutual Fund</v>
      </c>
      <c r="B5657" s="1"/>
    </row>
    <row r="5658">
      <c r="A5658" s="1"/>
      <c r="B5658" s="1"/>
    </row>
    <row r="5659">
      <c r="A5659" s="1" t="str">
        <f>IFERROR(__xludf.DUMMYFUNCTION("""COMPUTED_VALUE"""),"120505;INF846K01EH3;-;Axis Midcap Fund - Direct Plan - Growth;87.72;25-Aug-2023")</f>
        <v>120505;INF846K01EH3;-;Axis Midcap Fund - Direct Plan - Growth;87.72;25-Aug-2023</v>
      </c>
      <c r="B5659" s="1"/>
    </row>
    <row r="5660">
      <c r="A5660" s="1" t="str">
        <f>IFERROR(__xludf.DUMMYFUNCTION("""COMPUTED_VALUE"""),"120504;INF846K01EF7;INF846K01EG5;Axis Midcap Fund - Direct Plan - IDCW;43.97;25-Aug-2023")</f>
        <v>120504;INF846K01EF7;INF846K01EG5;Axis Midcap Fund - Direct Plan - IDCW;43.97;25-Aug-2023</v>
      </c>
      <c r="B5660" s="1"/>
    </row>
    <row r="5661">
      <c r="A5661" s="1" t="str">
        <f>IFERROR(__xludf.DUMMYFUNCTION("""COMPUTED_VALUE"""),"114564;INF846K01859;-;Axis Midcap Fund - Regular Plan - Growth;76.99;25-Aug-2023")</f>
        <v>114564;INF846K01859;-;Axis Midcap Fund - Regular Plan - Growth;76.99;25-Aug-2023</v>
      </c>
      <c r="B5661" s="1"/>
    </row>
    <row r="5662">
      <c r="A5662" s="1" t="str">
        <f>IFERROR(__xludf.DUMMYFUNCTION("""COMPUTED_VALUE"""),"114565;INF846K01867;INF846K01875;Axis Midcap Fund - Regular Plan - IDCW;33.98;25-Aug-2023")</f>
        <v>114565;INF846K01867;INF846K01875;Axis Midcap Fund - Regular Plan - IDCW;33.98;25-Aug-2023</v>
      </c>
      <c r="B5662" s="1"/>
    </row>
    <row r="5663">
      <c r="A5663" s="1"/>
      <c r="B5663" s="1"/>
    </row>
    <row r="5664">
      <c r="A5664" s="1" t="str">
        <f>IFERROR(__xludf.DUMMYFUNCTION("""COMPUTED_VALUE"""),"Bandhan Mutual Fund")</f>
        <v>Bandhan Mutual Fund</v>
      </c>
      <c r="B5664" s="1"/>
    </row>
    <row r="5665">
      <c r="A5665" s="1"/>
      <c r="B5665" s="1"/>
    </row>
    <row r="5666">
      <c r="A5666" s="1" t="str">
        <f>IFERROR(__xludf.DUMMYFUNCTION("""COMPUTED_VALUE"""),"150404;INF194KB1DJ2;-;BANDHAN MIDCAP FUND - GROWTH - DIRECT PLAN;12.032;25-Aug-2023")</f>
        <v>150404;INF194KB1DJ2;-;BANDHAN MIDCAP FUND - GROWTH - DIRECT PLAN;12.032;25-Aug-2023</v>
      </c>
      <c r="B5666" s="1"/>
    </row>
    <row r="5667">
      <c r="A5667" s="1" t="str">
        <f>IFERROR(__xludf.DUMMYFUNCTION("""COMPUTED_VALUE"""),"150402;INF194KB1DM6;-;BANDHAN MIDCAP FUND - GROWTH - REGULAR PLAN;11.825;25-Aug-2023")</f>
        <v>150402;INF194KB1DM6;-;BANDHAN MIDCAP FUND - GROWTH - REGULAR PLAN;11.825;25-Aug-2023</v>
      </c>
      <c r="B5667" s="1"/>
    </row>
    <row r="5668">
      <c r="A5668" s="1" t="str">
        <f>IFERROR(__xludf.DUMMYFUNCTION("""COMPUTED_VALUE"""),"150401;INF194KB1DK0;INF194KB1DL8;BANDHAN MIDCAP FUND - IDCW - DIRECT PLAN;12.028;25-Aug-2023")</f>
        <v>150401;INF194KB1DK0;INF194KB1DL8;BANDHAN MIDCAP FUND - IDCW - DIRECT PLAN;12.028;25-Aug-2023</v>
      </c>
      <c r="B5668" s="1"/>
    </row>
    <row r="5669">
      <c r="A5669" s="1" t="str">
        <f>IFERROR(__xludf.DUMMYFUNCTION("""COMPUTED_VALUE"""),"150403;INF194KB1DN4;INF194KB1DO2;BANDHAN MIDCAP FUND - IDCW - REGULAR PLAN;11.826;25-Aug-2023")</f>
        <v>150403;INF194KB1DN4;INF194KB1DO2;BANDHAN MIDCAP FUND - IDCW - REGULAR PLAN;11.826;25-Aug-2023</v>
      </c>
      <c r="B5669" s="1"/>
    </row>
    <row r="5670">
      <c r="A5670" s="1"/>
      <c r="B5670" s="1"/>
    </row>
    <row r="5671">
      <c r="A5671" s="1" t="str">
        <f>IFERROR(__xludf.DUMMYFUNCTION("""COMPUTED_VALUE"""),"Bank of India Mutual Fund")</f>
        <v>Bank of India Mutual Fund</v>
      </c>
      <c r="B5671" s="1"/>
    </row>
    <row r="5672">
      <c r="A5672" s="1"/>
      <c r="B5672" s="1"/>
    </row>
    <row r="5673">
      <c r="A5673" s="1" t="str">
        <f>IFERROR(__xludf.DUMMYFUNCTION("""COMPUTED_VALUE"""),"139527;INF761K01DM6;-;BANK OF INDIA MID &amp; SMALL CAP EQUITY &amp; DEBT FUND - DIRECT PLAN GROWTH;28.43;25-Aug-2023")</f>
        <v>139527;INF761K01DM6;-;BANK OF INDIA MID &amp; SMALL CAP EQUITY &amp; DEBT FUND - DIRECT PLAN GROWTH;28.43;25-Aug-2023</v>
      </c>
      <c r="B5673" s="1"/>
    </row>
    <row r="5674">
      <c r="A5674" s="1" t="str">
        <f>IFERROR(__xludf.DUMMYFUNCTION("""COMPUTED_VALUE"""),"139530;INF761K01DN4;INF761K01DO2;BANK OF INDIA MID &amp; SMALL CAP EQUITY &amp; DEBT FUND - DIRECT PLAN IDCW;23.22;25-Aug-2023")</f>
        <v>139530;INF761K01DN4;INF761K01DO2;BANK OF INDIA MID &amp; SMALL CAP EQUITY &amp; DEBT FUND - DIRECT PLAN IDCW;23.22;25-Aug-2023</v>
      </c>
      <c r="B5674" s="1"/>
    </row>
    <row r="5675">
      <c r="A5675" s="1" t="str">
        <f>IFERROR(__xludf.DUMMYFUNCTION("""COMPUTED_VALUE"""),"139529;INF761K01DP9;-;BANK OF INDIA MID &amp; SMALL CAP EQUITY &amp; DEBT FUND - REGULAR  PLAN  GROWTH;26.68;25-Aug-2023")</f>
        <v>139529;INF761K01DP9;-;BANK OF INDIA MID &amp; SMALL CAP EQUITY &amp; DEBT FUND - REGULAR  PLAN  GROWTH;26.68;25-Aug-2023</v>
      </c>
      <c r="B5675" s="1"/>
    </row>
    <row r="5676">
      <c r="A5676" s="1" t="str">
        <f>IFERROR(__xludf.DUMMYFUNCTION("""COMPUTED_VALUE"""),"139528;INF761K01DQ7;INF761K01DR5;BANK OF INDIA MID &amp; SMALL CAP EQUITY &amp; DEBT FUND - REGULAR  PLAN IDCW;22.62;25-Aug-2023")</f>
        <v>139528;INF761K01DQ7;INF761K01DR5;BANK OF INDIA MID &amp; SMALL CAP EQUITY &amp; DEBT FUND - REGULAR  PLAN IDCW;22.62;25-Aug-2023</v>
      </c>
      <c r="B5676" s="1"/>
    </row>
    <row r="5677">
      <c r="A5677" s="1"/>
      <c r="B5677" s="1"/>
    </row>
    <row r="5678">
      <c r="A5678" s="1" t="str">
        <f>IFERROR(__xludf.DUMMYFUNCTION("""COMPUTED_VALUE"""),"Baroda BNP Paribas Mutual Fund")</f>
        <v>Baroda BNP Paribas Mutual Fund</v>
      </c>
      <c r="B5678" s="1"/>
    </row>
    <row r="5679">
      <c r="A5679" s="1"/>
      <c r="B5679" s="1"/>
    </row>
    <row r="5680">
      <c r="A5680" s="1" t="str">
        <f>IFERROR(__xludf.DUMMYFUNCTION("""COMPUTED_VALUE"""),"150212;INF251K01HQ0;-;BARODA BNP PARIBAS Mid Cap Fund - Direct Plan - Growth Option;80.9575;25-Aug-2023")</f>
        <v>150212;INF251K01HQ0;-;BARODA BNP PARIBAS Mid Cap Fund - Direct Plan - Growth Option;80.9575;25-Aug-2023</v>
      </c>
      <c r="B5680" s="1"/>
    </row>
    <row r="5681">
      <c r="A5681" s="1" t="str">
        <f>IFERROR(__xludf.DUMMYFUNCTION("""COMPUTED_VALUE"""),"150211;INF251K01HO5;INF251K01HP2;BARODA BNP PARIBAS Mid Cap Fund - Direct Plan - IDCW Option;58.6667;25-Aug-2023")</f>
        <v>150211;INF251K01HO5;INF251K01HP2;BARODA BNP PARIBAS Mid Cap Fund - Direct Plan - IDCW Option;58.6667;25-Aug-2023</v>
      </c>
      <c r="B5681" s="1"/>
    </row>
    <row r="5682">
      <c r="A5682" s="1" t="str">
        <f>IFERROR(__xludf.DUMMYFUNCTION("""COMPUTED_VALUE"""),"150209;INF251K01AW3;-;BARODA BNP PARIBAS Mid Cap Fund - Regular Plan - Growth Option;69.9136;25-Aug-2023")</f>
        <v>150209;INF251K01AW3;-;BARODA BNP PARIBAS Mid Cap Fund - Regular Plan - Growth Option;69.9136;25-Aug-2023</v>
      </c>
      <c r="B5682" s="1"/>
    </row>
    <row r="5683">
      <c r="A5683" s="1" t="str">
        <f>IFERROR(__xludf.DUMMYFUNCTION("""COMPUTED_VALUE"""),"150210;INF251K01AX1;INF251K01AY9;BARODA BNP PARIBAS Mid Cap Fund - Regular Plan - IDCW Option;47.7045;25-Aug-2023")</f>
        <v>150210;INF251K01AX1;INF251K01AY9;BARODA BNP PARIBAS Mid Cap Fund - Regular Plan - IDCW Option;47.7045;25-Aug-2023</v>
      </c>
      <c r="B5683" s="1"/>
    </row>
    <row r="5684">
      <c r="A5684" s="1"/>
      <c r="B5684" s="1"/>
    </row>
    <row r="5685">
      <c r="A5685" s="1" t="str">
        <f>IFERROR(__xludf.DUMMYFUNCTION("""COMPUTED_VALUE"""),"Canara Robeco Mutual Fund")</f>
        <v>Canara Robeco Mutual Fund</v>
      </c>
      <c r="B5685" s="1"/>
    </row>
    <row r="5686">
      <c r="A5686" s="1"/>
      <c r="B5686" s="1"/>
    </row>
    <row r="5687">
      <c r="A5687" s="1" t="str">
        <f>IFERROR(__xludf.DUMMYFUNCTION("""COMPUTED_VALUE"""),"150817;INF760K01KI1;-;Canara Robeco Mid Cap Fund- Direct Plan- Growth Option;11.6900;25-Aug-2023")</f>
        <v>150817;INF760K01KI1;-;Canara Robeco Mid Cap Fund- Direct Plan- Growth Option;11.6900;25-Aug-2023</v>
      </c>
      <c r="B5687" s="1"/>
    </row>
    <row r="5688">
      <c r="A5688" s="1" t="str">
        <f>IFERROR(__xludf.DUMMYFUNCTION("""COMPUTED_VALUE"""),"150818;INF760K01KK7;INF760K01KJ9;Canara Robeco Mid Cap Fund- Direct Plan- IDCW;11.7000;25-Aug-2023")</f>
        <v>150818;INF760K01KK7;INF760K01KJ9;Canara Robeco Mid Cap Fund- Direct Plan- IDCW;11.7000;25-Aug-2023</v>
      </c>
      <c r="B5688" s="1"/>
    </row>
    <row r="5689">
      <c r="A5689" s="1" t="str">
        <f>IFERROR(__xludf.DUMMYFUNCTION("""COMPUTED_VALUE"""),"150816;INF760K01KL5;-;Canara Robeco Mid Cap Fund- Regular Plan- Growth Option;11.5600;25-Aug-2023")</f>
        <v>150816;INF760K01KL5;-;Canara Robeco Mid Cap Fund- Regular Plan- Growth Option;11.5600;25-Aug-2023</v>
      </c>
      <c r="B5689" s="1"/>
    </row>
    <row r="5690">
      <c r="A5690" s="1" t="str">
        <f>IFERROR(__xludf.DUMMYFUNCTION("""COMPUTED_VALUE"""),"150819;INF760K01KN1;INF760K01KM3;Canara Robeco Mid Cap Fund- Regular Plan- IDCW;11.5500;25-Aug-2023")</f>
        <v>150819;INF760K01KN1;INF760K01KM3;Canara Robeco Mid Cap Fund- Regular Plan- IDCW;11.5500;25-Aug-2023</v>
      </c>
      <c r="B5690" s="1"/>
    </row>
    <row r="5691">
      <c r="A5691" s="1"/>
      <c r="B5691" s="1"/>
    </row>
    <row r="5692">
      <c r="A5692" s="1" t="str">
        <f>IFERROR(__xludf.DUMMYFUNCTION("""COMPUTED_VALUE"""),"DSP Mutual Fund")</f>
        <v>DSP Mutual Fund</v>
      </c>
      <c r="B5692" s="1"/>
    </row>
    <row r="5693">
      <c r="A5693" s="1"/>
      <c r="B5693" s="1"/>
    </row>
    <row r="5694">
      <c r="A5694" s="1" t="str">
        <f>IFERROR(__xludf.DUMMYFUNCTION("""COMPUTED_VALUE"""),"119071;INF740K01PX1;-;DSP Midcap Fund - Direct Plan - Growth;112.214;25-Aug-2023")</f>
        <v>119071;INF740K01PX1;-;DSP Midcap Fund - Direct Plan - Growth;112.214;25-Aug-2023</v>
      </c>
      <c r="B5694" s="1"/>
    </row>
    <row r="5695">
      <c r="A5695" s="1" t="str">
        <f>IFERROR(__xludf.DUMMYFUNCTION("""COMPUTED_VALUE"""),"119070;INF740K01PY9;INF740K01PZ6;DSP Midcap Fund - Direct Plan - IDCW;57.474;25-Aug-2023")</f>
        <v>119070;INF740K01PY9;INF740K01PZ6;DSP Midcap Fund - Direct Plan - IDCW;57.474;25-Aug-2023</v>
      </c>
      <c r="B5695" s="1"/>
    </row>
    <row r="5696">
      <c r="A5696" s="1" t="str">
        <f>IFERROR(__xludf.DUMMYFUNCTION("""COMPUTED_VALUE"""),"104481;INF740K01128;-;DSP Midcap Fund - Regular Plan - Growth;102.722;25-Aug-2023")</f>
        <v>104481;INF740K01128;-;DSP Midcap Fund - Regular Plan - Growth;102.722;25-Aug-2023</v>
      </c>
      <c r="B5696" s="1"/>
    </row>
    <row r="5697">
      <c r="A5697" s="1" t="str">
        <f>IFERROR(__xludf.DUMMYFUNCTION("""COMPUTED_VALUE"""),"104482;INF740K01102;INF740K01110;DSP Midcap Fund - Regular Plan - IDCW;25.121;25-Aug-2023")</f>
        <v>104482;INF740K01102;INF740K01110;DSP Midcap Fund - Regular Plan - IDCW;25.121;25-Aug-2023</v>
      </c>
      <c r="B5697" s="1"/>
    </row>
    <row r="5698">
      <c r="A5698" s="1"/>
      <c r="B5698" s="1"/>
    </row>
    <row r="5699">
      <c r="A5699" s="1" t="str">
        <f>IFERROR(__xludf.DUMMYFUNCTION("""COMPUTED_VALUE"""),"Edelweiss Mutual Fund")</f>
        <v>Edelweiss Mutual Fund</v>
      </c>
      <c r="B5699" s="1"/>
    </row>
    <row r="5700">
      <c r="A5700" s="1"/>
      <c r="B5700" s="1"/>
    </row>
    <row r="5701">
      <c r="A5701" s="1" t="str">
        <f>IFERROR(__xludf.DUMMYFUNCTION("""COMPUTED_VALUE"""),"140228;INF843K01AO4;-;Edelweiss Mid Cap Fund - Direct Plan - Growth Option;69.97;25-Aug-2023")</f>
        <v>140228;INF843K01AO4;-;Edelweiss Mid Cap Fund - Direct Plan - Growth Option;69.97;25-Aug-2023</v>
      </c>
      <c r="B5701" s="1"/>
    </row>
    <row r="5702">
      <c r="A5702" s="1" t="str">
        <f>IFERROR(__xludf.DUMMYFUNCTION("""COMPUTED_VALUE"""),"140227;INF843K01AP1;INF843K01AQ9;Edelweiss Mid Cap Fund - Direct Plan - IDCW Option;51.019;25-Aug-2023")</f>
        <v>140227;INF843K01AP1;INF843K01AQ9;Edelweiss Mid Cap Fund - Direct Plan - IDCW Option;51.019;25-Aug-2023</v>
      </c>
      <c r="B5702" s="1"/>
    </row>
    <row r="5703">
      <c r="A5703" s="1" t="str">
        <f>IFERROR(__xludf.DUMMYFUNCTION("""COMPUTED_VALUE"""),"140225;INF843K01013;-;Edelweiss Mid Cap Fund - Regular Plan - Growth Option;61.498;25-Aug-2023")</f>
        <v>140225;INF843K01013;-;Edelweiss Mid Cap Fund - Regular Plan - Growth Option;61.498;25-Aug-2023</v>
      </c>
      <c r="B5703" s="1"/>
    </row>
    <row r="5704">
      <c r="A5704" s="1" t="str">
        <f>IFERROR(__xludf.DUMMYFUNCTION("""COMPUTED_VALUE"""),"140226;INF843K01021;INF843K01039;Edelweiss Mid Cap Fund - Regular Plan - IDCW Option;35.456;25-Aug-2023")</f>
        <v>140226;INF843K01021;INF843K01039;Edelweiss Mid Cap Fund - Regular Plan - IDCW Option;35.456;25-Aug-2023</v>
      </c>
      <c r="B5704" s="1"/>
    </row>
    <row r="5705">
      <c r="A5705" s="1"/>
      <c r="B5705" s="1"/>
    </row>
    <row r="5706">
      <c r="A5706" s="1" t="str">
        <f>IFERROR(__xludf.DUMMYFUNCTION("""COMPUTED_VALUE"""),"Franklin Templeton Mutual Fund")</f>
        <v>Franklin Templeton Mutual Fund</v>
      </c>
      <c r="B5706" s="1"/>
    </row>
    <row r="5707">
      <c r="A5707" s="1"/>
      <c r="B5707" s="1"/>
    </row>
    <row r="5708">
      <c r="A5708" s="1" t="str">
        <f>IFERROR(__xludf.DUMMYFUNCTION("""COMPUTED_VALUE"""),"118533;INF090I01FH9;-;Franklin India Prima Fund - Direct - Growth;1977.2428;25-Aug-2023")</f>
        <v>118533;INF090I01FH9;-;Franklin India Prima Fund - Direct - Growth;1977.2428;25-Aug-2023</v>
      </c>
      <c r="B5708" s="1"/>
    </row>
    <row r="5709">
      <c r="A5709" s="1" t="str">
        <f>IFERROR(__xludf.DUMMYFUNCTION("""COMPUTED_VALUE"""),"118532;INF090I01FI7;INF090I01FJ5;Franklin India PRIMA FUND - Direct - IDCW ;84.5359;25-Aug-2023")</f>
        <v>118532;INF090I01FI7;INF090I01FJ5;Franklin India PRIMA FUND - Direct - IDCW ;84.5359;25-Aug-2023</v>
      </c>
      <c r="B5709" s="1"/>
    </row>
    <row r="5710">
      <c r="A5710" s="1" t="str">
        <f>IFERROR(__xludf.DUMMYFUNCTION("""COMPUTED_VALUE"""),"100472;INF090I01726;INF090I01734;Franklin India PRIMA FUND - IDCW ;71.4949;25-Aug-2023")</f>
        <v>100472;INF090I01726;INF090I01734;Franklin India PRIMA FUND - IDCW ;71.4949;25-Aug-2023</v>
      </c>
      <c r="B5710" s="1"/>
    </row>
    <row r="5711">
      <c r="A5711" s="1" t="str">
        <f>IFERROR(__xludf.DUMMYFUNCTION("""COMPUTED_VALUE"""),"100473;INF090I01809;-;Franklin India Prima Fund-Growth;1785.8963;25-Aug-2023")</f>
        <v>100473;INF090I01809;-;Franklin India Prima Fund-Growth;1785.8963;25-Aug-2023</v>
      </c>
      <c r="B5711" s="1"/>
    </row>
    <row r="5712">
      <c r="A5712" s="1"/>
      <c r="B5712" s="1"/>
    </row>
    <row r="5713">
      <c r="A5713" s="1" t="str">
        <f>IFERROR(__xludf.DUMMYFUNCTION("""COMPUTED_VALUE"""),"HDFC Mutual Fund")</f>
        <v>HDFC Mutual Fund</v>
      </c>
      <c r="B5713" s="1"/>
    </row>
    <row r="5714">
      <c r="A5714" s="1"/>
      <c r="B5714" s="1"/>
    </row>
    <row r="5715">
      <c r="A5715" s="1" t="str">
        <f>IFERROR(__xludf.DUMMYFUNCTION("""COMPUTED_VALUE"""),"118989;INF179K01XQ0;-;HDFC Mid-Cap Opportunities Fund - Growth Option - Direct Plan;138.384;25-Aug-2023")</f>
        <v>118989;INF179K01XQ0;-;HDFC Mid-Cap Opportunities Fund - Growth Option - Direct Plan;138.384;25-Aug-2023</v>
      </c>
      <c r="B5715" s="1"/>
    </row>
    <row r="5716">
      <c r="A5716" s="1" t="str">
        <f>IFERROR(__xludf.DUMMYFUNCTION("""COMPUTED_VALUE"""),"105758;INF179K01CR2;-;HDFC Mid-Cap Opportunities Fund - Growth Plan;127.212;25-Aug-2023")</f>
        <v>105758;INF179K01CR2;-;HDFC Mid-Cap Opportunities Fund - Growth Plan;127.212;25-Aug-2023</v>
      </c>
      <c r="B5716" s="1"/>
    </row>
    <row r="5717">
      <c r="A5717" s="1" t="str">
        <f>IFERROR(__xludf.DUMMYFUNCTION("""COMPUTED_VALUE"""),"118988;INF179K01XO5;INF179K01XP2;HDFC Mid-Cap Opportunities Fund - IDCW Option - Direct Plan;59.955;25-Aug-2023")</f>
        <v>118988;INF179K01XO5;INF179K01XP2;HDFC Mid-Cap Opportunities Fund - IDCW Option - Direct Plan;59.955;25-Aug-2023</v>
      </c>
      <c r="B5717" s="1"/>
    </row>
    <row r="5718">
      <c r="A5718" s="1" t="str">
        <f>IFERROR(__xludf.DUMMYFUNCTION("""COMPUTED_VALUE"""),"105757;INF179K01CS0;INF179K01CT8;HDFC Mid-Cap Opportunities Fund - IDCW Plan;42.825;25-Aug-2023")</f>
        <v>105757;INF179K01CS0;INF179K01CT8;HDFC Mid-Cap Opportunities Fund - IDCW Plan;42.825;25-Aug-2023</v>
      </c>
      <c r="B5718" s="1"/>
    </row>
    <row r="5719">
      <c r="A5719" s="1"/>
      <c r="B5719" s="1"/>
    </row>
    <row r="5720">
      <c r="A5720" s="1" t="str">
        <f>IFERROR(__xludf.DUMMYFUNCTION("""COMPUTED_VALUE"""),"HSBC Mutual Fund")</f>
        <v>HSBC Mutual Fund</v>
      </c>
      <c r="B5720" s="1"/>
    </row>
    <row r="5721">
      <c r="A5721" s="1"/>
      <c r="B5721" s="1"/>
    </row>
    <row r="5722">
      <c r="A5722" s="1" t="str">
        <f>IFERROR(__xludf.DUMMYFUNCTION("""COMPUTED_VALUE"""),"151036;INF917K01FZ1;-;HSBC Midcap Fund - Direct Growth;270.7955;25-Aug-2023")</f>
        <v>151036;INF917K01FZ1;-;HSBC Midcap Fund - Direct Growth;270.7955;25-Aug-2023</v>
      </c>
      <c r="B5722" s="1"/>
    </row>
    <row r="5723">
      <c r="A5723" s="1" t="str">
        <f>IFERROR(__xludf.DUMMYFUNCTION("""COMPUTED_VALUE"""),"151035;INF917K01E78;INF917K01FX6;HSBC Midcap Fund - Direct IDCW;66.1069;25-Aug-2023")</f>
        <v>151035;INF917K01E78;INF917K01FX6;HSBC Midcap Fund - Direct IDCW;66.1069;25-Aug-2023</v>
      </c>
      <c r="B5723" s="1"/>
    </row>
    <row r="5724">
      <c r="A5724" s="1" t="str">
        <f>IFERROR(__xludf.DUMMYFUNCTION("""COMPUTED_VALUE"""),"151034;INF917K01254;-;HSBC Midcap Fund - Regular Growth;244.4748;25-Aug-2023")</f>
        <v>151034;INF917K01254;-;HSBC Midcap Fund - Regular Growth;244.4748;25-Aug-2023</v>
      </c>
      <c r="B5724" s="1"/>
    </row>
    <row r="5725">
      <c r="A5725" s="1" t="str">
        <f>IFERROR(__xludf.DUMMYFUNCTION("""COMPUTED_VALUE"""),"151033;INF917K01239;INF917K01247;HSBC Midcap Fund - Regular IDCW;59.646;25-Aug-2023")</f>
        <v>151033;INF917K01239;INF917K01247;HSBC Midcap Fund - Regular IDCW;59.646;25-Aug-2023</v>
      </c>
      <c r="B5725" s="1"/>
    </row>
    <row r="5726">
      <c r="A5726" s="1"/>
      <c r="B5726" s="1"/>
    </row>
    <row r="5727">
      <c r="A5727" s="1" t="str">
        <f>IFERROR(__xludf.DUMMYFUNCTION("""COMPUTED_VALUE"""),"Invesco Mutual Fund")</f>
        <v>Invesco Mutual Fund</v>
      </c>
      <c r="B5727" s="1"/>
    </row>
    <row r="5728">
      <c r="A5728" s="1"/>
      <c r="B5728" s="1"/>
    </row>
    <row r="5729">
      <c r="A5729" s="1" t="str">
        <f>IFERROR(__xludf.DUMMYFUNCTION("""COMPUTED_VALUE"""),"120403;INF205K01MV6;-;Invesco India Midcap Fund - Direct Plan - Growth Option;122.74;25-Aug-2023")</f>
        <v>120403;INF205K01MV6;-;Invesco India Midcap Fund - Direct Plan - Growth Option;122.74;25-Aug-2023</v>
      </c>
      <c r="B5729" s="1"/>
    </row>
    <row r="5730">
      <c r="A5730" s="1" t="str">
        <f>IFERROR(__xludf.DUMMYFUNCTION("""COMPUTED_VALUE"""),"120402;INF205K01MT0;INF205K01MU8;Invesco India Midcap Fund - Direct Plan - IDCW (Payout / Reinvestment);49.63;25-Aug-2023")</f>
        <v>120402;INF205K01MT0;INF205K01MU8;Invesco India Midcap Fund - Direct Plan - IDCW (Payout / Reinvestment);49.63;25-Aug-2023</v>
      </c>
      <c r="B5730" s="1"/>
    </row>
    <row r="5731">
      <c r="A5731" s="1" t="str">
        <f>IFERROR(__xludf.DUMMYFUNCTION("""COMPUTED_VALUE"""),"105503;INF205K01BC9;-;Invesco India Midcap Fund - Growth Option;104.56;25-Aug-2023")</f>
        <v>105503;INF205K01BC9;-;Invesco India Midcap Fund - Growth Option;104.56;25-Aug-2023</v>
      </c>
      <c r="B5731" s="1"/>
    </row>
    <row r="5732">
      <c r="A5732" s="1" t="str">
        <f>IFERROR(__xludf.DUMMYFUNCTION("""COMPUTED_VALUE"""),"105504;INF205K01BD7;INF205K01BE5;Invesco India Midcap Fund - IDCW (Payout / Reinvestment);39.54;25-Aug-2023")</f>
        <v>105504;INF205K01BD7;INF205K01BE5;Invesco India Midcap Fund - IDCW (Payout / Reinvestment);39.54;25-Aug-2023</v>
      </c>
      <c r="B5732" s="1"/>
    </row>
    <row r="5733">
      <c r="A5733" s="1"/>
      <c r="B5733" s="1"/>
    </row>
    <row r="5734">
      <c r="A5734" s="1" t="str">
        <f>IFERROR(__xludf.DUMMYFUNCTION("""COMPUTED_VALUE"""),"ITI Mutual Fund")</f>
        <v>ITI Mutual Fund</v>
      </c>
      <c r="B5734" s="1"/>
    </row>
    <row r="5735">
      <c r="A5735" s="1"/>
      <c r="B5735" s="1"/>
    </row>
    <row r="5736">
      <c r="A5736" s="1" t="str">
        <f>IFERROR(__xludf.DUMMYFUNCTION("""COMPUTED_VALUE"""),"148733;INF00XX01929;-;ITI Mid Cap Fund - Direct Plan - Growth Option;14.1769;25-Aug-2023")</f>
        <v>148733;INF00XX01929;-;ITI Mid Cap Fund - Direct Plan - Growth Option;14.1769;25-Aug-2023</v>
      </c>
      <c r="B5736" s="1"/>
    </row>
    <row r="5737">
      <c r="A5737" s="1" t="str">
        <f>IFERROR(__xludf.DUMMYFUNCTION("""COMPUTED_VALUE"""),"148731;INF00XX01937;INF00XX01945;ITI Mid Cap Fund - Direct Plan - IDCW Option;14.1769;25-Aug-2023")</f>
        <v>148731;INF00XX01937;INF00XX01945;ITI Mid Cap Fund - Direct Plan - IDCW Option;14.1769;25-Aug-2023</v>
      </c>
      <c r="B5737" s="1"/>
    </row>
    <row r="5738">
      <c r="A5738" s="1" t="str">
        <f>IFERROR(__xludf.DUMMYFUNCTION("""COMPUTED_VALUE"""),"148732;INF00XX01895;-;ITI Mid Cap Fund - Regular Plan - Growth Option;13.4225;25-Aug-2023")</f>
        <v>148732;INF00XX01895;-;ITI Mid Cap Fund - Regular Plan - Growth Option;13.4225;25-Aug-2023</v>
      </c>
      <c r="B5738" s="1"/>
    </row>
    <row r="5739">
      <c r="A5739" s="1" t="str">
        <f>IFERROR(__xludf.DUMMYFUNCTION("""COMPUTED_VALUE"""),"148734;INF00XX01903;INF00XX01911;ITI Mid Cap Fund - Regular Plan - IDCW Option;13.4225;25-Aug-2023")</f>
        <v>148734;INF00XX01903;INF00XX01911;ITI Mid Cap Fund - Regular Plan - IDCW Option;13.4225;25-Aug-2023</v>
      </c>
      <c r="B5739" s="1"/>
    </row>
    <row r="5740">
      <c r="A5740" s="1"/>
      <c r="B5740" s="1"/>
    </row>
    <row r="5741">
      <c r="A5741" s="1" t="str">
        <f>IFERROR(__xludf.DUMMYFUNCTION("""COMPUTED_VALUE"""),"JM Financial Mutual Fund")</f>
        <v>JM Financial Mutual Fund</v>
      </c>
      <c r="B5741" s="1"/>
    </row>
    <row r="5742">
      <c r="A5742" s="1"/>
      <c r="B5742" s="1"/>
    </row>
    <row r="5743">
      <c r="A5743" s="1" t="str">
        <f>IFERROR(__xludf.DUMMYFUNCTION("""COMPUTED_VALUE"""),"150815;INF192K01MV6;-;JM Midcap Fund (Direct) - Growth;12.8854;25-Aug-2023")</f>
        <v>150815;INF192K01MV6;-;JM Midcap Fund (Direct) - Growth;12.8854;25-Aug-2023</v>
      </c>
      <c r="B5743" s="1"/>
    </row>
    <row r="5744">
      <c r="A5744" s="1" t="str">
        <f>IFERROR(__xludf.DUMMYFUNCTION("""COMPUTED_VALUE"""),"150814;INF192K01MW4;INF192K01MX2;JM Midcap Fund (Direct) - IDCW;12.8854;25-Aug-2023")</f>
        <v>150814;INF192K01MW4;INF192K01MX2;JM Midcap Fund (Direct) - IDCW;12.8854;25-Aug-2023</v>
      </c>
      <c r="B5744" s="1"/>
    </row>
    <row r="5745">
      <c r="A5745" s="1" t="str">
        <f>IFERROR(__xludf.DUMMYFUNCTION("""COMPUTED_VALUE"""),"150812;INF192K01MS2;-;JM Midcap Fund (Regular) - Growth;12.6939;25-Aug-2023")</f>
        <v>150812;INF192K01MS2;-;JM Midcap Fund (Regular) - Growth;12.6939;25-Aug-2023</v>
      </c>
      <c r="B5745" s="1"/>
    </row>
    <row r="5746">
      <c r="A5746" s="1" t="str">
        <f>IFERROR(__xludf.DUMMYFUNCTION("""COMPUTED_VALUE"""),"150813;INF192K01MT0;INF192K01MU8;JM Midcap Fund (Regular) - IDCW;12.6939;25-Aug-2023")</f>
        <v>150813;INF192K01MT0;INF192K01MU8;JM Midcap Fund (Regular) - IDCW;12.6939;25-Aug-2023</v>
      </c>
      <c r="B5746" s="1"/>
    </row>
    <row r="5747">
      <c r="A5747" s="1"/>
      <c r="B5747" s="1"/>
    </row>
    <row r="5748">
      <c r="A5748" s="1" t="str">
        <f>IFERROR(__xludf.DUMMYFUNCTION("""COMPUTED_VALUE"""),"Kotak Mahindra Mutual Fund")</f>
        <v>Kotak Mahindra Mutual Fund</v>
      </c>
      <c r="B5748" s="1"/>
    </row>
    <row r="5749">
      <c r="A5749" s="1"/>
      <c r="B5749" s="1"/>
    </row>
    <row r="5750">
      <c r="A5750" s="1" t="str">
        <f>IFERROR(__xludf.DUMMYFUNCTION("""COMPUTED_VALUE"""),"104908;INF174K01DS9;-;Kotak Emerging Equity Scheme - Growth;89.109;25-Aug-2023")</f>
        <v>104908;INF174K01DS9;-;Kotak Emerging Equity Scheme - Growth;89.109;25-Aug-2023</v>
      </c>
      <c r="B5750" s="1"/>
    </row>
    <row r="5751">
      <c r="A5751" s="1" t="str">
        <f>IFERROR(__xludf.DUMMYFUNCTION("""COMPUTED_VALUE"""),"119775;INF174K01LT0;-;Kotak Emerging Equity Scheme - Growth - Direct;101.066;25-Aug-2023")</f>
        <v>119775;INF174K01LT0;-;Kotak Emerging Equity Scheme - Growth - Direct;101.066;25-Aug-2023</v>
      </c>
      <c r="B5751" s="1"/>
    </row>
    <row r="5752">
      <c r="A5752" s="1" t="str">
        <f>IFERROR(__xludf.DUMMYFUNCTION("""COMPUTED_VALUE"""),"104907;INF174K01DU5;INF174K01DT7;Kotak Emerging Equity Scheme - Payout of Income Distribution cum capital withdrawal option;48.941;25-Aug-2023")</f>
        <v>104907;INF174K01DU5;INF174K01DT7;Kotak Emerging Equity Scheme - Payout of Income Distribution cum capital withdrawal option;48.941;25-Aug-2023</v>
      </c>
      <c r="B5752" s="1"/>
    </row>
    <row r="5753">
      <c r="A5753" s="1" t="str">
        <f>IFERROR(__xludf.DUMMYFUNCTION("""COMPUTED_VALUE"""),"119774;INF174K01LU8;INF174K01LV6;Kotak Emerging Equity Scheme - Payout of Income Distribution cum capital withdrawal option - Direct;60.214;25-Aug-2023")</f>
        <v>119774;INF174K01LU8;INF174K01LV6;Kotak Emerging Equity Scheme - Payout of Income Distribution cum capital withdrawal option - Direct;60.214;25-Aug-2023</v>
      </c>
      <c r="B5753" s="1"/>
    </row>
    <row r="5754">
      <c r="A5754" s="1"/>
      <c r="B5754" s="1"/>
    </row>
    <row r="5755">
      <c r="A5755" s="1" t="str">
        <f>IFERROR(__xludf.DUMMYFUNCTION("""COMPUTED_VALUE"""),"LIC Mutual Fund")</f>
        <v>LIC Mutual Fund</v>
      </c>
      <c r="B5755" s="1"/>
    </row>
    <row r="5756">
      <c r="A5756" s="1"/>
      <c r="B5756" s="1"/>
    </row>
    <row r="5757">
      <c r="A5757" s="1" t="str">
        <f>IFERROR(__xludf.DUMMYFUNCTION("""COMPUTED_VALUE"""),"152002;INF397L01JK8;-;LIC MF Mid Cap Fund-Direct Plan-Growth;21.45;25-Aug-2023")</f>
        <v>152002;INF397L01JK8;-;LIC MF Mid Cap Fund-Direct Plan-Growth;21.45;25-Aug-2023</v>
      </c>
      <c r="B5757" s="1"/>
    </row>
    <row r="5758">
      <c r="A5758" s="1" t="str">
        <f>IFERROR(__xludf.DUMMYFUNCTION("""COMPUTED_VALUE"""),"151999;INF397L01JH4;INF397L01JI2;LIC MF Mid Cap Fund-Direct Plan-IDCW;20.17;25-Aug-2023")</f>
        <v>151999;INF397L01JH4;INF397L01JI2;LIC MF Mid Cap Fund-Direct Plan-IDCW;20.17;25-Aug-2023</v>
      </c>
      <c r="B5758" s="1"/>
    </row>
    <row r="5759">
      <c r="A5759" s="1" t="str">
        <f>IFERROR(__xludf.DUMMYFUNCTION("""COMPUTED_VALUE"""),"152001;INF397L01JO0;-;LIC MF Mid Cap Fund-Regular Plan-Growth;19.55;25-Aug-2023")</f>
        <v>152001;INF397L01JO0;-;LIC MF Mid Cap Fund-Regular Plan-Growth;19.55;25-Aug-2023</v>
      </c>
      <c r="B5759" s="1"/>
    </row>
    <row r="5760">
      <c r="A5760" s="1" t="str">
        <f>IFERROR(__xludf.DUMMYFUNCTION("""COMPUTED_VALUE"""),"152000;INF397L01JL6;INF397L01JM4;LIC MF Mid Cap Fund-Regular Plan-IDCW;18.35;25-Aug-2023")</f>
        <v>152000;INF397L01JL6;INF397L01JM4;LIC MF Mid Cap Fund-Regular Plan-IDCW;18.35;25-Aug-2023</v>
      </c>
      <c r="B5760" s="1"/>
    </row>
    <row r="5761">
      <c r="A5761" s="1"/>
      <c r="B5761" s="1"/>
    </row>
    <row r="5762">
      <c r="A5762" s="1" t="str">
        <f>IFERROR(__xludf.DUMMYFUNCTION("""COMPUTED_VALUE"""),"Mahindra Manulife Mutual Fund")</f>
        <v>Mahindra Manulife Mutual Fund</v>
      </c>
      <c r="B5762" s="1"/>
    </row>
    <row r="5763">
      <c r="A5763" s="1"/>
      <c r="B5763" s="1"/>
    </row>
    <row r="5764">
      <c r="A5764" s="1" t="str">
        <f>IFERROR(__xludf.DUMMYFUNCTION("""COMPUTED_VALUE"""),"142108;INF174V01523;INF174V01515;Mahindra Manulife Mid Cap Fund - Direct Plan - IDCW;20.6423;25-Aug-2023")</f>
        <v>142108;INF174V01523;INF174V01515;Mahindra Manulife Mid Cap Fund - Direct Plan - IDCW;20.6423;25-Aug-2023</v>
      </c>
      <c r="B5764" s="1"/>
    </row>
    <row r="5765">
      <c r="A5765" s="1" t="str">
        <f>IFERROR(__xludf.DUMMYFUNCTION("""COMPUTED_VALUE"""),"142110;INF174V01507;-;Mahindra Manulife Mid Cap Fund - Direct Plan -Growth;23.8955;25-Aug-2023")</f>
        <v>142110;INF174V01507;-;Mahindra Manulife Mid Cap Fund - Direct Plan -Growth;23.8955;25-Aug-2023</v>
      </c>
      <c r="B5765" s="1"/>
    </row>
    <row r="5766">
      <c r="A5766" s="1" t="str">
        <f>IFERROR(__xludf.DUMMYFUNCTION("""COMPUTED_VALUE"""),"142109;INF174V01473;-;Mahindra Manulife Mid Cap Fund - Regular Plan - Growth;21.7079;25-Aug-2023")</f>
        <v>142109;INF174V01473;-;Mahindra Manulife Mid Cap Fund - Regular Plan - Growth;21.7079;25-Aug-2023</v>
      </c>
      <c r="B5766" s="1"/>
    </row>
    <row r="5767">
      <c r="A5767" s="1" t="str">
        <f>IFERROR(__xludf.DUMMYFUNCTION("""COMPUTED_VALUE"""),"142107;INF174V01499;INF174V01481;Mahindra Manulife Mid Cap Fund- Regular Plan - IDCW;18.5085;25-Aug-2023")</f>
        <v>142107;INF174V01499;INF174V01481;Mahindra Manulife Mid Cap Fund- Regular Plan - IDCW;18.5085;25-Aug-2023</v>
      </c>
      <c r="B5767" s="1"/>
    </row>
    <row r="5768">
      <c r="A5768" s="1"/>
      <c r="B5768" s="1"/>
    </row>
    <row r="5769">
      <c r="A5769" s="1" t="str">
        <f>IFERROR(__xludf.DUMMYFUNCTION("""COMPUTED_VALUE"""),"Mirae Asset Mutual Fund")</f>
        <v>Mirae Asset Mutual Fund</v>
      </c>
      <c r="B5769" s="1"/>
    </row>
    <row r="5770">
      <c r="A5770" s="1"/>
      <c r="B5770" s="1"/>
    </row>
    <row r="5771">
      <c r="A5771" s="1" t="str">
        <f>IFERROR(__xludf.DUMMYFUNCTION("""COMPUTED_VALUE"""),"147479;INF769K01EY2;-;Mirae Asset Midcap Fund - Regular Plan-Growth Option;25.507;25-Aug-2023")</f>
        <v>147479;INF769K01EY2;-;Mirae Asset Midcap Fund - Regular Plan-Growth Option;25.507;25-Aug-2023</v>
      </c>
      <c r="B5771" s="1"/>
    </row>
    <row r="5772">
      <c r="A5772" s="1" t="str">
        <f>IFERROR(__xludf.DUMMYFUNCTION("""COMPUTED_VALUE"""),"147478;INF769K01EZ9;INF769K01FC5;Mirae Asset Midcap Fund Direct IDCW;22.761;25-Aug-2023")</f>
        <v>147478;INF769K01EZ9;INF769K01FC5;Mirae Asset Midcap Fund Direct IDCW;22.761;25-Aug-2023</v>
      </c>
      <c r="B5772" s="1"/>
    </row>
    <row r="5773">
      <c r="A5773" s="1" t="str">
        <f>IFERROR(__xludf.DUMMYFUNCTION("""COMPUTED_VALUE"""),"147480;INF769K01EX4;INF769K01FB7;Mirae Asset Midcap Fund Regular IDCW;21.348;25-Aug-2023")</f>
        <v>147480;INF769K01EX4;INF769K01FB7;Mirae Asset Midcap Fund Regular IDCW;21.348;25-Aug-2023</v>
      </c>
      <c r="B5773" s="1"/>
    </row>
    <row r="5774">
      <c r="A5774" s="1" t="str">
        <f>IFERROR(__xludf.DUMMYFUNCTION("""COMPUTED_VALUE"""),"147445;INF769K01FA9;-;Mirae Asset Midcap Fund- Direct Growth Option;27.025;25-Aug-2023")</f>
        <v>147445;INF769K01FA9;-;Mirae Asset Midcap Fund- Direct Growth Option;27.025;25-Aug-2023</v>
      </c>
      <c r="B5774" s="1"/>
    </row>
    <row r="5775">
      <c r="A5775" s="1"/>
      <c r="B5775" s="1"/>
    </row>
    <row r="5776">
      <c r="A5776" s="1" t="str">
        <f>IFERROR(__xludf.DUMMYFUNCTION("""COMPUTED_VALUE"""),"Motilal Oswal Mutual Fund")</f>
        <v>Motilal Oswal Mutual Fund</v>
      </c>
      <c r="B5776" s="1"/>
    </row>
    <row r="5777">
      <c r="A5777" s="1"/>
      <c r="B5777" s="1"/>
    </row>
    <row r="5778">
      <c r="A5778" s="1" t="str">
        <f>IFERROR(__xludf.DUMMYFUNCTION("""COMPUTED_VALUE"""),"127044;INF247L01460;INF247L01452;Motilal Oswal Midcap Fund-Direct - IDCW Payout/Reinvestment;33.7673;25-Aug-2023")</f>
        <v>127044;INF247L01460;INF247L01452;Motilal Oswal Midcap Fund-Direct - IDCW Payout/Reinvestment;33.7673;25-Aug-2023</v>
      </c>
      <c r="B5778" s="1"/>
    </row>
    <row r="5779">
      <c r="A5779" s="1" t="str">
        <f>IFERROR(__xludf.DUMMYFUNCTION("""COMPUTED_VALUE"""),"127042;INF247L01445;-;Motilal Oswal Midcap Fund-Direct Plan-Growth Option;67.5559;25-Aug-2023")</f>
        <v>127042;INF247L01445;-;Motilal Oswal Midcap Fund-Direct Plan-Growth Option;67.5559;25-Aug-2023</v>
      </c>
      <c r="B5779" s="1"/>
    </row>
    <row r="5780">
      <c r="A5780" s="1" t="str">
        <f>IFERROR(__xludf.DUMMYFUNCTION("""COMPUTED_VALUE"""),"127040;INF247L01437;INF247L01429;Motilal Oswal Midcap Fund-Regular - IDCW Payout/Reinvestment;31.3883;25-Aug-2023")</f>
        <v>127040;INF247L01437;INF247L01429;Motilal Oswal Midcap Fund-Regular - IDCW Payout/Reinvestment;31.3883;25-Aug-2023</v>
      </c>
      <c r="B5780" s="1"/>
    </row>
    <row r="5781">
      <c r="A5781" s="1" t="str">
        <f>IFERROR(__xludf.DUMMYFUNCTION("""COMPUTED_VALUE"""),"127039;INF247L01411;-;Motilal Oswal Midcap Fund-Regular Plan-Growth Option;60.1583;25-Aug-2023")</f>
        <v>127039;INF247L01411;-;Motilal Oswal Midcap Fund-Regular Plan-Growth Option;60.1583;25-Aug-2023</v>
      </c>
      <c r="B5781" s="1"/>
    </row>
    <row r="5782">
      <c r="A5782" s="1"/>
      <c r="B5782" s="1"/>
    </row>
    <row r="5783">
      <c r="A5783" s="1" t="str">
        <f>IFERROR(__xludf.DUMMYFUNCTION("""COMPUTED_VALUE"""),"Nippon India Mutual Fund")</f>
        <v>Nippon India Mutual Fund</v>
      </c>
      <c r="B5783" s="1"/>
    </row>
    <row r="5784">
      <c r="A5784" s="1"/>
      <c r="B5784" s="1"/>
    </row>
    <row r="5785">
      <c r="A5785" s="1" t="str">
        <f>IFERROR(__xludf.DUMMYFUNCTION("""COMPUTED_VALUE"""),"118666;INF204K01E39;INF204K01E47;NIPPON INDIA GROWTH FUND - DIRECT Plan - IDCW Option;136.4541;25-Aug-2023")</f>
        <v>118666;INF204K01E39;INF204K01E47;NIPPON INDIA GROWTH FUND - DIRECT Plan - IDCW Option;136.4541;25-Aug-2023</v>
      </c>
      <c r="B5785" s="1"/>
    </row>
    <row r="5786">
      <c r="A5786" s="1" t="str">
        <f>IFERROR(__xludf.DUMMYFUNCTION("""COMPUTED_VALUE"""),"118665;INF204K01E21;-;Nippon India Growth Fund - Direct Plan Growth Plan - Bonus Option;472.6675;25-Aug-2023")</f>
        <v>118665;INF204K01E21;-;Nippon India Growth Fund - Direct Plan Growth Plan - Bonus Option;472.6675;25-Aug-2023</v>
      </c>
      <c r="B5786" s="1"/>
    </row>
    <row r="5787">
      <c r="A5787" s="1" t="str">
        <f>IFERROR(__xludf.DUMMYFUNCTION("""COMPUTED_VALUE"""),"118668;INF204K01E54;-;Nippon India Growth Fund - Direct Plan Growth Plan - Growth Option;2845.0964;25-Aug-2023")</f>
        <v>118668;INF204K01E54;-;Nippon India Growth Fund - Direct Plan Growth Plan - Growth Option;2845.0964;25-Aug-2023</v>
      </c>
      <c r="B5787" s="1"/>
    </row>
    <row r="5788">
      <c r="A5788" s="1" t="str">
        <f>IFERROR(__xludf.DUMMYFUNCTION("""COMPUTED_VALUE"""),"100375;INF204K01299;INF204K01307;NIPPON INDIA GROWTH FUND - IDCW Option;91.1651;25-Aug-2023")</f>
        <v>100375;INF204K01299;INF204K01307;NIPPON INDIA GROWTH FUND - IDCW Option;91.1651;25-Aug-2023</v>
      </c>
      <c r="B5788" s="1"/>
    </row>
    <row r="5789">
      <c r="A5789" s="1" t="str">
        <f>IFERROR(__xludf.DUMMYFUNCTION("""COMPUTED_VALUE"""),"106260;INF204K01257;INF204K01265;NIPPON INDIA GROWTH FUND - INSTITUTIONAL Plan - IDCW Option;917.0640;25-Aug-2023")</f>
        <v>106260;INF204K01257;INF204K01265;NIPPON INDIA GROWTH FUND - INSTITUTIONAL Plan - IDCW Option;917.0640;25-Aug-2023</v>
      </c>
      <c r="B5789" s="1"/>
    </row>
    <row r="5790">
      <c r="A5790" s="1" t="str">
        <f>IFERROR(__xludf.DUMMYFUNCTION("""COMPUTED_VALUE"""),"100376;INF204K01315;-;Nippon India Growth Fund-Growth Plan-Bonus Option;439.0644;25-Aug-2023")</f>
        <v>100376;INF204K01315;-;Nippon India Growth Fund-Growth Plan-Bonus Option;439.0644;25-Aug-2023</v>
      </c>
      <c r="B5790" s="1"/>
    </row>
    <row r="5791">
      <c r="A5791" s="1" t="str">
        <f>IFERROR(__xludf.DUMMYFUNCTION("""COMPUTED_VALUE"""),"100377;INF204K01323;-;Nippon India Growth Fund-Growth Plan-Growth Option;2637.5060;25-Aug-2023")</f>
        <v>100377;INF204K01323;-;Nippon India Growth Fund-Growth Plan-Growth Option;2637.5060;25-Aug-2023</v>
      </c>
      <c r="B5791" s="1"/>
    </row>
    <row r="5792">
      <c r="A5792" s="1"/>
      <c r="B5792" s="1"/>
    </row>
    <row r="5793">
      <c r="A5793" s="1" t="str">
        <f>IFERROR(__xludf.DUMMYFUNCTION("""COMPUTED_VALUE"""),"PGIM India Mutual Fund")</f>
        <v>PGIM India Mutual Fund</v>
      </c>
      <c r="B5793" s="1"/>
    </row>
    <row r="5794">
      <c r="A5794" s="1"/>
      <c r="B5794" s="1"/>
    </row>
    <row r="5795">
      <c r="A5795" s="1" t="str">
        <f>IFERROR(__xludf.DUMMYFUNCTION("""COMPUTED_VALUE"""),"125301;INF663L01DW1;INF663L01DX9;PGIM India Midcap Opportunities Fund - Direct Plan - Dividend Option - Payout;44.58;25-Aug-2023")</f>
        <v>125301;INF663L01DW1;INF663L01DX9;PGIM India Midcap Opportunities Fund - Direct Plan - Dividend Option - Payout;44.58;25-Aug-2023</v>
      </c>
      <c r="B5795" s="1"/>
    </row>
    <row r="5796">
      <c r="A5796" s="1" t="str">
        <f>IFERROR(__xludf.DUMMYFUNCTION("""COMPUTED_VALUE"""),"125307;INF663L01DV3;-;PGIM India Midcap Opportunities Fund - Direct Plan - Growth Option;53.78;25-Aug-2023")</f>
        <v>125307;INF663L01DV3;-;PGIM India Midcap Opportunities Fund - Direct Plan - Growth Option;53.78;25-Aug-2023</v>
      </c>
      <c r="B5796" s="1"/>
    </row>
    <row r="5797">
      <c r="A5797" s="1" t="str">
        <f>IFERROR(__xludf.DUMMYFUNCTION("""COMPUTED_VALUE"""),"125306;INF663L01EA5;INF663L01EB3;PGIM India Midcap Opportunities Fund - Regular Plan - Dividend Option - Payout;22.37;25-Aug-2023")</f>
        <v>125306;INF663L01EA5;INF663L01EB3;PGIM India Midcap Opportunities Fund - Regular Plan - Dividend Option - Payout;22.37;25-Aug-2023</v>
      </c>
      <c r="B5797" s="1"/>
    </row>
    <row r="5798">
      <c r="A5798" s="1" t="str">
        <f>IFERROR(__xludf.DUMMYFUNCTION("""COMPUTED_VALUE"""),"125305;INF663L01DZ4;-;PGIM India Midcap Opportunities Fund - Regular Plan - Growth Option;47.56;25-Aug-2023")</f>
        <v>125305;INF663L01DZ4;-;PGIM India Midcap Opportunities Fund - Regular Plan - Growth Option;47.56;25-Aug-2023</v>
      </c>
      <c r="B5798" s="1"/>
    </row>
    <row r="5799">
      <c r="A5799" s="1"/>
      <c r="B5799" s="1"/>
    </row>
    <row r="5800">
      <c r="A5800" s="1" t="str">
        <f>IFERROR(__xludf.DUMMYFUNCTION("""COMPUTED_VALUE"""),"quant Mutual Fund")</f>
        <v>quant Mutual Fund</v>
      </c>
      <c r="B5800" s="1"/>
    </row>
    <row r="5801">
      <c r="A5801" s="1"/>
      <c r="B5801" s="1"/>
    </row>
    <row r="5802">
      <c r="A5802" s="1" t="str">
        <f>IFERROR(__xludf.DUMMYFUNCTION("""COMPUTED_VALUE"""),"120841;INF966L01887;-;quant Mid Cap Fund - Growth Option - Direct Plan;170.4103;25-Aug-2023")</f>
        <v>120841;INF966L01887;-;quant Mid Cap Fund - Growth Option - Direct Plan;170.4103;25-Aug-2023</v>
      </c>
      <c r="B5802" s="1"/>
    </row>
    <row r="5803">
      <c r="A5803" s="1" t="str">
        <f>IFERROR(__xludf.DUMMYFUNCTION("""COMPUTED_VALUE"""),"101065;INF966L01176;-;quant Mid Cap Fund - Growth Option - Regular Plan;155.1677;25-Aug-2023")</f>
        <v>101065;INF966L01176;-;quant Mid Cap Fund - Growth Option - Regular Plan;155.1677;25-Aug-2023</v>
      </c>
      <c r="B5803" s="1"/>
    </row>
    <row r="5804">
      <c r="A5804" s="1" t="str">
        <f>IFERROR(__xludf.DUMMYFUNCTION("""COMPUTED_VALUE"""),"120840;INF966L01861;INF966L01879;quant Mid Cap Fund - IDCW Option - Direct Plan;59.8505;25-Aug-2023")</f>
        <v>120840;INF966L01861;INF966L01879;quant Mid Cap Fund - IDCW Option - Direct Plan;59.8505;25-Aug-2023</v>
      </c>
      <c r="B5804" s="1"/>
    </row>
    <row r="5805">
      <c r="A5805" s="1" t="str">
        <f>IFERROR(__xludf.DUMMYFUNCTION("""COMPUTED_VALUE"""),"101066;INF966L01150;INF966L01168;quant Mid Cap Fund - IDCW Option - Regular Plan;55.1534;25-Aug-2023")</f>
        <v>101066;INF966L01150;INF966L01168;quant Mid Cap Fund - IDCW Option - Regular Plan;55.1534;25-Aug-2023</v>
      </c>
      <c r="B5805" s="1"/>
    </row>
    <row r="5806">
      <c r="A5806" s="1"/>
      <c r="B5806" s="1"/>
    </row>
    <row r="5807">
      <c r="A5807" s="1" t="str">
        <f>IFERROR(__xludf.DUMMYFUNCTION("""COMPUTED_VALUE"""),"SBI Mutual Fund")</f>
        <v>SBI Mutual Fund</v>
      </c>
      <c r="B5807" s="1"/>
    </row>
    <row r="5808">
      <c r="A5808" s="1"/>
      <c r="B5808" s="1"/>
    </row>
    <row r="5809">
      <c r="A5809" s="1" t="str">
        <f>IFERROR(__xludf.DUMMYFUNCTION("""COMPUTED_VALUE"""),"119716;INF200K01TP4;-;SBI Magnum MIDCAP FUND - DIRECT PLAN - GROWTH;189.9639;25-Aug-2023")</f>
        <v>119716;INF200K01TP4;-;SBI Magnum MIDCAP FUND - DIRECT PLAN - GROWTH;189.9639;25-Aug-2023</v>
      </c>
      <c r="B5809" s="1"/>
    </row>
    <row r="5810">
      <c r="A5810" s="1" t="str">
        <f>IFERROR(__xludf.DUMMYFUNCTION("""COMPUTED_VALUE"""),"119715;INF200K01TN9;INF200K01TO7;SBI Magnum MidCap Fund - Direct Plan - Income Distribution cum Capital Withdrawal Option (IDCW);107.6990;25-Aug-2023")</f>
        <v>119715;INF200K01TN9;INF200K01TO7;SBI Magnum MidCap Fund - Direct Plan - Income Distribution cum Capital Withdrawal Option (IDCW);107.6990;25-Aug-2023</v>
      </c>
      <c r="B5810" s="1"/>
    </row>
    <row r="5811">
      <c r="A5811" s="1" t="str">
        <f>IFERROR(__xludf.DUMMYFUNCTION("""COMPUTED_VALUE"""),"102941;INF200K01560;-;SBI Magnum MIDCAP FUND - REGULAR PLAN - GROWTH;172.2876;25-Aug-2023")</f>
        <v>102941;INF200K01560;-;SBI Magnum MIDCAP FUND - REGULAR PLAN - GROWTH;172.2876;25-Aug-2023</v>
      </c>
      <c r="B5811" s="1"/>
    </row>
    <row r="5812">
      <c r="A5812" s="1" t="str">
        <f>IFERROR(__xludf.DUMMYFUNCTION("""COMPUTED_VALUE"""),"102942;INF200K01578;INF200K01586;SBI Magnum MidCap Fund - Regular Plan - Income Distribution cum Capital Withdrawal Option (IDCW);70.3979;25-Aug-2023")</f>
        <v>102942;INF200K01578;INF200K01586;SBI Magnum MidCap Fund - Regular Plan - Income Distribution cum Capital Withdrawal Option (IDCW);70.3979;25-Aug-2023</v>
      </c>
      <c r="B5812" s="1"/>
    </row>
    <row r="5813">
      <c r="A5813" s="1"/>
      <c r="B5813" s="1"/>
    </row>
    <row r="5814">
      <c r="A5814" s="1" t="str">
        <f>IFERROR(__xludf.DUMMYFUNCTION("""COMPUTED_VALUE"""),"Sundaram Mutual Fund")</f>
        <v>Sundaram Mutual Fund</v>
      </c>
      <c r="B5814" s="1"/>
    </row>
    <row r="5815">
      <c r="A5815" s="1"/>
      <c r="B5815" s="1"/>
    </row>
    <row r="5816">
      <c r="A5816" s="1" t="str">
        <f>IFERROR(__xludf.DUMMYFUNCTION("""COMPUTED_VALUE"""),"119581;INF903J01MJ3;-;Sundaram Mid Cap Fund Direct Plan - Growth;944.4842;25-Aug-2023")</f>
        <v>119581;INF903J01MJ3;-;Sundaram Mid Cap Fund Direct Plan - Growth;944.4842;25-Aug-2023</v>
      </c>
      <c r="B5816" s="1"/>
    </row>
    <row r="5817">
      <c r="A5817" s="1" t="str">
        <f>IFERROR(__xludf.DUMMYFUNCTION("""COMPUTED_VALUE"""),"119582;INF903J01MH7;INF903J01MI5;Sundaram Mid Cap Fund Direct Plan - Income Distribution cum Capital Withdrawal (IDCW);55.1320;25-Aug-2023")</f>
        <v>119582;INF903J01MH7;INF903J01MI5;Sundaram Mid Cap Fund Direct Plan - Income Distribution cum Capital Withdrawal (IDCW);55.1320;25-Aug-2023</v>
      </c>
      <c r="B5817" s="1"/>
    </row>
    <row r="5818">
      <c r="A5818" s="1" t="str">
        <f>IFERROR(__xludf.DUMMYFUNCTION("""COMPUTED_VALUE"""),"101539;INF903J01173;-;Sundaram Mid Cap Fund Regular Plan - Growth;878.8268;25-Aug-2023")</f>
        <v>101539;INF903J01173;-;Sundaram Mid Cap Fund Regular Plan - Growth;878.8268;25-Aug-2023</v>
      </c>
      <c r="B5818" s="1"/>
    </row>
    <row r="5819">
      <c r="A5819" s="1" t="str">
        <f>IFERROR(__xludf.DUMMYFUNCTION("""COMPUTED_VALUE"""),"101538;INF903J01181;INF903J01199;Sundaram Mid Cap Fund Regular Plan - Income Distribution cum Capital Withdrawal (IDCW);50.5832;25-Aug-2023")</f>
        <v>101538;INF903J01181;INF903J01199;Sundaram Mid Cap Fund Regular Plan - Income Distribution cum Capital Withdrawal (IDCW);50.5832;25-Aug-2023</v>
      </c>
      <c r="B5819" s="1"/>
    </row>
    <row r="5820">
      <c r="A5820" s="1"/>
      <c r="B5820" s="1"/>
    </row>
    <row r="5821">
      <c r="A5821" s="1" t="str">
        <f>IFERROR(__xludf.DUMMYFUNCTION("""COMPUTED_VALUE"""),"Tata Mutual Fund")</f>
        <v>Tata Mutual Fund</v>
      </c>
      <c r="B5821" s="1"/>
    </row>
    <row r="5822">
      <c r="A5822" s="1"/>
      <c r="B5822" s="1"/>
    </row>
    <row r="5823">
      <c r="A5823" s="1" t="str">
        <f>IFERROR(__xludf.DUMMYFUNCTION("""COMPUTED_VALUE"""),"119178;INF277K01PY2;-;Tata Mid Cap Growth Fund - Direct Plan- Growth Option;336.8380;25-Aug-2023")</f>
        <v>119178;INF277K01PY2;-;Tata Mid Cap Growth Fund - Direct Plan- Growth Option;336.8380;25-Aug-2023</v>
      </c>
      <c r="B5823" s="1"/>
    </row>
    <row r="5824">
      <c r="A5824" s="1" t="str">
        <f>IFERROR(__xludf.DUMMYFUNCTION("""COMPUTED_VALUE"""),"119177;INF277K01PW6;INF277K01PX4;Tata Mid Cap Growth Fund - Direct Plan- IDCW Option;111.1875;25-Aug-2023")</f>
        <v>119177;INF277K01PW6;INF277K01PX4;Tata Mid Cap Growth Fund - Direct Plan- IDCW Option;111.1875;25-Aug-2023</v>
      </c>
      <c r="B5824" s="1"/>
    </row>
    <row r="5825">
      <c r="A5825" s="1" t="str">
        <f>IFERROR(__xludf.DUMMYFUNCTION("""COMPUTED_VALUE"""),"102328;INF277K01626;-;Tata Mid Cap Growth Fund Regular Plan- Growth Option;303.0321;25-Aug-2023")</f>
        <v>102328;INF277K01626;-;Tata Mid Cap Growth Fund Regular Plan- Growth Option;303.0321;25-Aug-2023</v>
      </c>
      <c r="B5825" s="1"/>
    </row>
    <row r="5826">
      <c r="A5826" s="1" t="str">
        <f>IFERROR(__xludf.DUMMYFUNCTION("""COMPUTED_VALUE"""),"102326;INF277K01DS0;INF277K01642;Tata Mid Cap Growth Fund-Regular Plan - IDCW Option;83.6408;25-Aug-2023")</f>
        <v>102326;INF277K01DS0;INF277K01642;Tata Mid Cap Growth Fund-Regular Plan - IDCW Option;83.6408;25-Aug-2023</v>
      </c>
      <c r="B5826" s="1"/>
    </row>
    <row r="5827">
      <c r="A5827" s="1"/>
      <c r="B5827" s="1"/>
    </row>
    <row r="5828">
      <c r="A5828" s="1" t="str">
        <f>IFERROR(__xludf.DUMMYFUNCTION("""COMPUTED_VALUE"""),"Taurus Mutual Fund")</f>
        <v>Taurus Mutual Fund</v>
      </c>
      <c r="B5828" s="1"/>
    </row>
    <row r="5829">
      <c r="A5829" s="1"/>
      <c r="B5829" s="1"/>
    </row>
    <row r="5830">
      <c r="A5830" s="1" t="str">
        <f>IFERROR(__xludf.DUMMYFUNCTION("""COMPUTED_VALUE"""),"118872;INF044D01CA9;-;Taurus Discovery (Midcap) Fund - Direct Plan - Growth;99.03;25-Aug-2023")</f>
        <v>118872;INF044D01CA9;-;Taurus Discovery (Midcap) Fund - Direct Plan - Growth;99.03;25-Aug-2023</v>
      </c>
      <c r="B5830" s="1"/>
    </row>
    <row r="5831">
      <c r="A5831" s="1" t="str">
        <f>IFERROR(__xludf.DUMMYFUNCTION("""COMPUTED_VALUE"""),"118873;INF044D01CB7;INF044D01CC5;Taurus Discovery (Midcap) Fund - Direct Plan - Payout of Income Distribution cum Capital Withdrawal option;87.97;25-Aug-2023")</f>
        <v>118873;INF044D01CB7;INF044D01CC5;Taurus Discovery (Midcap) Fund - Direct Plan - Payout of Income Distribution cum Capital Withdrawal option;87.97;25-Aug-2023</v>
      </c>
      <c r="B5831" s="1"/>
    </row>
    <row r="5832">
      <c r="A5832" s="1" t="str">
        <f>IFERROR(__xludf.DUMMYFUNCTION("""COMPUTED_VALUE"""),"100477;INF044D01815;-;Taurus Discovery (Midcap) Fund - Regular Plan - Growth;94.51;25-Aug-2023")</f>
        <v>100477;INF044D01815;-;Taurus Discovery (Midcap) Fund - Regular Plan - Growth;94.51;25-Aug-2023</v>
      </c>
      <c r="B5832" s="1"/>
    </row>
    <row r="5833">
      <c r="A5833" s="1" t="str">
        <f>IFERROR(__xludf.DUMMYFUNCTION("""COMPUTED_VALUE"""),"111642;INF044D01781;INF044D01799;Taurus Discovery (Midcap) Fund - Regular Plan - Payout of Income Distribution cum Capital Withdrawal option;84.25;25-Aug-2023")</f>
        <v>111642;INF044D01781;INF044D01799;Taurus Discovery (Midcap) Fund - Regular Plan - Payout of Income Distribution cum Capital Withdrawal option;84.25;25-Aug-2023</v>
      </c>
      <c r="B5833" s="1"/>
    </row>
    <row r="5834">
      <c r="A5834" s="1"/>
      <c r="B5834" s="1"/>
    </row>
    <row r="5835">
      <c r="A5835" s="1" t="str">
        <f>IFERROR(__xludf.DUMMYFUNCTION("""COMPUTED_VALUE"""),"Union Mutual Fund")</f>
        <v>Union Mutual Fund</v>
      </c>
      <c r="B5835" s="1"/>
    </row>
    <row r="5836">
      <c r="A5836" s="1"/>
      <c r="B5836" s="1"/>
    </row>
    <row r="5837">
      <c r="A5837" s="1" t="str">
        <f>IFERROR(__xludf.DUMMYFUNCTION("""COMPUTED_VALUE"""),"148073;INF582M01GI3;-;Union Midcap Fund - Direct Plan - Growth Option;34.38;25-Aug-2023")</f>
        <v>148073;INF582M01GI3;-;Union Midcap Fund - Direct Plan - Growth Option;34.38;25-Aug-2023</v>
      </c>
      <c r="B5837" s="1"/>
    </row>
    <row r="5838">
      <c r="A5838" s="1" t="str">
        <f>IFERROR(__xludf.DUMMYFUNCTION("""COMPUTED_VALUE"""),"148074;INF582M01GK9;INF582M01GJ1;Union Midcap Fund - Direct Plan - IDCW Option;34.38;25-Aug-2023")</f>
        <v>148074;INF582M01GK9;INF582M01GJ1;Union Midcap Fund - Direct Plan - IDCW Option;34.38;25-Aug-2023</v>
      </c>
      <c r="B5838" s="1"/>
    </row>
    <row r="5839">
      <c r="A5839" s="1" t="str">
        <f>IFERROR(__xludf.DUMMYFUNCTION("""COMPUTED_VALUE"""),"148071;INF582M01GM5;-;Union Midcap Fund - Regular Plan - Growth Option;32.84;25-Aug-2023")</f>
        <v>148071;INF582M01GM5;-;Union Midcap Fund - Regular Plan - Growth Option;32.84;25-Aug-2023</v>
      </c>
      <c r="B5839" s="1"/>
    </row>
    <row r="5840">
      <c r="A5840" s="1" t="str">
        <f>IFERROR(__xludf.DUMMYFUNCTION("""COMPUTED_VALUE"""),"148072;INF582M01GO1;INF582M01GN3;Union Midcap Fund - Regular Plan - IDCW Option;32.84;25-Aug-2023")</f>
        <v>148072;INF582M01GO1;INF582M01GN3;Union Midcap Fund - Regular Plan - IDCW Option;32.84;25-Aug-2023</v>
      </c>
      <c r="B5840" s="1"/>
    </row>
    <row r="5841">
      <c r="A5841" s="1"/>
      <c r="B5841" s="1"/>
    </row>
    <row r="5842">
      <c r="A5842" s="1" t="str">
        <f>IFERROR(__xludf.DUMMYFUNCTION("""COMPUTED_VALUE"""),"UTI Mutual Fund")</f>
        <v>UTI Mutual Fund</v>
      </c>
      <c r="B5842" s="1"/>
    </row>
    <row r="5843">
      <c r="A5843" s="1"/>
      <c r="B5843" s="1"/>
    </row>
    <row r="5844">
      <c r="A5844" s="1" t="str">
        <f>IFERROR(__xludf.DUMMYFUNCTION("""COMPUTED_VALUE"""),"120727;INF789F01TY8;INF789F01TZ5;UTI Mid Cap Fund - Direct Plan - IDCW;119.5248;25-Aug-2023")</f>
        <v>120727;INF789F01TY8;INF789F01TZ5;UTI Mid Cap Fund - Direct Plan - IDCW;119.5248;25-Aug-2023</v>
      </c>
      <c r="B5844" s="1"/>
    </row>
    <row r="5845">
      <c r="A5845" s="1" t="str">
        <f>IFERROR(__xludf.DUMMYFUNCTION("""COMPUTED_VALUE"""),"102393;INF789F01794;INF789F01802;UTI Mid Cap Fund - Regular Plan - IDCW;104.9552;25-Aug-2023")</f>
        <v>102393;INF789F01794;INF789F01802;UTI Mid Cap Fund - Regular Plan - IDCW;104.9552;25-Aug-2023</v>
      </c>
      <c r="B5845" s="1"/>
    </row>
    <row r="5846">
      <c r="A5846" s="1" t="str">
        <f>IFERROR(__xludf.DUMMYFUNCTION("""COMPUTED_VALUE"""),"102394;INF789F01810;-;UTI Mid Cap Fund-Growth Option;221.7947;25-Aug-2023")</f>
        <v>102394;INF789F01810;-;UTI Mid Cap Fund-Growth Option;221.7947;25-Aug-2023</v>
      </c>
      <c r="B5846" s="1"/>
    </row>
    <row r="5847">
      <c r="A5847" s="1" t="str">
        <f>IFERROR(__xludf.DUMMYFUNCTION("""COMPUTED_VALUE"""),"120726;INF789F01UA6;-;UTI Mid Cap Fund-Growth Option- Direct;242.8858;25-Aug-2023")</f>
        <v>120726;INF789F01UA6;-;UTI Mid Cap Fund-Growth Option- Direct;242.8858;25-Aug-2023</v>
      </c>
      <c r="B5847" s="1"/>
    </row>
    <row r="5848">
      <c r="A5848" s="1"/>
      <c r="B5848" s="1"/>
    </row>
    <row r="5849">
      <c r="A5849" s="1" t="str">
        <f>IFERROR(__xludf.DUMMYFUNCTION("""COMPUTED_VALUE"""),"WhiteOak Capital Mutual Fund")</f>
        <v>WhiteOak Capital Mutual Fund</v>
      </c>
      <c r="B5849" s="1"/>
    </row>
    <row r="5850">
      <c r="A5850" s="1"/>
      <c r="B5850" s="1"/>
    </row>
    <row r="5851">
      <c r="A5851" s="1" t="str">
        <f>IFERROR(__xludf.DUMMYFUNCTION("""COMPUTED_VALUE"""),"150584;INF03VN01597;-;WhiteOak Capital Mid Cap Fund Direct Plan Growth;12.431;25-Aug-2023")</f>
        <v>150584;INF03VN01597;-;WhiteOak Capital Mid Cap Fund Direct Plan Growth;12.431;25-Aug-2023</v>
      </c>
      <c r="B5851" s="1"/>
    </row>
    <row r="5852">
      <c r="A5852" s="1" t="str">
        <f>IFERROR(__xludf.DUMMYFUNCTION("""COMPUTED_VALUE"""),"150582;INF03VN01605;INF03VN01613;WhiteOak Capital Mid Cap Fund Direct Plan IDCW;12.431;25-Aug-2023")</f>
        <v>150582;INF03VN01605;INF03VN01613;WhiteOak Capital Mid Cap Fund Direct Plan IDCW;12.431;25-Aug-2023</v>
      </c>
      <c r="B5852" s="1"/>
    </row>
    <row r="5853">
      <c r="A5853" s="1" t="str">
        <f>IFERROR(__xludf.DUMMYFUNCTION("""COMPUTED_VALUE"""),"150583;INF03VN01563;-;WhiteOak Capital Mid Cap Fund Regular Plan Growth;12.220;25-Aug-2023")</f>
        <v>150583;INF03VN01563;-;WhiteOak Capital Mid Cap Fund Regular Plan Growth;12.220;25-Aug-2023</v>
      </c>
      <c r="B5853" s="1"/>
    </row>
    <row r="5854">
      <c r="A5854" s="1" t="str">
        <f>IFERROR(__xludf.DUMMYFUNCTION("""COMPUTED_VALUE"""),"150585;INF03VN01571;INF03VN01589;WhiteOak Capital Mid Cap Fund Regular Plan IDCW;12.220;25-Aug-2023")</f>
        <v>150585;INF03VN01571;INF03VN01589;WhiteOak Capital Mid Cap Fund Regular Plan IDCW;12.220;25-Aug-2023</v>
      </c>
      <c r="B5854" s="1"/>
    </row>
    <row r="5855">
      <c r="A5855" s="1"/>
      <c r="B5855" s="1"/>
    </row>
    <row r="5856">
      <c r="A5856" s="1" t="str">
        <f>IFERROR(__xludf.DUMMYFUNCTION("""COMPUTED_VALUE"""),"Open Ended Schemes(Equity Scheme - Multi Cap Fund)")</f>
        <v>Open Ended Schemes(Equity Scheme - Multi Cap Fund)</v>
      </c>
      <c r="B5856" s="1"/>
    </row>
    <row r="5857">
      <c r="A5857" s="1"/>
      <c r="B5857" s="1"/>
    </row>
    <row r="5858">
      <c r="A5858" s="1" t="str">
        <f>IFERROR(__xludf.DUMMYFUNCTION("""COMPUTED_VALUE"""),"Aditya Birla Sun Life Mutual Fund")</f>
        <v>Aditya Birla Sun Life Mutual Fund</v>
      </c>
      <c r="B5858" s="1"/>
    </row>
    <row r="5859">
      <c r="A5859" s="1"/>
      <c r="B5859" s="1"/>
    </row>
    <row r="5860">
      <c r="A5860" s="1" t="str">
        <f>IFERROR(__xludf.DUMMYFUNCTION("""COMPUTED_VALUE"""),"148921;INF209KB1Y49;-;Aditya Birla Sun Life Multi-Cap Fund-Direct Growth;14.81;25-Aug-2023")</f>
        <v>148921;INF209KB1Y49;-;Aditya Birla Sun Life Multi-Cap Fund-Direct Growth;14.81;25-Aug-2023</v>
      </c>
      <c r="B5860" s="1"/>
    </row>
    <row r="5861">
      <c r="A5861" s="1" t="str">
        <f>IFERROR(__xludf.DUMMYFUNCTION("""COMPUTED_VALUE"""),"148920;INF209KB1Y56;-;Aditya Birla Sun Life Multi-Cap Fund-Direct IDCW Payout;14.81;25-Aug-2023")</f>
        <v>148920;INF209KB1Y56;-;Aditya Birla Sun Life Multi-Cap Fund-Direct IDCW Payout;14.81;25-Aug-2023</v>
      </c>
      <c r="B5861" s="1"/>
    </row>
    <row r="5862">
      <c r="A5862" s="1" t="str">
        <f>IFERROR(__xludf.DUMMYFUNCTION("""COMPUTED_VALUE"""),"148918;INF209KB1Y23;-;Aditya Birla Sun Life Multi-Cap Fund-Regular Growth;14.26;25-Aug-2023")</f>
        <v>148918;INF209KB1Y23;-;Aditya Birla Sun Life Multi-Cap Fund-Regular Growth;14.26;25-Aug-2023</v>
      </c>
      <c r="B5862" s="1"/>
    </row>
    <row r="5863">
      <c r="A5863" s="1" t="str">
        <f>IFERROR(__xludf.DUMMYFUNCTION("""COMPUTED_VALUE"""),"148919;INF209KB1Y31;-;Aditya Birla Sun Life Multi-Cap Fund-Regular-IDCW Payout;14.27;25-Aug-2023")</f>
        <v>148919;INF209KB1Y31;-;Aditya Birla Sun Life Multi-Cap Fund-Regular-IDCW Payout;14.27;25-Aug-2023</v>
      </c>
      <c r="B5863" s="1"/>
    </row>
    <row r="5864">
      <c r="A5864" s="1"/>
      <c r="B5864" s="1"/>
    </row>
    <row r="5865">
      <c r="A5865" s="1" t="str">
        <f>IFERROR(__xludf.DUMMYFUNCTION("""COMPUTED_VALUE"""),"Axis Mutual Fund")</f>
        <v>Axis Mutual Fund</v>
      </c>
      <c r="B5865" s="1"/>
    </row>
    <row r="5866">
      <c r="A5866" s="1"/>
      <c r="B5866" s="1"/>
    </row>
    <row r="5867">
      <c r="A5867" s="1" t="str">
        <f>IFERROR(__xludf.DUMMYFUNCTION("""COMPUTED_VALUE"""),"149383;INF846K013E0;-;Axis Multicap Fund - Direct Growth;11.75;25-Aug-2023")</f>
        <v>149383;INF846K013E0;-;Axis Multicap Fund - Direct Growth;11.75;25-Aug-2023</v>
      </c>
      <c r="B5867" s="1"/>
    </row>
    <row r="5868">
      <c r="A5868" s="1" t="str">
        <f>IFERROR(__xludf.DUMMYFUNCTION("""COMPUTED_VALUE"""),"149384;INF846K014E8;INF846K015E5;Axis Multicap Fund - Direct Plan - IDCW;11.75;25-Aug-2023")</f>
        <v>149384;INF846K014E8;INF846K015E5;Axis Multicap Fund - Direct Plan - IDCW;11.75;25-Aug-2023</v>
      </c>
      <c r="B5868" s="1"/>
    </row>
    <row r="5869">
      <c r="A5869" s="1" t="str">
        <f>IFERROR(__xludf.DUMMYFUNCTION("""COMPUTED_VALUE"""),"149382;INF846K016E3;-;Axis Multicap Fund - Regular Plan - Growth;11.46;25-Aug-2023")</f>
        <v>149382;INF846K016E3;-;Axis Multicap Fund - Regular Plan - Growth;11.46;25-Aug-2023</v>
      </c>
      <c r="B5869" s="1"/>
    </row>
    <row r="5870">
      <c r="A5870" s="1" t="str">
        <f>IFERROR(__xludf.DUMMYFUNCTION("""COMPUTED_VALUE"""),"149387;INF846K017E1;INF846K018E9;Axis Multicap Fund - Regular Plan - IDCW;11.46;25-Aug-2023")</f>
        <v>149387;INF846K017E1;INF846K018E9;Axis Multicap Fund - Regular Plan - IDCW;11.46;25-Aug-2023</v>
      </c>
      <c r="B5870" s="1"/>
    </row>
    <row r="5871">
      <c r="A5871" s="1"/>
      <c r="B5871" s="1"/>
    </row>
    <row r="5872">
      <c r="A5872" s="1" t="str">
        <f>IFERROR(__xludf.DUMMYFUNCTION("""COMPUTED_VALUE"""),"Bandhan Mutual Fund")</f>
        <v>Bandhan Mutual Fund</v>
      </c>
      <c r="B5872" s="1"/>
    </row>
    <row r="5873">
      <c r="A5873" s="1"/>
      <c r="B5873" s="1"/>
    </row>
    <row r="5874">
      <c r="A5874" s="1" t="str">
        <f>IFERROR(__xludf.DUMMYFUNCTION("""COMPUTED_VALUE"""),"149303;INF194KB1CL0;-;BANDHAN MULTI CAP FUND - GROWTH - DIRECT PLAN;12.588;25-Aug-2023")</f>
        <v>149303;INF194KB1CL0;-;BANDHAN MULTI CAP FUND - GROWTH - DIRECT PLAN;12.588;25-Aug-2023</v>
      </c>
      <c r="B5874" s="1"/>
    </row>
    <row r="5875">
      <c r="A5875" s="1" t="str">
        <f>IFERROR(__xludf.DUMMYFUNCTION("""COMPUTED_VALUE"""),"149305;INF194KB1CI6;-;BANDHAN MULTI CAP FUND - GROWTH - REGULAR PLAN;12.228;25-Aug-2023")</f>
        <v>149305;INF194KB1CI6;-;BANDHAN MULTI CAP FUND - GROWTH - REGULAR PLAN;12.228;25-Aug-2023</v>
      </c>
      <c r="B5875" s="1"/>
    </row>
    <row r="5876">
      <c r="A5876" s="1" t="str">
        <f>IFERROR(__xludf.DUMMYFUNCTION("""COMPUTED_VALUE"""),"149304;INF194KB1CM8;INF194KB1CN6;BANDHAN MULTI CAP FUND - IDCW - DIRECT PLAN;12.582;25-Aug-2023")</f>
        <v>149304;INF194KB1CM8;INF194KB1CN6;BANDHAN MULTI CAP FUND - IDCW - DIRECT PLAN;12.582;25-Aug-2023</v>
      </c>
      <c r="B5876" s="1"/>
    </row>
    <row r="5877">
      <c r="A5877" s="1" t="str">
        <f>IFERROR(__xludf.DUMMYFUNCTION("""COMPUTED_VALUE"""),"149302;INF194KB1CJ4;INF194KB1CK2;BANDHAN MULTI CAP FUND - IDCW - REGULAR PLAN;12.228;25-Aug-2023")</f>
        <v>149302;INF194KB1CJ4;INF194KB1CK2;BANDHAN MULTI CAP FUND - IDCW - REGULAR PLAN;12.228;25-Aug-2023</v>
      </c>
      <c r="B5877" s="1"/>
    </row>
    <row r="5878">
      <c r="A5878" s="1"/>
      <c r="B5878" s="1"/>
    </row>
    <row r="5879">
      <c r="A5879" s="1" t="str">
        <f>IFERROR(__xludf.DUMMYFUNCTION("""COMPUTED_VALUE"""),"Bank of India Mutual Fund")</f>
        <v>Bank of India Mutual Fund</v>
      </c>
      <c r="B5879" s="1"/>
    </row>
    <row r="5880">
      <c r="A5880" s="1"/>
      <c r="B5880" s="1"/>
    </row>
    <row r="5881">
      <c r="A5881" s="1" t="str">
        <f>IFERROR(__xludf.DUMMYFUNCTION("""COMPUTED_VALUE"""),"151443;INF761K01FR0;-;Bank of India Multi Cap Fund Direct Plan - Growth;12.10;25-Aug-2023")</f>
        <v>151443;INF761K01FR0;-;Bank of India Multi Cap Fund Direct Plan - Growth;12.10;25-Aug-2023</v>
      </c>
      <c r="B5881" s="1"/>
    </row>
    <row r="5882">
      <c r="A5882" s="1" t="str">
        <f>IFERROR(__xludf.DUMMYFUNCTION("""COMPUTED_VALUE"""),"151444;INF761K01FQ2;INF761K01FS8;Bank of India Multi Cap Fund Direct Plan - IDCW;12.10;25-Aug-2023")</f>
        <v>151444;INF761K01FQ2;INF761K01FS8;Bank of India Multi Cap Fund Direct Plan - IDCW;12.10;25-Aug-2023</v>
      </c>
      <c r="B5882" s="1"/>
    </row>
    <row r="5883">
      <c r="A5883" s="1" t="str">
        <f>IFERROR(__xludf.DUMMYFUNCTION("""COMPUTED_VALUE"""),"151445;INF761K01FU4;-;Bank of India Multi Cap Fund Regular Plan - Growth;12.05;25-Aug-2023")</f>
        <v>151445;INF761K01FU4;-;Bank of India Multi Cap Fund Regular Plan - Growth;12.05;25-Aug-2023</v>
      </c>
      <c r="B5883" s="1"/>
    </row>
    <row r="5884">
      <c r="A5884" s="1" t="str">
        <f>IFERROR(__xludf.DUMMYFUNCTION("""COMPUTED_VALUE"""),"151446;INF761K01FT6;INF761K01FV2;Bank of India Multi Cap Fund Regular Plan - IDCW;12.05;25-Aug-2023")</f>
        <v>151446;INF761K01FT6;INF761K01FV2;Bank of India Multi Cap Fund Regular Plan - IDCW;12.05;25-Aug-2023</v>
      </c>
      <c r="B5884" s="1"/>
    </row>
    <row r="5885">
      <c r="A5885" s="1"/>
      <c r="B5885" s="1"/>
    </row>
    <row r="5886">
      <c r="A5886" s="1" t="str">
        <f>IFERROR(__xludf.DUMMYFUNCTION("""COMPUTED_VALUE"""),"Baroda BNP Paribas Mutual Fund")</f>
        <v>Baroda BNP Paribas Mutual Fund</v>
      </c>
      <c r="B5886" s="1"/>
    </row>
    <row r="5887">
      <c r="A5887" s="1"/>
      <c r="B5887" s="1"/>
    </row>
    <row r="5888">
      <c r="A5888" s="1" t="str">
        <f>IFERROR(__xludf.DUMMYFUNCTION("""COMPUTED_VALUE"""),"119354;INF955L01AG0;-;Baroda BNP Paribas MULTI CAP FUND - Direct Plan - Growth Option;215.5051;25-Aug-2023")</f>
        <v>119354;INF955L01AG0;-;Baroda BNP Paribas MULTI CAP FUND - Direct Plan - Growth Option;215.5051;25-Aug-2023</v>
      </c>
      <c r="B5888" s="1"/>
    </row>
    <row r="5889">
      <c r="A5889" s="1" t="str">
        <f>IFERROR(__xludf.DUMMYFUNCTION("""COMPUTED_VALUE"""),"119353;INF955L01AE5;-;Baroda BNP Paribas MULTI CAP FUND - Direct Plan - IDCW Option;46.3540;25-Aug-2023")</f>
        <v>119353;INF955L01AE5;-;Baroda BNP Paribas MULTI CAP FUND - Direct Plan - IDCW Option;46.3540;25-Aug-2023</v>
      </c>
      <c r="B5889" s="1"/>
    </row>
    <row r="5890">
      <c r="A5890" s="1" t="str">
        <f>IFERROR(__xludf.DUMMYFUNCTION("""COMPUTED_VALUE"""),"102020;INF955L01674;-;Baroda BNP Paribas MULTI CAP FUND - Regular Plan - Growth Option;195.8290;25-Aug-2023")</f>
        <v>102020;INF955L01674;-;Baroda BNP Paribas MULTI CAP FUND - Regular Plan - Growth Option;195.8290;25-Aug-2023</v>
      </c>
      <c r="B5890" s="1"/>
    </row>
    <row r="5891">
      <c r="A5891" s="1" t="str">
        <f>IFERROR(__xludf.DUMMYFUNCTION("""COMPUTED_VALUE"""),"102021;INF955L01658;INF955L01666;Baroda BNP Paribas MULTI CAP FUND - Regular Plan - IDCW Option;44.5423;25-Aug-2023")</f>
        <v>102021;INF955L01658;INF955L01666;Baroda BNP Paribas MULTI CAP FUND - Regular Plan - IDCW Option;44.5423;25-Aug-2023</v>
      </c>
      <c r="B5891" s="1"/>
    </row>
    <row r="5892">
      <c r="A5892" s="1"/>
      <c r="B5892" s="1"/>
    </row>
    <row r="5893">
      <c r="A5893" s="1" t="str">
        <f>IFERROR(__xludf.DUMMYFUNCTION("""COMPUTED_VALUE"""),"Canara Robeco Mutual Fund")</f>
        <v>Canara Robeco Mutual Fund</v>
      </c>
      <c r="B5893" s="1"/>
    </row>
    <row r="5894">
      <c r="A5894" s="1"/>
      <c r="B5894" s="1"/>
    </row>
    <row r="5895">
      <c r="A5895" s="1" t="str">
        <f>IFERROR(__xludf.DUMMYFUNCTION("""COMPUTED_VALUE"""),"151824;INF760K01KO9;-;Canara Robeco Multi Cap Fund - Direct Plan - Growth Option;10.0900;25-Aug-2023")</f>
        <v>151824;INF760K01KO9;-;Canara Robeco Multi Cap Fund - Direct Plan - Growth Option;10.0900;25-Aug-2023</v>
      </c>
      <c r="B5895" s="1"/>
    </row>
    <row r="5896">
      <c r="A5896" s="1" t="str">
        <f>IFERROR(__xludf.DUMMYFUNCTION("""COMPUTED_VALUE"""),"151822;INF760K01KQ4;INF760K01KP6;Canara Robeco Multi Cap Fund - Direct Plan - IDCW Option;10.0900;25-Aug-2023")</f>
        <v>151822;INF760K01KQ4;INF760K01KP6;Canara Robeco Multi Cap Fund - Direct Plan - IDCW Option;10.0900;25-Aug-2023</v>
      </c>
      <c r="B5896" s="1"/>
    </row>
    <row r="5897">
      <c r="A5897" s="1" t="str">
        <f>IFERROR(__xludf.DUMMYFUNCTION("""COMPUTED_VALUE"""),"151821;INF760K01KR2;-;Canara Robeco Multi Cap Fund - Regular Plan - Growth Option;10.0800;25-Aug-2023")</f>
        <v>151821;INF760K01KR2;-;Canara Robeco Multi Cap Fund - Regular Plan - Growth Option;10.0800;25-Aug-2023</v>
      </c>
      <c r="B5897" s="1"/>
    </row>
    <row r="5898">
      <c r="A5898" s="1" t="str">
        <f>IFERROR(__xludf.DUMMYFUNCTION("""COMPUTED_VALUE"""),"151823;INF760K01KT8;INF760K01KS0;Canara Robeco Multi Cap Fund - Regular Plan - IDCW Option;10.0800;25-Aug-2023")</f>
        <v>151823;INF760K01KT8;INF760K01KS0;Canara Robeco Multi Cap Fund - Regular Plan - IDCW Option;10.0800;25-Aug-2023</v>
      </c>
      <c r="B5898" s="1"/>
    </row>
    <row r="5899">
      <c r="A5899" s="1"/>
      <c r="B5899" s="1"/>
    </row>
    <row r="5900">
      <c r="A5900" s="1" t="str">
        <f>IFERROR(__xludf.DUMMYFUNCTION("""COMPUTED_VALUE"""),"HDFC Mutual Fund")</f>
        <v>HDFC Mutual Fund</v>
      </c>
      <c r="B5900" s="1"/>
    </row>
    <row r="5901">
      <c r="A5901" s="1"/>
      <c r="B5901" s="1"/>
    </row>
    <row r="5902">
      <c r="A5902" s="1" t="str">
        <f>IFERROR(__xludf.DUMMYFUNCTION("""COMPUTED_VALUE"""),"149366;INF179KC1BV9;-;HDFC Multi Cap Fund - Growth Option;13.405;25-Aug-2023")</f>
        <v>149366;INF179KC1BV9;-;HDFC Multi Cap Fund - Growth Option;13.405;25-Aug-2023</v>
      </c>
      <c r="B5902" s="1"/>
    </row>
    <row r="5903">
      <c r="A5903" s="1" t="str">
        <f>IFERROR(__xludf.DUMMYFUNCTION("""COMPUTED_VALUE"""),"149368;INF179KC1BS5;-;HDFC Multi Cap Fund - Growth Option - Direct Plan;13.736;25-Aug-2023")</f>
        <v>149368;INF179KC1BS5;-;HDFC Multi Cap Fund - Growth Option - Direct Plan;13.736;25-Aug-2023</v>
      </c>
      <c r="B5903" s="1"/>
    </row>
    <row r="5904">
      <c r="A5904" s="1" t="str">
        <f>IFERROR(__xludf.DUMMYFUNCTION("""COMPUTED_VALUE"""),"149365;INF179KC1BW7;INF179KC1BX5;HDFC Multi Cap Fund - IDCW Option;13.346;25-Aug-2023")</f>
        <v>149365;INF179KC1BW7;INF179KC1BX5;HDFC Multi Cap Fund - IDCW Option;13.346;25-Aug-2023</v>
      </c>
      <c r="B5904" s="1"/>
    </row>
    <row r="5905">
      <c r="A5905" s="1" t="str">
        <f>IFERROR(__xludf.DUMMYFUNCTION("""COMPUTED_VALUE"""),"149367;INF179KC1BT3;INF179KC1BU1;HDFC Multi Cap Fund - IDCW Option - Direct Plan;13.735;25-Aug-2023")</f>
        <v>149367;INF179KC1BT3;INF179KC1BU1;HDFC Multi Cap Fund - IDCW Option - Direct Plan;13.735;25-Aug-2023</v>
      </c>
      <c r="B5905" s="1"/>
    </row>
    <row r="5906">
      <c r="A5906" s="1"/>
      <c r="B5906" s="1"/>
    </row>
    <row r="5907">
      <c r="A5907" s="1" t="str">
        <f>IFERROR(__xludf.DUMMYFUNCTION("""COMPUTED_VALUE"""),"HSBC Mutual Fund")</f>
        <v>HSBC Mutual Fund</v>
      </c>
      <c r="B5907" s="1"/>
    </row>
    <row r="5908">
      <c r="A5908" s="1"/>
      <c r="B5908" s="1"/>
    </row>
    <row r="5909">
      <c r="A5909" s="1" t="str">
        <f>IFERROR(__xludf.DUMMYFUNCTION("""COMPUTED_VALUE"""),"151290;INF336L01QN5;-;HSBC Multi Cap Fund - Direct - Growth;12.258;25-Aug-2023")</f>
        <v>151290;INF336L01QN5;-;HSBC Multi Cap Fund - Direct - Growth;12.258;25-Aug-2023</v>
      </c>
      <c r="B5909" s="1"/>
    </row>
    <row r="5910">
      <c r="A5910" s="1" t="str">
        <f>IFERROR(__xludf.DUMMYFUNCTION("""COMPUTED_VALUE"""),"151291;INF336L01QO3;INF336L01QP0;HSBC Multi Cap Fund - Direct - IDCW;12.258;25-Aug-2023")</f>
        <v>151291;INF336L01QO3;INF336L01QP0;HSBC Multi Cap Fund - Direct - IDCW;12.258;25-Aug-2023</v>
      </c>
      <c r="B5910" s="1"/>
    </row>
    <row r="5911">
      <c r="A5911" s="1" t="str">
        <f>IFERROR(__xludf.DUMMYFUNCTION("""COMPUTED_VALUE"""),"151289;INF336L01QQ8;-;HSBC Multi Cap Fund - Regular - Growth;12.1632;25-Aug-2023")</f>
        <v>151289;INF336L01QQ8;-;HSBC Multi Cap Fund - Regular - Growth;12.1632;25-Aug-2023</v>
      </c>
      <c r="B5911" s="1"/>
    </row>
    <row r="5912">
      <c r="A5912" s="1" t="str">
        <f>IFERROR(__xludf.DUMMYFUNCTION("""COMPUTED_VALUE"""),"151292;INF336L01QR6;INF336L01QS4;HSBC Multi Cap Fund - Regular - IDCW;12.1632;25-Aug-2023")</f>
        <v>151292;INF336L01QR6;INF336L01QS4;HSBC Multi Cap Fund - Regular - IDCW;12.1632;25-Aug-2023</v>
      </c>
      <c r="B5912" s="1"/>
    </row>
    <row r="5913">
      <c r="A5913" s="1"/>
      <c r="B5913" s="1"/>
    </row>
    <row r="5914">
      <c r="A5914" s="1" t="str">
        <f>IFERROR(__xludf.DUMMYFUNCTION("""COMPUTED_VALUE"""),"ICICI Prudential Mutual Fund")</f>
        <v>ICICI Prudential Mutual Fund</v>
      </c>
      <c r="B5914" s="1"/>
    </row>
    <row r="5915">
      <c r="A5915" s="1"/>
      <c r="B5915" s="1"/>
    </row>
    <row r="5916">
      <c r="A5916" s="1" t="str">
        <f>IFERROR(__xludf.DUMMYFUNCTION("""COMPUTED_VALUE"""),"120381;INF109K011N7;-;ICICI Prudential MidCap Fund - Direct Plan -  Growth;205.86;25-Aug-2023")</f>
        <v>120381;INF109K011N7;-;ICICI Prudential MidCap Fund - Direct Plan -  Growth;205.86;25-Aug-2023</v>
      </c>
      <c r="B5916" s="1"/>
    </row>
    <row r="5917">
      <c r="A5917" s="1" t="str">
        <f>IFERROR(__xludf.DUMMYFUNCTION("""COMPUTED_VALUE"""),"120380;INF109K019M2;INF109K010N9;ICICI Prudential MidCap Fund - Direct Plan -  IDCW;45.21;25-Aug-2023")</f>
        <v>120380;INF109K019M2;INF109K010N9;ICICI Prudential MidCap Fund - Direct Plan -  IDCW;45.21;25-Aug-2023</v>
      </c>
      <c r="B5917" s="1"/>
    </row>
    <row r="5918">
      <c r="A5918" s="1" t="str">
        <f>IFERROR(__xludf.DUMMYFUNCTION("""COMPUTED_VALUE"""),"102528;INF109K01AN2;-;ICICI Prudential MidCap Fund - Growth;186.63;25-Aug-2023")</f>
        <v>102528;INF109K01AN2;-;ICICI Prudential MidCap Fund - Growth;186.63;25-Aug-2023</v>
      </c>
      <c r="B5918" s="1"/>
    </row>
    <row r="5919">
      <c r="A5919" s="1" t="str">
        <f>IFERROR(__xludf.DUMMYFUNCTION("""COMPUTED_VALUE"""),"102529;INF109K01EH6;INF109K01AL6;ICICI Prudential MidCap Fund - IDCW;31.33;25-Aug-2023")</f>
        <v>102529;INF109K01EH6;INF109K01AL6;ICICI Prudential MidCap Fund - IDCW;31.33;25-Aug-2023</v>
      </c>
      <c r="B5919" s="1"/>
    </row>
    <row r="5920">
      <c r="A5920" s="1" t="str">
        <f>IFERROR(__xludf.DUMMYFUNCTION("""COMPUTED_VALUE"""),"120599;INF109K014O9;-;ICICI Prudential Multicap Fund - Direct Plan -  Growth;593.43;25-Aug-2023")</f>
        <v>120599;INF109K014O9;-;ICICI Prudential Multicap Fund - Direct Plan -  Growth;593.43;25-Aug-2023</v>
      </c>
      <c r="B5920" s="1"/>
    </row>
    <row r="5921">
      <c r="A5921" s="1" t="str">
        <f>IFERROR(__xludf.DUMMYFUNCTION("""COMPUTED_VALUE"""),"120598;INF109K012O3;INF109K013O1;ICICI Prudential Multicap Fund - Direct Plan -  IDCW;45.96;25-Aug-2023")</f>
        <v>120598;INF109K012O3;INF109K013O1;ICICI Prudential Multicap Fund - Direct Plan -  IDCW;45.96;25-Aug-2023</v>
      </c>
      <c r="B5921" s="1"/>
    </row>
    <row r="5922">
      <c r="A5922" s="1" t="str">
        <f>IFERROR(__xludf.DUMMYFUNCTION("""COMPUTED_VALUE"""),"101228;INF109K01613;-;ICICI Prudential Multicap Fund - Growth;540.06;25-Aug-2023")</f>
        <v>101228;INF109K01613;-;ICICI Prudential Multicap Fund - Growth;540.06;25-Aug-2023</v>
      </c>
      <c r="B5922" s="1"/>
    </row>
    <row r="5923">
      <c r="A5923" s="1" t="str">
        <f>IFERROR(__xludf.DUMMYFUNCTION("""COMPUTED_VALUE"""),"101706;INF109K01FK7;INF109K01621;ICICI Prudential Multicap Fund - IDCW;28.09;25-Aug-2023")</f>
        <v>101706;INF109K01FK7;INF109K01621;ICICI Prudential Multicap Fund - IDCW;28.09;25-Aug-2023</v>
      </c>
      <c r="B5923" s="1"/>
    </row>
    <row r="5924">
      <c r="A5924" s="1"/>
      <c r="B5924" s="1"/>
    </row>
    <row r="5925">
      <c r="A5925" s="1" t="str">
        <f>IFERROR(__xludf.DUMMYFUNCTION("""COMPUTED_VALUE"""),"Invesco Mutual Fund")</f>
        <v>Invesco Mutual Fund</v>
      </c>
      <c r="B5925" s="1"/>
    </row>
    <row r="5926">
      <c r="A5926" s="1"/>
      <c r="B5926" s="1"/>
    </row>
    <row r="5927">
      <c r="A5927" s="1" t="str">
        <f>IFERROR(__xludf.DUMMYFUNCTION("""COMPUTED_VALUE"""),"120413;INF205K01MS2;-;Invesco India Multicap Fund - Direct Plan - Growth Option;104.49;25-Aug-2023")</f>
        <v>120413;INF205K01MS2;-;Invesco India Multicap Fund - Direct Plan - Growth Option;104.49;25-Aug-2023</v>
      </c>
      <c r="B5927" s="1"/>
    </row>
    <row r="5928">
      <c r="A5928" s="1" t="str">
        <f>IFERROR(__xludf.DUMMYFUNCTION("""COMPUTED_VALUE"""),"120412;INF205K01MQ6;INF205K01MR4;Invesco India Multicap Fund - Direct Plan - IDCW (Payout / Reinvestment);94.58;25-Aug-2023")</f>
        <v>120412;INF205K01MQ6;INF205K01MR4;Invesco India Multicap Fund - Direct Plan - IDCW (Payout / Reinvestment);94.58;25-Aug-2023</v>
      </c>
      <c r="B5928" s="1"/>
    </row>
    <row r="5929">
      <c r="A5929" s="1" t="str">
        <f>IFERROR(__xludf.DUMMYFUNCTION("""COMPUTED_VALUE"""),"107353;INF205K01DN2;-;Invesco India Multicap Fund - Growth Option;89.92;25-Aug-2023")</f>
        <v>107353;INF205K01DN2;-;Invesco India Multicap Fund - Growth Option;89.92;25-Aug-2023</v>
      </c>
      <c r="B5929" s="1"/>
    </row>
    <row r="5930">
      <c r="A5930" s="1" t="str">
        <f>IFERROR(__xludf.DUMMYFUNCTION("""COMPUTED_VALUE"""),"107352;INF205K01DO0;INF205K01DP7;Invesco India Multicap Fund - IDCW (Payout / Reinvestment);81.53;25-Aug-2023")</f>
        <v>107352;INF205K01DO0;INF205K01DP7;Invesco India Multicap Fund - IDCW (Payout / Reinvestment);81.53;25-Aug-2023</v>
      </c>
      <c r="B5930" s="1"/>
    </row>
    <row r="5931">
      <c r="A5931" s="1"/>
      <c r="B5931" s="1"/>
    </row>
    <row r="5932">
      <c r="A5932" s="1" t="str">
        <f>IFERROR(__xludf.DUMMYFUNCTION("""COMPUTED_VALUE"""),"ITI Mutual Fund")</f>
        <v>ITI Mutual Fund</v>
      </c>
      <c r="B5932" s="1"/>
    </row>
    <row r="5933">
      <c r="A5933" s="1"/>
      <c r="B5933" s="1"/>
    </row>
    <row r="5934">
      <c r="A5934" s="1" t="str">
        <f>IFERROR(__xludf.DUMMYFUNCTION("""COMPUTED_VALUE"""),"147183;INF00XX01168;-;ITI Multi Cap Fund - Direct Plan - Growth Option;17.9738;25-Aug-2023")</f>
        <v>147183;INF00XX01168;-;ITI Multi Cap Fund - Direct Plan - Growth Option;17.9738;25-Aug-2023</v>
      </c>
      <c r="B5934" s="1"/>
    </row>
    <row r="5935">
      <c r="A5935" s="1" t="str">
        <f>IFERROR(__xludf.DUMMYFUNCTION("""COMPUTED_VALUE"""),"147186;INF00XX01176;INF00XX01184;ITI Multi Cap Fund - Direct Plan - IDCW Option;17.1959;25-Aug-2023")</f>
        <v>147186;INF00XX01176;INF00XX01184;ITI Multi Cap Fund - Direct Plan - IDCW Option;17.1959;25-Aug-2023</v>
      </c>
      <c r="B5935" s="1"/>
    </row>
    <row r="5936">
      <c r="A5936" s="1" t="str">
        <f>IFERROR(__xludf.DUMMYFUNCTION("""COMPUTED_VALUE"""),"147184;INF00XX01135;-;ITI Multi Cap Fund - Regular Plan - Growth Option;16.4218;25-Aug-2023")</f>
        <v>147184;INF00XX01135;-;ITI Multi Cap Fund - Regular Plan - Growth Option;16.4218;25-Aug-2023</v>
      </c>
      <c r="B5936" s="1"/>
    </row>
    <row r="5937">
      <c r="A5937" s="1" t="str">
        <f>IFERROR(__xludf.DUMMYFUNCTION("""COMPUTED_VALUE"""),"147185;INF00XX01143;INF00XX01150;ITI Multi Cap Fund - Regular Plan - IDCW Option;15.6864;25-Aug-2023")</f>
        <v>147185;INF00XX01143;INF00XX01150;ITI Multi Cap Fund - Regular Plan - IDCW Option;15.6864;25-Aug-2023</v>
      </c>
      <c r="B5937" s="1"/>
    </row>
    <row r="5938">
      <c r="A5938" s="1"/>
      <c r="B5938" s="1"/>
    </row>
    <row r="5939">
      <c r="A5939" s="1" t="str">
        <f>IFERROR(__xludf.DUMMYFUNCTION("""COMPUTED_VALUE"""),"Kotak Mahindra Mutual Fund")</f>
        <v>Kotak Mahindra Mutual Fund</v>
      </c>
      <c r="B5939" s="1"/>
    </row>
    <row r="5940">
      <c r="A5940" s="1"/>
      <c r="B5940" s="1"/>
    </row>
    <row r="5941">
      <c r="A5941" s="1" t="str">
        <f>IFERROR(__xludf.DUMMYFUNCTION("""COMPUTED_VALUE"""),"149183;INF174KA1HT7;INF174KA1HU5;Kotak Multicap Fund- Regular Plan -IDCW Option;12.528;25-Aug-2023")</f>
        <v>149183;INF174KA1HT7;INF174KA1HU5;Kotak Multicap Fund- Regular Plan -IDCW Option;12.528;25-Aug-2023</v>
      </c>
      <c r="B5941" s="1"/>
    </row>
    <row r="5942">
      <c r="A5942" s="1" t="str">
        <f>IFERROR(__xludf.DUMMYFUNCTION("""COMPUTED_VALUE"""),"149185;INF174KA1HV3;-;Kotak Multicap Fund-Direct Plan-Growth;12.935;25-Aug-2023")</f>
        <v>149185;INF174KA1HV3;-;Kotak Multicap Fund-Direct Plan-Growth;12.935;25-Aug-2023</v>
      </c>
      <c r="B5942" s="1"/>
    </row>
    <row r="5943">
      <c r="A5943" s="1" t="str">
        <f>IFERROR(__xludf.DUMMYFUNCTION("""COMPUTED_VALUE"""),"149187;INF174KA1HW1;INF174KA1HX9;Kotak Multicap Fund-Direct Plan-IDCW Option;12.935;25-Aug-2023")</f>
        <v>149187;INF174KA1HW1;INF174KA1HX9;Kotak Multicap Fund-Direct Plan-IDCW Option;12.935;25-Aug-2023</v>
      </c>
      <c r="B5943" s="1"/>
    </row>
    <row r="5944">
      <c r="A5944" s="1" t="str">
        <f>IFERROR(__xludf.DUMMYFUNCTION("""COMPUTED_VALUE"""),"149182;INF174KA1HS9;-;Kotak Multicap Fund-Regular Plan-Growth;12.528;25-Aug-2023")</f>
        <v>149182;INF174KA1HS9;-;Kotak Multicap Fund-Regular Plan-Growth;12.528;25-Aug-2023</v>
      </c>
      <c r="B5944" s="1"/>
    </row>
    <row r="5945">
      <c r="A5945" s="1"/>
      <c r="B5945" s="1"/>
    </row>
    <row r="5946">
      <c r="A5946" s="1" t="str">
        <f>IFERROR(__xludf.DUMMYFUNCTION("""COMPUTED_VALUE"""),"LIC Mutual Fund")</f>
        <v>LIC Mutual Fund</v>
      </c>
      <c r="B5946" s="1"/>
    </row>
    <row r="5947">
      <c r="A5947" s="1"/>
      <c r="B5947" s="1"/>
    </row>
    <row r="5948">
      <c r="A5948" s="1" t="str">
        <f>IFERROR(__xludf.DUMMYFUNCTION("""COMPUTED_VALUE"""),"150659;INF767K01RK7;-;LIC MF Multi Cap Fund-Direct Growth;11.5757;25-Aug-2023")</f>
        <v>150659;INF767K01RK7;-;LIC MF Multi Cap Fund-Direct Growth;11.5757;25-Aug-2023</v>
      </c>
      <c r="B5948" s="1"/>
    </row>
    <row r="5949">
      <c r="A5949" s="1" t="str">
        <f>IFERROR(__xludf.DUMMYFUNCTION("""COMPUTED_VALUE"""),"150660;INF767K01RL5;INF767K01RM3;LIC MF Multi Cap Fund-Direct IDCW;11.5757;25-Aug-2023")</f>
        <v>150660;INF767K01RL5;INF767K01RM3;LIC MF Multi Cap Fund-Direct IDCW;11.5757;25-Aug-2023</v>
      </c>
      <c r="B5949" s="1"/>
    </row>
    <row r="5950">
      <c r="A5950" s="1" t="str">
        <f>IFERROR(__xludf.DUMMYFUNCTION("""COMPUTED_VALUE"""),"150661;INF767K01RH3;-;LIC MF Multi Cap Fund-Regular Growth;11.4083;25-Aug-2023")</f>
        <v>150661;INF767K01RH3;-;LIC MF Multi Cap Fund-Regular Growth;11.4083;25-Aug-2023</v>
      </c>
      <c r="B5950" s="1"/>
    </row>
    <row r="5951">
      <c r="A5951" s="1" t="str">
        <f>IFERROR(__xludf.DUMMYFUNCTION("""COMPUTED_VALUE"""),"150662;INF767K01RI1;INF767K01RJ9;LIC MF Multi Cap Fund-Regular IDCW;11.4083;25-Aug-2023")</f>
        <v>150662;INF767K01RI1;INF767K01RJ9;LIC MF Multi Cap Fund-Regular IDCW;11.4083;25-Aug-2023</v>
      </c>
      <c r="B5951" s="1"/>
    </row>
    <row r="5952">
      <c r="A5952" s="1"/>
      <c r="B5952" s="1"/>
    </row>
    <row r="5953">
      <c r="A5953" s="1" t="str">
        <f>IFERROR(__xludf.DUMMYFUNCTION("""COMPUTED_VALUE"""),"Mahindra Manulife Mutual Fund")</f>
        <v>Mahindra Manulife Mutual Fund</v>
      </c>
      <c r="B5953" s="1"/>
    </row>
    <row r="5954">
      <c r="A5954" s="1"/>
      <c r="B5954" s="1"/>
    </row>
    <row r="5955">
      <c r="A5955" s="1" t="str">
        <f>IFERROR(__xludf.DUMMYFUNCTION("""COMPUTED_VALUE"""),"141223;INF174V01366;INF174V01358;Mahindra Manulife Multi Cap Fund - Direct Plan - IDCW;22.6572;25-Aug-2023")</f>
        <v>141223;INF174V01366;INF174V01358;Mahindra Manulife Multi Cap Fund - Direct Plan - IDCW;22.6572;25-Aug-2023</v>
      </c>
      <c r="B5955" s="1"/>
    </row>
    <row r="5956">
      <c r="A5956" s="1" t="str">
        <f>IFERROR(__xludf.DUMMYFUNCTION("""COMPUTED_VALUE"""),"141226;INF174V01341;-;Mahindra Manulife Multi Cap Fund - Direct Plan -Growth;27.9059;25-Aug-2023")</f>
        <v>141226;INF174V01341;-;Mahindra Manulife Multi Cap Fund - Direct Plan -Growth;27.9059;25-Aug-2023</v>
      </c>
      <c r="B5956" s="1"/>
    </row>
    <row r="5957">
      <c r="A5957" s="1" t="str">
        <f>IFERROR(__xludf.DUMMYFUNCTION("""COMPUTED_VALUE"""),"141224;INF174V01317;-;Mahindra Manulife Multi Cap Fund - Regular Plan - Growth;24.7235;25-Aug-2023")</f>
        <v>141224;INF174V01317;-;Mahindra Manulife Multi Cap Fund - Regular Plan - Growth;24.7235;25-Aug-2023</v>
      </c>
      <c r="B5957" s="1"/>
    </row>
    <row r="5958">
      <c r="A5958" s="1" t="str">
        <f>IFERROR(__xludf.DUMMYFUNCTION("""COMPUTED_VALUE"""),"141225;INF174V01333;INF174V01325;Mahindra Manulife Multi Cap Fund - Regular Plan - IDCW;19.6136;25-Aug-2023")</f>
        <v>141225;INF174V01333;INF174V01325;Mahindra Manulife Multi Cap Fund - Regular Plan - IDCW;19.6136;25-Aug-2023</v>
      </c>
      <c r="B5958" s="1"/>
    </row>
    <row r="5959">
      <c r="A5959" s="1"/>
      <c r="B5959" s="1"/>
    </row>
    <row r="5960">
      <c r="A5960" s="1" t="str">
        <f>IFERROR(__xludf.DUMMYFUNCTION("""COMPUTED_VALUE"""),"Mirae Asset Mutual Fund")</f>
        <v>Mirae Asset Mutual Fund</v>
      </c>
      <c r="B5960" s="1"/>
    </row>
    <row r="5961">
      <c r="A5961" s="1"/>
      <c r="B5961" s="1"/>
    </row>
    <row r="5962">
      <c r="A5962" s="1" t="str">
        <f>IFERROR(__xludf.DUMMYFUNCTION("""COMPUTED_VALUE"""),"151810;INF769K01KK8;-;Mirae Asset Multicap Fund - Direct Plan - Growth;10.065;25-Aug-2023")</f>
        <v>151810;INF769K01KK8;-;Mirae Asset Multicap Fund - Direct Plan - Growth;10.065;25-Aug-2023</v>
      </c>
      <c r="B5962" s="1"/>
    </row>
    <row r="5963">
      <c r="A5963" s="1" t="str">
        <f>IFERROR(__xludf.DUMMYFUNCTION("""COMPUTED_VALUE"""),"151811;INF769K01KL6;INF769K01KM4;Mirae Asset Multicap Fund - Direct Plan - IDCW;10.065;25-Aug-2023")</f>
        <v>151811;INF769K01KL6;INF769K01KM4;Mirae Asset Multicap Fund - Direct Plan - IDCW;10.065;25-Aug-2023</v>
      </c>
      <c r="B5963" s="1"/>
    </row>
    <row r="5964">
      <c r="A5964" s="1" t="str">
        <f>IFERROR(__xludf.DUMMYFUNCTION("""COMPUTED_VALUE"""),"151812;INF769K01KH4;-;Mirae Asset Multicap Fund - Regular Plan - Growth;10.063;25-Aug-2023")</f>
        <v>151812;INF769K01KH4;-;Mirae Asset Multicap Fund - Regular Plan - Growth;10.063;25-Aug-2023</v>
      </c>
      <c r="B5964" s="1"/>
    </row>
    <row r="5965">
      <c r="A5965" s="1" t="str">
        <f>IFERROR(__xludf.DUMMYFUNCTION("""COMPUTED_VALUE"""),"151813;INF769K01KI2;INF769K01KJ0;Mirae Asset Multicap Fund - Regular Plan - IDCW;10.063;25-Aug-2023")</f>
        <v>151813;INF769K01KI2;INF769K01KJ0;Mirae Asset Multicap Fund - Regular Plan - IDCW;10.063;25-Aug-2023</v>
      </c>
      <c r="B5965" s="1"/>
    </row>
    <row r="5966">
      <c r="A5966" s="1"/>
      <c r="B5966" s="1"/>
    </row>
    <row r="5967">
      <c r="A5967" s="1" t="str">
        <f>IFERROR(__xludf.DUMMYFUNCTION("""COMPUTED_VALUE"""),"Nippon India Mutual Fund")</f>
        <v>Nippon India Mutual Fund</v>
      </c>
      <c r="B5967" s="1"/>
    </row>
    <row r="5968">
      <c r="A5968" s="1"/>
      <c r="B5968" s="1"/>
    </row>
    <row r="5969">
      <c r="A5969" s="1" t="str">
        <f>IFERROR(__xludf.DUMMYFUNCTION("""COMPUTED_VALUE"""),"118652;INF204K01XD4;INF204K01XE2;NIPPON INDIA MULTI CAP FUND - DIRECT Plan - IDCW Option;71.2953;25-Aug-2023")</f>
        <v>118652;INF204K01XD4;INF204K01XE2;NIPPON INDIA MULTI CAP FUND - DIRECT Plan - IDCW Option;71.2953;25-Aug-2023</v>
      </c>
      <c r="B5969" s="1"/>
    </row>
    <row r="5970">
      <c r="A5970" s="1" t="str">
        <f>IFERROR(__xludf.DUMMYFUNCTION("""COMPUTED_VALUE"""),"118651;INF204K01D55;-;Nippon India Multi Cap Fund - Direct Plan Growth Plan - Bonus Option;221.9448;25-Aug-2023")</f>
        <v>118651;INF204K01D55;-;Nippon India Multi Cap Fund - Direct Plan Growth Plan - Bonus Option;221.9448;25-Aug-2023</v>
      </c>
      <c r="B5970" s="1"/>
    </row>
    <row r="5971">
      <c r="A5971" s="1" t="str">
        <f>IFERROR(__xludf.DUMMYFUNCTION("""COMPUTED_VALUE"""),"118650;INF204K01XF9;-;Nippon India Multi Cap Fund - Direct Plan Growth Plan - Growth Option;221.9448;25-Aug-2023")</f>
        <v>118650;INF204K01XF9;-;Nippon India Multi Cap Fund - Direct Plan Growth Plan - Growth Option;221.9448;25-Aug-2023</v>
      </c>
      <c r="B5971" s="1"/>
    </row>
    <row r="5972">
      <c r="A5972" s="1" t="str">
        <f>IFERROR(__xludf.DUMMYFUNCTION("""COMPUTED_VALUE"""),"101163;INF204K01455;INF204K01463;NIPPON INDIA MULTI CAP FUND - IDCW Option;51.5895;25-Aug-2023")</f>
        <v>101163;INF204K01455;INF204K01463;NIPPON INDIA MULTI CAP FUND - IDCW Option;51.5895;25-Aug-2023</v>
      </c>
      <c r="B5972" s="1"/>
    </row>
    <row r="5973">
      <c r="A5973" s="1" t="str">
        <f>IFERROR(__xludf.DUMMYFUNCTION("""COMPUTED_VALUE"""),"106252;INF204K01414;INF204K01422;Nippon India Multi Cap Fund Institutional Dividend Plan;44.8994;13-Jul-2016")</f>
        <v>106252;INF204K01414;INF204K01422;Nippon India Multi Cap Fund Institutional Dividend Plan;44.8994;13-Jul-2016</v>
      </c>
      <c r="B5973" s="1"/>
    </row>
    <row r="5974">
      <c r="A5974" s="1" t="str">
        <f>IFERROR(__xludf.DUMMYFUNCTION("""COMPUTED_VALUE"""),"106253;INF204K01448;-;Nippon India Multi Cap Fund Institutional Plan Growth Plan Growth Option;21.9544;25-Apr-2017")</f>
        <v>106253;INF204K01448;-;Nippon India Multi Cap Fund Institutional Plan Growth Plan Growth Option;21.9544;25-Apr-2017</v>
      </c>
      <c r="B5974" s="1"/>
    </row>
    <row r="5975">
      <c r="A5975" s="1" t="str">
        <f>IFERROR(__xludf.DUMMYFUNCTION("""COMPUTED_VALUE"""),"101162;INF204K01471;-;Nippon India Multi Cap Fund-Growth Plan-Bonus Option;205.3613;25-Aug-2023")</f>
        <v>101162;INF204K01471;-;Nippon India Multi Cap Fund-Growth Plan-Bonus Option;205.3613;25-Aug-2023</v>
      </c>
      <c r="B5975" s="1"/>
    </row>
    <row r="5976">
      <c r="A5976" s="1" t="str">
        <f>IFERROR(__xludf.DUMMYFUNCTION("""COMPUTED_VALUE"""),"101161;INF204K01489;-;Nippon India Multi Cap Fund-Growth Plan-Growth Option;205.3613;25-Aug-2023")</f>
        <v>101161;INF204K01489;-;Nippon India Multi Cap Fund-Growth Plan-Growth Option;205.3613;25-Aug-2023</v>
      </c>
      <c r="B5976" s="1"/>
    </row>
    <row r="5977">
      <c r="A5977" s="1"/>
      <c r="B5977" s="1"/>
    </row>
    <row r="5978">
      <c r="A5978" s="1" t="str">
        <f>IFERROR(__xludf.DUMMYFUNCTION("""COMPUTED_VALUE"""),"quant Mutual Fund")</f>
        <v>quant Mutual Fund</v>
      </c>
      <c r="B5978" s="1"/>
    </row>
    <row r="5979">
      <c r="A5979" s="1"/>
      <c r="B5979" s="1"/>
    </row>
    <row r="5980">
      <c r="A5980" s="1" t="str">
        <f>IFERROR(__xludf.DUMMYFUNCTION("""COMPUTED_VALUE"""),"100631;INF966L01234;-;quant Active Fund-GROWTH OPTION - Regular Plan;491.2519;25-Aug-2023")</f>
        <v>100631;INF966L01234;-;quant Active Fund-GROWTH OPTION - Regular Plan;491.2519;25-Aug-2023</v>
      </c>
      <c r="B5980" s="1"/>
    </row>
    <row r="5981">
      <c r="A5981" s="1" t="str">
        <f>IFERROR(__xludf.DUMMYFUNCTION("""COMPUTED_VALUE"""),"120823;INF966L01614;-;quant Active Fund-GROWTH OPTION-Direct Plan;524.4619;25-Aug-2023")</f>
        <v>120823;INF966L01614;-;quant Active Fund-GROWTH OPTION-Direct Plan;524.4619;25-Aug-2023</v>
      </c>
      <c r="B5981" s="1"/>
    </row>
    <row r="5982">
      <c r="A5982" s="1" t="str">
        <f>IFERROR(__xludf.DUMMYFUNCTION("""COMPUTED_VALUE"""),"120822;INF966L01598;INF966L01606;quant Active Fund-IDCW Option - Direct Plan;60.7386;25-Aug-2023")</f>
        <v>120822;INF966L01598;INF966L01606;quant Active Fund-IDCW Option - Direct Plan;60.7386;25-Aug-2023</v>
      </c>
      <c r="B5982" s="1"/>
    </row>
    <row r="5983">
      <c r="A5983" s="1" t="str">
        <f>IFERROR(__xludf.DUMMYFUNCTION("""COMPUTED_VALUE"""),"100630;INF966L01218;INF966L01226;quant Active Fund-IDCW Option - Regular Plan;56.1802;25-Aug-2023")</f>
        <v>100630;INF966L01218;INF966L01226;quant Active Fund-IDCW Option - Regular Plan;56.1802;25-Aug-2023</v>
      </c>
      <c r="B5983" s="1"/>
    </row>
    <row r="5984">
      <c r="A5984" s="1"/>
      <c r="B5984" s="1"/>
    </row>
    <row r="5985">
      <c r="A5985" s="1" t="str">
        <f>IFERROR(__xludf.DUMMYFUNCTION("""COMPUTED_VALUE"""),"SBI Mutual Fund")</f>
        <v>SBI Mutual Fund</v>
      </c>
      <c r="B5985" s="1"/>
    </row>
    <row r="5986">
      <c r="A5986" s="1"/>
      <c r="B5986" s="1"/>
    </row>
    <row r="5987">
      <c r="A5987" s="1" t="str">
        <f>IFERROR(__xludf.DUMMYFUNCTION("""COMPUTED_VALUE"""),"149887;INF200KA19E0;INF200KA10F6;SBI Multicap Fund- Direct Plan - Income Distribution cum Capital Withdrawal Option (IDCW);11.9787;25-Aug-2023")</f>
        <v>149887;INF200KA19E0;INF200KA10F6;SBI Multicap Fund- Direct Plan - Income Distribution cum Capital Withdrawal Option (IDCW);11.9787;25-Aug-2023</v>
      </c>
      <c r="B5987" s="1"/>
    </row>
    <row r="5988">
      <c r="A5988" s="1" t="str">
        <f>IFERROR(__xludf.DUMMYFUNCTION("""COMPUTED_VALUE"""),"149882;INF200KA18E2;-;SBI Multicap Fund- Direct Plan- Growth option;11.9787;25-Aug-2023")</f>
        <v>149882;INF200KA18E2;-;SBI Multicap Fund- Direct Plan- Growth option;11.9787;25-Aug-2023</v>
      </c>
      <c r="B5988" s="1"/>
    </row>
    <row r="5989">
      <c r="A5989" s="1" t="str">
        <f>IFERROR(__xludf.DUMMYFUNCTION("""COMPUTED_VALUE"""),"149886;INF200KA15E8;-;SBI Multicap Fund- Regular Plan- Growth Option;11.7907;25-Aug-2023")</f>
        <v>149886;INF200KA15E8;-;SBI Multicap Fund- Regular Plan- Growth Option;11.7907;25-Aug-2023</v>
      </c>
      <c r="B5989" s="1"/>
    </row>
    <row r="5990">
      <c r="A5990" s="1" t="str">
        <f>IFERROR(__xludf.DUMMYFUNCTION("""COMPUTED_VALUE"""),"149883;INF200KA16E6;INF200KA17E4;SBI Multicap Fund- Regular Plan- Income Distribution cum Capital Withdrawal Option (IDCW);11.7920;25-Aug-2023")</f>
        <v>149883;INF200KA16E6;INF200KA17E4;SBI Multicap Fund- Regular Plan- Income Distribution cum Capital Withdrawal Option (IDCW);11.7920;25-Aug-2023</v>
      </c>
      <c r="B5990" s="1"/>
    </row>
    <row r="5991">
      <c r="A5991" s="1"/>
      <c r="B5991" s="1"/>
    </row>
    <row r="5992">
      <c r="A5992" s="1" t="str">
        <f>IFERROR(__xludf.DUMMYFUNCTION("""COMPUTED_VALUE"""),"Sundaram Mutual Fund")</f>
        <v>Sundaram Mutual Fund</v>
      </c>
      <c r="B5992" s="1"/>
    </row>
    <row r="5993">
      <c r="A5993" s="1"/>
      <c r="B5993" s="1"/>
    </row>
    <row r="5994">
      <c r="A5994" s="1" t="str">
        <f>IFERROR(__xludf.DUMMYFUNCTION("""COMPUTED_VALUE"""),"149668;INF173K01FN7;INF173K01FO5;Sundaram Multi Cap Fund (Formerly Known as Principal Multi Cap Growth Fund) - Direct Plan -Half Yearly Income Distribution CUM Capital Withdrawal Option;72.4903;25-Aug-2023")</f>
        <v>149668;INF173K01FN7;INF173K01FO5;Sundaram Multi Cap Fund (Formerly Known as Principal Multi Cap Growth Fund) - Direct Plan -Half Yearly Income Distribution CUM Capital Withdrawal Option;72.4903;25-Aug-2023</v>
      </c>
      <c r="B5994" s="1"/>
    </row>
    <row r="5995">
      <c r="A5995" s="1" t="str">
        <f>IFERROR(__xludf.DUMMYFUNCTION("""COMPUTED_VALUE"""),"149666;INF173K01957;INF173K01965;Sundaram Multi Cap Fund (Formerly Known as Principal Multi Cap Growth Fund)- Half Yearly Income Distribution CUM Capital Withdrawal Option;54.8807;25-Aug-2023")</f>
        <v>149666;INF173K01957;INF173K01965;Sundaram Multi Cap Fund (Formerly Known as Principal Multi Cap Growth Fund)- Half Yearly Income Distribution CUM Capital Withdrawal Option;54.8807;25-Aug-2023</v>
      </c>
      <c r="B5995" s="1"/>
    </row>
    <row r="5996">
      <c r="A5996" s="1" t="str">
        <f>IFERROR(__xludf.DUMMYFUNCTION("""COMPUTED_VALUE"""),"149669;INF173K01FQ0;-;Sundaram Multi Cap Fund (Formerly Known as Principal Multi Cap Growth Fund)-Direct Plan - Growth Option;293.6027;25-Aug-2023")</f>
        <v>149669;INF173K01FQ0;-;Sundaram Multi Cap Fund (Formerly Known as Principal Multi Cap Growth Fund)-Direct Plan - Growth Option;293.6027;25-Aug-2023</v>
      </c>
      <c r="B5996" s="1"/>
    </row>
    <row r="5997">
      <c r="A5997" s="1" t="str">
        <f>IFERROR(__xludf.DUMMYFUNCTION("""COMPUTED_VALUE"""),"149667;INF173K01940;-;Sundaram Multi Cap Fund (Formerly Known as Principal Multi Cap Growth Fund)-Growth Option;269.2397;25-Aug-2023")</f>
        <v>149667;INF173K01940;-;Sundaram Multi Cap Fund (Formerly Known as Principal Multi Cap Growth Fund)-Growth Option;269.2397;25-Aug-2023</v>
      </c>
      <c r="B5997" s="1"/>
    </row>
    <row r="5998">
      <c r="A5998" s="1"/>
      <c r="B5998" s="1"/>
    </row>
    <row r="5999">
      <c r="A5999" s="1" t="str">
        <f>IFERROR(__xludf.DUMMYFUNCTION("""COMPUTED_VALUE"""),"Tata Mutual Fund")</f>
        <v>Tata Mutual Fund</v>
      </c>
      <c r="B5999" s="1"/>
    </row>
    <row r="6000">
      <c r="A6000" s="1"/>
      <c r="B6000" s="1"/>
    </row>
    <row r="6001">
      <c r="A6001" s="1" t="str">
        <f>IFERROR(__xludf.DUMMYFUNCTION("""COMPUTED_VALUE"""),"151232;INF277KA1679;-;Tata Multicap Fund - Direct Plan - Growth;11.6304;25-Aug-2023")</f>
        <v>151232;INF277KA1679;-;Tata Multicap Fund - Direct Plan - Growth;11.6304;25-Aug-2023</v>
      </c>
      <c r="B6001" s="1"/>
    </row>
    <row r="6002">
      <c r="A6002" s="1" t="str">
        <f>IFERROR(__xludf.DUMMYFUNCTION("""COMPUTED_VALUE"""),"151234;INF277KA1695;-;Tata Multicap Fund - Direct Plan - IDCW Payout;11.6304;25-Aug-2023")</f>
        <v>151234;INF277KA1695;-;Tata Multicap Fund - Direct Plan - IDCW Payout;11.6304;25-Aug-2023</v>
      </c>
      <c r="B6002" s="1"/>
    </row>
    <row r="6003">
      <c r="A6003" s="1" t="str">
        <f>IFERROR(__xludf.DUMMYFUNCTION("""COMPUTED_VALUE"""),"151233;-;INF277KA1687;Tata Multicap Fund - Direct Plan - IDCW Reinvestment;11.6304;25-Aug-2023")</f>
        <v>151233;-;INF277KA1687;Tata Multicap Fund - Direct Plan - IDCW Reinvestment;11.6304;25-Aug-2023</v>
      </c>
      <c r="B6003" s="1"/>
    </row>
    <row r="6004">
      <c r="A6004" s="1" t="str">
        <f>IFERROR(__xludf.DUMMYFUNCTION("""COMPUTED_VALUE"""),"151235;INF277KA1703;-;Tata Multicap Fund - Regular Plan - Growth;11.5243;25-Aug-2023")</f>
        <v>151235;INF277KA1703;-;Tata Multicap Fund - Regular Plan - Growth;11.5243;25-Aug-2023</v>
      </c>
      <c r="B6004" s="1"/>
    </row>
    <row r="6005">
      <c r="A6005" s="1" t="str">
        <f>IFERROR(__xludf.DUMMYFUNCTION("""COMPUTED_VALUE"""),"151237;INF277KA1729;-;Tata Multicap Fund - Regular Plan - IDCW Payout;11.5243;25-Aug-2023")</f>
        <v>151237;INF277KA1729;-;Tata Multicap Fund - Regular Plan - IDCW Payout;11.5243;25-Aug-2023</v>
      </c>
      <c r="B6005" s="1"/>
    </row>
    <row r="6006">
      <c r="A6006" s="1" t="str">
        <f>IFERROR(__xludf.DUMMYFUNCTION("""COMPUTED_VALUE"""),"151236;-;INF277KA1711;Tata Multicap Fund - Regular Plan - IDCW Reinvestment;11.5243;25-Aug-2023")</f>
        <v>151236;-;INF277KA1711;Tata Multicap Fund - Regular Plan - IDCW Reinvestment;11.5243;25-Aug-2023</v>
      </c>
      <c r="B6006" s="1"/>
    </row>
    <row r="6007">
      <c r="A6007" s="1"/>
      <c r="B6007" s="1"/>
    </row>
    <row r="6008">
      <c r="A6008" s="1" t="str">
        <f>IFERROR(__xludf.DUMMYFUNCTION("""COMPUTED_VALUE"""),"Union Mutual Fund")</f>
        <v>Union Mutual Fund</v>
      </c>
      <c r="B6008" s="1"/>
    </row>
    <row r="6009">
      <c r="A6009" s="1"/>
      <c r="B6009" s="1"/>
    </row>
    <row r="6010">
      <c r="A6010" s="1" t="str">
        <f>IFERROR(__xludf.DUMMYFUNCTION("""COMPUTED_VALUE"""),"150858;INF582M01IO7;-;Union Multicap Fund - Direct Plan - Growth Option;11.70;25-Aug-2023")</f>
        <v>150858;INF582M01IO7;-;Union Multicap Fund - Direct Plan - Growth Option;11.70;25-Aug-2023</v>
      </c>
      <c r="B6010" s="1"/>
    </row>
    <row r="6011">
      <c r="A6011" s="1" t="str">
        <f>IFERROR(__xludf.DUMMYFUNCTION("""COMPUTED_VALUE"""),"150857;INF582M01IP4;INF582M01IQ2;Union Multicap Fund - Direct Plan - IDCW Option;11.70;25-Aug-2023")</f>
        <v>150857;INF582M01IP4;INF582M01IQ2;Union Multicap Fund - Direct Plan - IDCW Option;11.70;25-Aug-2023</v>
      </c>
      <c r="B6011" s="1"/>
    </row>
    <row r="6012">
      <c r="A6012" s="1" t="str">
        <f>IFERROR(__xludf.DUMMYFUNCTION("""COMPUTED_VALUE"""),"150855;INF582M01IS8;-;Union Multicap Fund - Regular Plan - Growth Option;11.59;25-Aug-2023")</f>
        <v>150855;INF582M01IS8;-;Union Multicap Fund - Regular Plan - Growth Option;11.59;25-Aug-2023</v>
      </c>
      <c r="B6012" s="1"/>
    </row>
    <row r="6013">
      <c r="A6013" s="1" t="str">
        <f>IFERROR(__xludf.DUMMYFUNCTION("""COMPUTED_VALUE"""),"150856;INF582M01IT6;INF582M01IU4;Union Multicap Fund - Regular Plan - IDCW Option;11.59;25-Aug-2023")</f>
        <v>150856;INF582M01IT6;INF582M01IU4;Union Multicap Fund - Regular Plan - IDCW Option;11.59;25-Aug-2023</v>
      </c>
      <c r="B6013" s="1"/>
    </row>
    <row r="6014">
      <c r="A6014" s="1"/>
      <c r="B6014" s="1"/>
    </row>
    <row r="6015">
      <c r="A6015" s="1" t="str">
        <f>IFERROR(__xludf.DUMMYFUNCTION("""COMPUTED_VALUE"""),"Open Ended Schemes(Equity Scheme - Sectoral/ Thematic)")</f>
        <v>Open Ended Schemes(Equity Scheme - Sectoral/ Thematic)</v>
      </c>
      <c r="B6015" s="1"/>
    </row>
    <row r="6016">
      <c r="A6016" s="1"/>
      <c r="B6016" s="1"/>
    </row>
    <row r="6017">
      <c r="A6017" s="1" t="str">
        <f>IFERROR(__xludf.DUMMYFUNCTION("""COMPUTED_VALUE"""),"360 ONE Mutual Fund (Formerly Known as IIFL Mutual Fund)")</f>
        <v>360 ONE Mutual Fund (Formerly Known as IIFL Mutual Fund)</v>
      </c>
      <c r="B6017" s="1"/>
    </row>
    <row r="6018">
      <c r="A6018" s="1"/>
      <c r="B6018" s="1"/>
    </row>
    <row r="6019">
      <c r="A6019" s="1" t="str">
        <f>IFERROR(__xludf.DUMMYFUNCTION("""COMPUTED_VALUE"""),"149318;INF579M01AI2;-;360 ONE QUANT FUND DIRECT GROWTH;12.4802;25-Aug-2023")</f>
        <v>149318;INF579M01AI2;-;360 ONE QUANT FUND DIRECT GROWTH;12.4802;25-Aug-2023</v>
      </c>
      <c r="B6019" s="1"/>
    </row>
    <row r="6020">
      <c r="A6020" s="1" t="str">
        <f>IFERROR(__xludf.DUMMYFUNCTION("""COMPUTED_VALUE"""),"149319;INF579M01AJ0;INF579M01AK8;360 ONE QUANT FUND DIRECT INCOME DISTRIBUTION CUM CAPITAL WITHDRAWAL;12.4802;25-Aug-2023")</f>
        <v>149319;INF579M01AJ0;INF579M01AK8;360 ONE QUANT FUND DIRECT INCOME DISTRIBUTION CUM CAPITAL WITHDRAWAL;12.4802;25-Aug-2023</v>
      </c>
      <c r="B6020" s="1"/>
    </row>
    <row r="6021">
      <c r="A6021" s="1" t="str">
        <f>IFERROR(__xludf.DUMMYFUNCTION("""COMPUTED_VALUE"""),"149317;INF579M01AF8;-;360 ONE QUANT FUND REGULAR GROWTH;12.2332;25-Aug-2023")</f>
        <v>149317;INF579M01AF8;-;360 ONE QUANT FUND REGULAR GROWTH;12.2332;25-Aug-2023</v>
      </c>
      <c r="B6021" s="1"/>
    </row>
    <row r="6022">
      <c r="A6022" s="1" t="str">
        <f>IFERROR(__xludf.DUMMYFUNCTION("""COMPUTED_VALUE"""),"149316;INF579M01AG6;INF579M01AH4;360 ONE QUANT FUND REGULAR INCOME DISTRIBUTION CUM CAPITAL WITHDRAWAL;12.2332;25-Aug-2023")</f>
        <v>149316;INF579M01AG6;INF579M01AH4;360 ONE QUANT FUND REGULAR INCOME DISTRIBUTION CUM CAPITAL WITHDRAWAL;12.2332;25-Aug-2023</v>
      </c>
      <c r="B6022" s="1"/>
    </row>
    <row r="6023">
      <c r="A6023" s="1"/>
      <c r="B6023" s="1"/>
    </row>
    <row r="6024">
      <c r="A6024" s="1" t="str">
        <f>IFERROR(__xludf.DUMMYFUNCTION("""COMPUTED_VALUE"""),"Aditya Birla Sun Life Mutual Fund")</f>
        <v>Aditya Birla Sun Life Mutual Fund</v>
      </c>
      <c r="B6024" s="1"/>
    </row>
    <row r="6025">
      <c r="A6025" s="1"/>
      <c r="B6025" s="1"/>
    </row>
    <row r="6026">
      <c r="A6026" s="1" t="str">
        <f>IFERROR(__xludf.DUMMYFUNCTION("""COMPUTED_VALUE"""),"125598;INF209K013W3;INF209K015W8;Aditya Birla Sun Life Banking and Financial Services Fund - DIRECT - IDCW;27.98;25-Aug-2023")</f>
        <v>125598;INF209K013W3;INF209K015W8;Aditya Birla Sun Life Banking and Financial Services Fund - DIRECT - IDCW;27.98;25-Aug-2023</v>
      </c>
      <c r="B6026" s="1"/>
    </row>
    <row r="6027">
      <c r="A6027" s="1" t="str">
        <f>IFERROR(__xludf.DUMMYFUNCTION("""COMPUTED_VALUE"""),"125597;INF209K014W1;-;Aditya Birla Sun Life Banking and Financial Services Fund - Direct Plan - Growth;51.35;25-Aug-2023")</f>
        <v>125597;INF209K014W1;-;Aditya Birla Sun Life Banking and Financial Services Fund - Direct Plan - Growth;51.35;25-Aug-2023</v>
      </c>
      <c r="B6027" s="1"/>
    </row>
    <row r="6028">
      <c r="A6028" s="1" t="str">
        <f>IFERROR(__xludf.DUMMYFUNCTION("""COMPUTED_VALUE"""),"125596;INF209K010W9;INF209K012W5;Aditya Birla Sun Life Banking and Financial Services Fund - REGULAR - IDCW;21.07;25-Aug-2023")</f>
        <v>125596;INF209K010W9;INF209K012W5;Aditya Birla Sun Life Banking and Financial Services Fund - REGULAR - IDCW;21.07;25-Aug-2023</v>
      </c>
      <c r="B6028" s="1"/>
    </row>
    <row r="6029">
      <c r="A6029" s="1" t="str">
        <f>IFERROR(__xludf.DUMMYFUNCTION("""COMPUTED_VALUE"""),"125595;INF209K011W7;-;Aditya Birla Sun Life Banking and Financial Services Fund - Regular Plan - Growth;46.61;25-Aug-2023")</f>
        <v>125595;INF209K011W7;-;Aditya Birla Sun Life Banking and Financial Services Fund - Regular Plan - Growth;46.61;25-Aug-2023</v>
      </c>
      <c r="B6029" s="1"/>
    </row>
    <row r="6030">
      <c r="A6030" s="1" t="str">
        <f>IFERROR(__xludf.DUMMYFUNCTION("""COMPUTED_VALUE"""),"149295;INF209KB14D2;-;Aditya Birla Sun Life Business Cycle Fund-Direct Growth;11.52;25-Aug-2023")</f>
        <v>149295;INF209KB14D2;-;Aditya Birla Sun Life Business Cycle Fund-Direct Growth;11.52;25-Aug-2023</v>
      </c>
      <c r="B6030" s="1"/>
    </row>
    <row r="6031">
      <c r="A6031" s="1" t="str">
        <f>IFERROR(__xludf.DUMMYFUNCTION("""COMPUTED_VALUE"""),"149297;INF209KB15D9;-;Aditya Birla Sun Life Business Cycle Fund-Direct IDCW Payout;11.52;25-Aug-2023")</f>
        <v>149297;INF209KB15D9;-;Aditya Birla Sun Life Business Cycle Fund-Direct IDCW Payout;11.52;25-Aug-2023</v>
      </c>
      <c r="B6031" s="1"/>
    </row>
    <row r="6032">
      <c r="A6032" s="1" t="str">
        <f>IFERROR(__xludf.DUMMYFUNCTION("""COMPUTED_VALUE"""),"149294;INF209KB13D4;-;Aditya Birla Sun Life Business Cycle Fund-Regular IDCW Payout;11.2;25-Aug-2023")</f>
        <v>149294;INF209KB13D4;-;Aditya Birla Sun Life Business Cycle Fund-Regular IDCW Payout;11.2;25-Aug-2023</v>
      </c>
      <c r="B6032" s="1"/>
    </row>
    <row r="6033">
      <c r="A6033" s="1" t="str">
        <f>IFERROR(__xludf.DUMMYFUNCTION("""COMPUTED_VALUE"""),"149296;INF209KB12D6;-;Aditya Birla Sun Life Business Cycle Fund-Regular-Growth;11.21;25-Aug-2023")</f>
        <v>149296;INF209KB12D6;-;Aditya Birla Sun Life Business Cycle Fund-Regular-Growth;11.21;25-Aug-2023</v>
      </c>
      <c r="B6033" s="1"/>
    </row>
    <row r="6034">
      <c r="A6034" s="1" t="str">
        <f>IFERROR(__xludf.DUMMYFUNCTION("""COMPUTED_VALUE"""),"119576;INF209K01VL0;-;Aditya Birla Sun Life Commodity Equities Fund - Global Agri Plan - Growth - Direct Plan;37.3501;28-Jul-2023")</f>
        <v>119576;INF209K01VL0;-;Aditya Birla Sun Life Commodity Equities Fund - Global Agri Plan - Growth - Direct Plan;37.3501;28-Jul-2023</v>
      </c>
      <c r="B6034" s="1"/>
    </row>
    <row r="6035">
      <c r="A6035" s="1" t="str">
        <f>IFERROR(__xludf.DUMMYFUNCTION("""COMPUTED_VALUE"""),"111349;INF209K01207;-;Aditya Birla Sun Life Commodity Equities Fund - Global Agri Plan - Growth - Regular Plan;35.7925;28-Jul-2023")</f>
        <v>111349;INF209K01207;-;Aditya Birla Sun Life Commodity Equities Fund - Global Agri Plan - Growth - Regular Plan;35.7925;28-Jul-2023</v>
      </c>
      <c r="B6035" s="1"/>
    </row>
    <row r="6036">
      <c r="A6036" s="1" t="str">
        <f>IFERROR(__xludf.DUMMYFUNCTION("""COMPUTED_VALUE"""),"119575;INF209K01P64;INF209K01VM8;Aditya Birla Sun Life Commodity Equities Fund - Global Agri Plan -Direct - IDCW;21.5614;28-Jul-2023")</f>
        <v>119575;INF209K01P64;INF209K01VM8;Aditya Birla Sun Life Commodity Equities Fund - Global Agri Plan -Direct - IDCW;21.5614;28-Jul-2023</v>
      </c>
      <c r="B6036" s="1"/>
    </row>
    <row r="6037">
      <c r="A6037" s="1" t="str">
        <f>IFERROR(__xludf.DUMMYFUNCTION("""COMPUTED_VALUE"""),"111348;INF209K01199;INF209K01CG0;Aditya Birla Sun Life Commodity Equities Fund - Global Agri Plan -Regular - IDCW;20.6236;28-Jul-2023")</f>
        <v>111348;INF209K01199;INF209K01CG0;Aditya Birla Sun Life Commodity Equities Fund - Global Agri Plan -Regular - IDCW;20.6236;28-Jul-2023</v>
      </c>
      <c r="B6037" s="1"/>
    </row>
    <row r="6038">
      <c r="A6038" s="1" t="str">
        <f>IFERROR(__xludf.DUMMYFUNCTION("""COMPUTED_VALUE"""),"120539;INF209K01VF2;-;Aditya Birla Sun Life Digital India Fund - Growth - Direct Plan;149.36;25-Aug-2023")</f>
        <v>120539;INF209K01VF2;-;Aditya Birla Sun Life Digital India Fund - Growth - Direct Plan;149.36;25-Aug-2023</v>
      </c>
      <c r="B6038" s="1"/>
    </row>
    <row r="6039">
      <c r="A6039" s="1" t="str">
        <f>IFERROR(__xludf.DUMMYFUNCTION("""COMPUTED_VALUE"""),"103168;INF209K01140;-;Aditya Birla Sun Life Digital India Fund - Growth - Regular Plan;135.49;25-Aug-2023")</f>
        <v>103168;INF209K01140;-;Aditya Birla Sun Life Digital India Fund - Growth - Regular Plan;135.49;25-Aug-2023</v>
      </c>
      <c r="B6039" s="1"/>
    </row>
    <row r="6040">
      <c r="A6040" s="1" t="str">
        <f>IFERROR(__xludf.DUMMYFUNCTION("""COMPUTED_VALUE"""),"120538;INF209K01P49;-;Aditya Birla Sun Life Digital India Fund -DIRECT - IDCW;51.26;25-Aug-2023")</f>
        <v>120538;INF209K01P49;-;Aditya Birla Sun Life Digital India Fund -DIRECT - IDCW;51.26;25-Aug-2023</v>
      </c>
      <c r="B6040" s="1"/>
    </row>
    <row r="6041">
      <c r="A6041" s="1" t="str">
        <f>IFERROR(__xludf.DUMMYFUNCTION("""COMPUTED_VALUE"""),"103167;INF209K01132;INF209K01CD7;Aditya Birla Sun Life Digital India Fund -Regular - IDCW;38.48;25-Aug-2023")</f>
        <v>103167;INF209K01132;INF209K01CD7;Aditya Birla Sun Life Digital India Fund -Regular - IDCW;38.48;25-Aug-2023</v>
      </c>
      <c r="B6041" s="1"/>
    </row>
    <row r="6042">
      <c r="A6042" s="1" t="str">
        <f>IFERROR(__xludf.DUMMYFUNCTION("""COMPUTED_VALUE"""),"148640;INF209KB1U84;INF209KB1U92;Aditya Birla Sun Life ESG Fund-Direct - Payout of IDCW;13.69;25-Aug-2023")</f>
        <v>148640;INF209KB1U84;INF209KB1U92;Aditya Birla Sun Life ESG Fund-Direct - Payout of IDCW;13.69;25-Aug-2023</v>
      </c>
      <c r="B6042" s="1"/>
    </row>
    <row r="6043">
      <c r="A6043" s="1" t="str">
        <f>IFERROR(__xludf.DUMMYFUNCTION("""COMPUTED_VALUE"""),"148637;INF209KB1U76;-;Aditya Birla Sun Life ESG Fund-Direct Plan-Growth;13.68;25-Aug-2023")</f>
        <v>148637;INF209KB1U76;-;Aditya Birla Sun Life ESG Fund-Direct Plan-Growth;13.68;25-Aug-2023</v>
      </c>
      <c r="B6043" s="1"/>
    </row>
    <row r="6044">
      <c r="A6044" s="1" t="str">
        <f>IFERROR(__xludf.DUMMYFUNCTION("""COMPUTED_VALUE"""),"148636;INF209KB1U50;INF209KB1U68;Aditya Birla Sun Life ESG Fund-Regular - Payout of IDCW;13.08;25-Aug-2023")</f>
        <v>148636;INF209KB1U50;INF209KB1U68;Aditya Birla Sun Life ESG Fund-Regular - Payout of IDCW;13.08;25-Aug-2023</v>
      </c>
      <c r="B6044" s="1"/>
    </row>
    <row r="6045">
      <c r="A6045" s="1" t="str">
        <f>IFERROR(__xludf.DUMMYFUNCTION("""COMPUTED_VALUE"""),"148635;INF209KB1U43;-;Aditya Birla Sun Life ESG Fund-Regular Plan-Growth;13.08;25-Aug-2023")</f>
        <v>148635;INF209KB1U43;-;Aditya Birla Sun Life ESG Fund-Regular Plan-Growth;13.08;25-Aug-2023</v>
      </c>
      <c r="B6045" s="1"/>
    </row>
    <row r="6046">
      <c r="A6046" s="1" t="str">
        <f>IFERROR(__xludf.DUMMYFUNCTION("""COMPUTED_VALUE"""),"119591;INF209K01WC7;-;Aditya Birla Sun Life India Gennext Fund - Growth - Direct Plan;178.37;25-Aug-2023")</f>
        <v>119591;INF209K01WC7;-;Aditya Birla Sun Life India Gennext Fund - Growth - Direct Plan;178.37;25-Aug-2023</v>
      </c>
      <c r="B6046" s="1"/>
    </row>
    <row r="6047">
      <c r="A6047" s="1" t="str">
        <f>IFERROR(__xludf.DUMMYFUNCTION("""COMPUTED_VALUE"""),"119590;INF209K01Q63;-;Aditya Birla Sun Life India Gennext Fund -DIRECT - IDCW;42.18;25-Aug-2023")</f>
        <v>119590;INF209K01Q63;-;Aditya Birla Sun Life India Gennext Fund -DIRECT - IDCW;42.18;25-Aug-2023</v>
      </c>
      <c r="B6047" s="1"/>
    </row>
    <row r="6048">
      <c r="A6048" s="1" t="str">
        <f>IFERROR(__xludf.DUMMYFUNCTION("""COMPUTED_VALUE"""),"103110;INF209K01439;INF209K01CR7;Aditya Birla Sun Life India Gennext Fund -Regular - IDCW;33.95;25-Aug-2023")</f>
        <v>103110;INF209K01439;INF209K01CR7;Aditya Birla Sun Life India Gennext Fund -Regular - IDCW;33.95;25-Aug-2023</v>
      </c>
      <c r="B6048" s="1"/>
    </row>
    <row r="6049">
      <c r="A6049" s="1" t="str">
        <f>IFERROR(__xludf.DUMMYFUNCTION("""COMPUTED_VALUE"""),"103111;INF209K01447;-;Aditya Birla Sun Life India Gennext Fund-Growth Option;159.18;25-Aug-2023")</f>
        <v>103111;INF209K01447;-;Aditya Birla Sun Life India Gennext Fund-Growth Option;159.18;25-Aug-2023</v>
      </c>
      <c r="B6049" s="1"/>
    </row>
    <row r="6050">
      <c r="A6050" s="1" t="str">
        <f>IFERROR(__xludf.DUMMYFUNCTION("""COMPUTED_VALUE"""),"119515;INF209K01WG8;-;Aditya Birla Sun Life Infrastructure Fund -  Direct - IDCW;34.23;25-Aug-2023")</f>
        <v>119515;INF209K01WG8;-;Aditya Birla Sun Life Infrastructure Fund -  Direct - IDCW;34.23;25-Aug-2023</v>
      </c>
      <c r="B6050" s="1"/>
    </row>
    <row r="6051">
      <c r="A6051" s="1" t="str">
        <f>IFERROR(__xludf.DUMMYFUNCTION("""COMPUTED_VALUE"""),"103475;INF209K01470;INF209K01CT3;Aditya Birla Sun Life Infrastructure Fund -  Regular - IDCW;22.23;25-Aug-2023")</f>
        <v>103475;INF209K01470;INF209K01CT3;Aditya Birla Sun Life Infrastructure Fund -  Regular - IDCW;22.23;25-Aug-2023</v>
      </c>
      <c r="B6051" s="1"/>
    </row>
    <row r="6052">
      <c r="A6052" s="1" t="str">
        <f>IFERROR(__xludf.DUMMYFUNCTION("""COMPUTED_VALUE"""),"119514;INF209K01WH6;-;Aditya Birla Sun Life Infrastructure Fund - Growth - Direct Plan;71.2;25-Aug-2023")</f>
        <v>119514;INF209K01WH6;-;Aditya Birla Sun Life Infrastructure Fund - Growth - Direct Plan;71.2;25-Aug-2023</v>
      </c>
      <c r="B6052" s="1"/>
    </row>
    <row r="6053">
      <c r="A6053" s="1" t="str">
        <f>IFERROR(__xludf.DUMMYFUNCTION("""COMPUTED_VALUE"""),"103476;INF209K01504;-;Aditya Birla Sun Life Infrastructure Fund-Growth;65.66;25-Aug-2023")</f>
        <v>103476;INF209K01504;-;Aditya Birla Sun Life Infrastructure Fund-Growth;65.66;25-Aug-2023</v>
      </c>
      <c r="B6053" s="1"/>
    </row>
    <row r="6054">
      <c r="A6054" s="1" t="str">
        <f>IFERROR(__xludf.DUMMYFUNCTION("""COMPUTED_VALUE"""),"119516;INF209K01Q89;INF209K01WT1;Aditya Birla Sun Life International Equity Fund - Direct - IDCW;32.1268;25-Aug-2023")</f>
        <v>119516;INF209K01Q89;INF209K01WT1;Aditya Birla Sun Life International Equity Fund - Direct - IDCW;32.1268;25-Aug-2023</v>
      </c>
      <c r="B6054" s="1"/>
    </row>
    <row r="6055">
      <c r="A6055" s="1" t="str">
        <f>IFERROR(__xludf.DUMMYFUNCTION("""COMPUTED_VALUE"""),"119517;INF209K01WS3;-;Aditya Birla Sun Life International Equity Fund - Growth - Direct Plan;32.1079;25-Aug-2023")</f>
        <v>119517;INF209K01WS3;-;Aditya Birla Sun Life International Equity Fund - Growth - Direct Plan;32.1079;25-Aug-2023</v>
      </c>
      <c r="B6055" s="1"/>
    </row>
    <row r="6056">
      <c r="A6056" s="1" t="str">
        <f>IFERROR(__xludf.DUMMYFUNCTION("""COMPUTED_VALUE"""),"106873;INF209K01520;-;Aditya Birla Sun Life International Equity Fund - Growth - Regular Plan;30.1;25-Aug-2023")</f>
        <v>106873;INF209K01520;-;Aditya Birla Sun Life International Equity Fund - Growth - Regular Plan;30.1;25-Aug-2023</v>
      </c>
      <c r="B6056" s="1"/>
    </row>
    <row r="6057">
      <c r="A6057" s="1" t="str">
        <f>IFERROR(__xludf.DUMMYFUNCTION("""COMPUTED_VALUE"""),"106872;INF209K01512;INF209K01CV9;Aditya Birla Sun Life International Equity Fund - Regular - IDCW;15.7697;25-Aug-2023")</f>
        <v>106872;INF209K01512;INF209K01CV9;Aditya Birla Sun Life International Equity Fund - Regular - IDCW;15.7697;25-Aug-2023</v>
      </c>
      <c r="B6057" s="1"/>
    </row>
    <row r="6058">
      <c r="A6058" s="1" t="str">
        <f>IFERROR(__xludf.DUMMYFUNCTION("""COMPUTED_VALUE"""),"119519;INF209K01Q97;INF209K01WV7;Aditya Birla Sun Life International Equity Fund - Plan B - Direct - IDCW;23.1342;28-Jul-2023")</f>
        <v>119519;INF209K01Q97;INF209K01WV7;Aditya Birla Sun Life International Equity Fund - Plan B - Direct - IDCW;23.1342;28-Jul-2023</v>
      </c>
      <c r="B6058" s="1"/>
    </row>
    <row r="6059">
      <c r="A6059" s="1" t="str">
        <f>IFERROR(__xludf.DUMMYFUNCTION("""COMPUTED_VALUE"""),"119518;INF209K01WU9;-;Aditya Birla Sun Life International Equity Fund - Plan B - Growth - Direct Plan;30.2806;28-Jul-2023")</f>
        <v>119518;INF209K01WU9;-;Aditya Birla Sun Life International Equity Fund - Plan B - Growth - Direct Plan;30.2806;28-Jul-2023</v>
      </c>
      <c r="B6059" s="1"/>
    </row>
    <row r="6060">
      <c r="A6060" s="1" t="str">
        <f>IFERROR(__xludf.DUMMYFUNCTION("""COMPUTED_VALUE"""),"106876;INF209K01546;-;Aditya Birla Sun Life International Equity Fund - Plan B - Growth - Regular Plan;28.8036;28-Jul-2023")</f>
        <v>106876;INF209K01546;-;Aditya Birla Sun Life International Equity Fund - Plan B - Growth - Regular Plan;28.8036;28-Jul-2023</v>
      </c>
      <c r="B6060" s="1"/>
    </row>
    <row r="6061">
      <c r="A6061" s="1" t="str">
        <f>IFERROR(__xludf.DUMMYFUNCTION("""COMPUTED_VALUE"""),"106875;INF209K01538;INF209K01CW7;Aditya Birla Sun Life International Equity Fund - Plan B - Regular - IDCW;19.8371;28-Jul-2023")</f>
        <v>106875;INF209K01538;INF209K01CW7;Aditya Birla Sun Life International Equity Fund - Plan B - Regular - IDCW;19.8371;28-Jul-2023</v>
      </c>
      <c r="B6061" s="1"/>
    </row>
    <row r="6062">
      <c r="A6062" s="1" t="str">
        <f>IFERROR(__xludf.DUMMYFUNCTION("""COMPUTED_VALUE"""),"133514;INF209KA1YL8;INF209KA1YM6;Aditya Birla Sun Life Manufacturing Equity Fund - Direct - IDCW;17.36;25-Aug-2023")</f>
        <v>133514;INF209KA1YL8;INF209KA1YM6;Aditya Birla Sun Life Manufacturing Equity Fund - Direct - IDCW;17.36;25-Aug-2023</v>
      </c>
      <c r="B6062" s="1"/>
    </row>
    <row r="6063">
      <c r="A6063" s="1" t="str">
        <f>IFERROR(__xludf.DUMMYFUNCTION("""COMPUTED_VALUE"""),"133516;INF209KA1YK0;-;Aditya Birla Sun Life Manufacturing Equity Fund - Direct Plan - Growth;23.87;25-Aug-2023")</f>
        <v>133516;INF209KA1YK0;-;Aditya Birla Sun Life Manufacturing Equity Fund - Direct Plan - Growth;23.87;25-Aug-2023</v>
      </c>
      <c r="B6063" s="1"/>
    </row>
    <row r="6064">
      <c r="A6064" s="1" t="str">
        <f>IFERROR(__xludf.DUMMYFUNCTION("""COMPUTED_VALUE"""),"133515;INF209KA1YI4;INF209KA1YJ2;Aditya Birla Sun Life Manufacturing Equity Fund - Regular - IDCW;16.17;25-Aug-2023")</f>
        <v>133515;INF209KA1YI4;INF209KA1YJ2;Aditya Birla Sun Life Manufacturing Equity Fund - Regular - IDCW;16.17;25-Aug-2023</v>
      </c>
      <c r="B6064" s="1"/>
    </row>
    <row r="6065">
      <c r="A6065" s="1" t="str">
        <f>IFERROR(__xludf.DUMMYFUNCTION("""COMPUTED_VALUE"""),"133513;INF209KA1YH6;-;Aditya Birla Sun Life Manufacturing Equity Fund - Regular Plan - Growth;22.1;25-Aug-2023")</f>
        <v>133513;INF209KA1YH6;-;Aditya Birla Sun Life Manufacturing Equity Fund - Regular Plan - Growth;22.1;25-Aug-2023</v>
      </c>
      <c r="B6065" s="1"/>
    </row>
    <row r="6066">
      <c r="A6066" s="1" t="str">
        <f>IFERROR(__xludf.DUMMYFUNCTION("""COMPUTED_VALUE"""),"119647;INF209K01Q06;INF209K01VU1;Aditya Birla Sun Life MNC Fund - DIRECT - IDCW;368.5;25-Aug-2023")</f>
        <v>119647;INF209K01Q06;INF209K01VU1;Aditya Birla Sun Life MNC Fund - DIRECT - IDCW;368.5;25-Aug-2023</v>
      </c>
      <c r="B6066" s="1"/>
    </row>
    <row r="6067">
      <c r="A6067" s="1" t="str">
        <f>IFERROR(__xludf.DUMMYFUNCTION("""COMPUTED_VALUE"""),"119646;INF209K01VT3;-;Aditya Birla Sun Life MNC Fund - Growth - Direct Plan;1151.8;25-Aug-2023")</f>
        <v>119646;INF209K01VT3;-;Aditya Birla Sun Life MNC Fund - Growth - Direct Plan;1151.8;25-Aug-2023</v>
      </c>
      <c r="B6067" s="1"/>
    </row>
    <row r="6068">
      <c r="A6068" s="1" t="str">
        <f>IFERROR(__xludf.DUMMYFUNCTION("""COMPUTED_VALUE"""),"100064;INF209K01322;-;Aditya Birla Sun Life MNC Fund - Growth - Regular Plan;1048.95;25-Aug-2023")</f>
        <v>100064;INF209K01322;-;Aditya Birla Sun Life MNC Fund - Growth - Regular Plan;1048.95;25-Aug-2023</v>
      </c>
      <c r="B6068" s="1"/>
    </row>
    <row r="6069">
      <c r="A6069" s="1" t="str">
        <f>IFERROR(__xludf.DUMMYFUNCTION("""COMPUTED_VALUE"""),"100063;INF209K01314;INF209K01CL0;Aditya Birla Sun Life MNC Fund - Regular - IDCW;181.16;25-Aug-2023")</f>
        <v>100063;INF209K01314;INF209K01CL0;Aditya Birla Sun Life MNC Fund - Regular - IDCW;181.16;25-Aug-2023</v>
      </c>
      <c r="B6069" s="1"/>
    </row>
    <row r="6070">
      <c r="A6070" s="1" t="str">
        <f>IFERROR(__xludf.DUMMYFUNCTION("""COMPUTED_VALUE"""),"147410;INF209KB1O33;INF209KB1O41;Aditya Birla Sun Life Pharma and Healthcare Fund-Direct - Payout of IDCW;17.61;25-Aug-2023")</f>
        <v>147410;INF209KB1O33;INF209KB1O41;Aditya Birla Sun Life Pharma and Healthcare Fund-Direct - Payout of IDCW;17.61;25-Aug-2023</v>
      </c>
      <c r="B6070" s="1"/>
    </row>
    <row r="6071">
      <c r="A6071" s="1" t="str">
        <f>IFERROR(__xludf.DUMMYFUNCTION("""COMPUTED_VALUE"""),"147409;INF209KB1O25;-;Aditya Birla Sun Life Pharma and Healthcare Fund-Direct-Growth;22.;25-Aug-2023")</f>
        <v>147409;INF209KB1O25;-;Aditya Birla Sun Life Pharma and Healthcare Fund-Direct-Growth;22.;25-Aug-2023</v>
      </c>
      <c r="B6071" s="1"/>
    </row>
    <row r="6072">
      <c r="A6072" s="1" t="str">
        <f>IFERROR(__xludf.DUMMYFUNCTION("""COMPUTED_VALUE"""),"147408;INF209KB1O09;INF209KB1O17;Aditya Birla Sun Life Pharma and Healthcare Fund-Regular - Payout of IDCW;16.44;25-Aug-2023")</f>
        <v>147408;INF209KB1O09;INF209KB1O17;Aditya Birla Sun Life Pharma and Healthcare Fund-Regular - Payout of IDCW;16.44;25-Aug-2023</v>
      </c>
      <c r="B6072" s="1"/>
    </row>
    <row r="6073">
      <c r="A6073" s="1" t="str">
        <f>IFERROR(__xludf.DUMMYFUNCTION("""COMPUTED_VALUE"""),"147407;INF209KB1N91;-;Aditya Birla Sun Life Pharma and Healthcare Fund-Regular-Growth;20.56;25-Aug-2023")</f>
        <v>147407;INF209KB1N91;-;Aditya Birla Sun Life Pharma and Healthcare Fund-Regular-Growth;20.56;25-Aug-2023</v>
      </c>
      <c r="B6073" s="1"/>
    </row>
    <row r="6074">
      <c r="A6074" s="1" t="str">
        <f>IFERROR(__xludf.DUMMYFUNCTION("""COMPUTED_VALUE"""),"147845;INF209KB1O90;-;Aditya Birla Sun Life PSU Equity Fund-Direct - Payout of IDCW;19.74;25-Aug-2023")</f>
        <v>147845;INF209KB1O90;-;Aditya Birla Sun Life PSU Equity Fund-Direct - Payout of IDCW;19.74;25-Aug-2023</v>
      </c>
      <c r="B6074" s="1"/>
    </row>
    <row r="6075">
      <c r="A6075" s="1" t="str">
        <f>IFERROR(__xludf.DUMMYFUNCTION("""COMPUTED_VALUE"""),"147844;INF209KB1O82;-;Aditya Birla Sun Life PSU Equity Fund-Direct Plan-Growth;21.05;25-Aug-2023")</f>
        <v>147844;INF209KB1O82;-;Aditya Birla Sun Life PSU Equity Fund-Direct Plan-Growth;21.05;25-Aug-2023</v>
      </c>
      <c r="B6075" s="1"/>
    </row>
    <row r="6076">
      <c r="A6076" s="1" t="str">
        <f>IFERROR(__xludf.DUMMYFUNCTION("""COMPUTED_VALUE"""),"147847;INF209KB1O74;-;Aditya Birla Sun Life PSU Equity Fund-Regular - Payout of IDCW;17.49;25-Aug-2023")</f>
        <v>147847;INF209KB1O74;-;Aditya Birla Sun Life PSU Equity Fund-Regular - Payout of IDCW;17.49;25-Aug-2023</v>
      </c>
      <c r="B6076" s="1"/>
    </row>
    <row r="6077">
      <c r="A6077" s="1" t="str">
        <f>IFERROR(__xludf.DUMMYFUNCTION("""COMPUTED_VALUE"""),"147846;INF209KB1O66;-;Aditya Birla Sun Life PSU Equity Fund-Regular Plan-Growth;19.76;25-Aug-2023")</f>
        <v>147846;INF209KB1O66;-;Aditya Birla Sun Life PSU Equity Fund-Regular Plan-Growth;19.76;25-Aug-2023</v>
      </c>
      <c r="B6077" s="1"/>
    </row>
    <row r="6078">
      <c r="A6078" s="1" t="str">
        <f>IFERROR(__xludf.DUMMYFUNCTION("""COMPUTED_VALUE"""),"148540;INF209KB1T87;INF209KB1T95;Aditya Birla Sun Life Special Opportunities Fund-Direct - IDCW;15.77;25-Aug-2023")</f>
        <v>148540;INF209KB1T87;INF209KB1T95;Aditya Birla Sun Life Special Opportunities Fund-Direct - IDCW;15.77;25-Aug-2023</v>
      </c>
      <c r="B6078" s="1"/>
    </row>
    <row r="6079">
      <c r="A6079" s="1" t="str">
        <f>IFERROR(__xludf.DUMMYFUNCTION("""COMPUTED_VALUE"""),"148539;INF209KB1T79;-;Aditya Birla Sun Life Special Opportunities Fund-Direct-Growth;17.73;25-Aug-2023")</f>
        <v>148539;INF209KB1T79;-;Aditya Birla Sun Life Special Opportunities Fund-Direct-Growth;17.73;25-Aug-2023</v>
      </c>
      <c r="B6079" s="1"/>
    </row>
    <row r="6080">
      <c r="A6080" s="1" t="str">
        <f>IFERROR(__xludf.DUMMYFUNCTION("""COMPUTED_VALUE"""),"148538;INF209KB1T53;INF209KB1T61;Aditya Birla Sun Life Special Opportunities Fund-Regular - IDCW;15.05;25-Aug-2023")</f>
        <v>148538;INF209KB1T53;INF209KB1T61;Aditya Birla Sun Life Special Opportunities Fund-Regular - IDCW;15.05;25-Aug-2023</v>
      </c>
      <c r="B6080" s="1"/>
    </row>
    <row r="6081">
      <c r="A6081" s="1" t="str">
        <f>IFERROR(__xludf.DUMMYFUNCTION("""COMPUTED_VALUE"""),"148537;INF209KB1T46;-;Aditya Birla Sun Life Special Opportunities Fund-Regular Plan-Growth;16.93;25-Aug-2023")</f>
        <v>148537;INF209KB1T46;-;Aditya Birla Sun Life Special Opportunities Fund-Regular Plan-Growth;16.93;25-Aug-2023</v>
      </c>
      <c r="B6081" s="1"/>
    </row>
    <row r="6082">
      <c r="A6082" s="1"/>
      <c r="B6082" s="1"/>
    </row>
    <row r="6083">
      <c r="A6083" s="1" t="str">
        <f>IFERROR(__xludf.DUMMYFUNCTION("""COMPUTED_VALUE"""),"Axis Mutual Fund")</f>
        <v>Axis Mutual Fund</v>
      </c>
      <c r="B6083" s="1"/>
    </row>
    <row r="6084">
      <c r="A6084" s="1"/>
      <c r="B6084" s="1"/>
    </row>
    <row r="6085">
      <c r="A6085" s="1" t="str">
        <f>IFERROR(__xludf.DUMMYFUNCTION("""COMPUTED_VALUE"""),"151368;INF846K016N4;-;Axis Business Cycles Fund - Direct Plan - Growth;11.87;25-Aug-2023")</f>
        <v>151368;INF846K016N4;-;Axis Business Cycles Fund - Direct Plan - Growth;11.87;25-Aug-2023</v>
      </c>
      <c r="B6085" s="1"/>
    </row>
    <row r="6086">
      <c r="A6086" s="1" t="str">
        <f>IFERROR(__xludf.DUMMYFUNCTION("""COMPUTED_VALUE"""),"151369;INF846K017N2;INF846K018N0;Axis Business Cycles Fund - Direct Plan - IDCW;11.86;25-Aug-2023")</f>
        <v>151369;INF846K017N2;INF846K018N0;Axis Business Cycles Fund - Direct Plan - IDCW;11.86;25-Aug-2023</v>
      </c>
      <c r="B6086" s="1"/>
    </row>
    <row r="6087">
      <c r="A6087" s="1" t="str">
        <f>IFERROR(__xludf.DUMMYFUNCTION("""COMPUTED_VALUE"""),"151366;INF846K019N8;-;Axis Business Cycles Fund - Regular Plan - Growth;11.78;25-Aug-2023")</f>
        <v>151366;INF846K019N8;-;Axis Business Cycles Fund - Regular Plan - Growth;11.78;25-Aug-2023</v>
      </c>
      <c r="B6087" s="1"/>
    </row>
    <row r="6088">
      <c r="A6088" s="1" t="str">
        <f>IFERROR(__xludf.DUMMYFUNCTION("""COMPUTED_VALUE"""),"151367;INF846K010O5;INF846K011O3;Axis Business Cycles Fund - Regular Plan - IDCW;11.78;25-Aug-2023")</f>
        <v>151367;INF846K010O5;INF846K011O3;Axis Business Cycles Fund - Regular Plan - IDCW;11.78;25-Aug-2023</v>
      </c>
      <c r="B6088" s="1"/>
    </row>
    <row r="6089">
      <c r="A6089" s="1" t="str">
        <f>IFERROR(__xludf.DUMMYFUNCTION("""COMPUTED_VALUE"""),"147928;INF846K01W23;-;Axis ESG Equity Fund - Direct Plan - Growth Option;16.98;24-Aug-2023")</f>
        <v>147928;INF846K01W23;-;Axis ESG Equity Fund - Direct Plan - Growth Option;16.98;24-Aug-2023</v>
      </c>
      <c r="B6089" s="1"/>
    </row>
    <row r="6090">
      <c r="A6090" s="1" t="str">
        <f>IFERROR(__xludf.DUMMYFUNCTION("""COMPUTED_VALUE"""),"147931;INF846K01W31;INF846K01W49;Axis ESG Equity Fund - Direct Plan - IDCW;14.41;24-Aug-2023")</f>
        <v>147931;INF846K01W31;INF846K01W49;Axis ESG Equity Fund - Direct Plan - IDCW;14.41;24-Aug-2023</v>
      </c>
      <c r="B6090" s="1"/>
    </row>
    <row r="6091">
      <c r="A6091" s="1" t="str">
        <f>IFERROR(__xludf.DUMMYFUNCTION("""COMPUTED_VALUE"""),"147929;INF846K01W56;-;Axis ESG Equity Fund - Regular Plan - Growth Option;16.11;24-Aug-2023")</f>
        <v>147929;INF846K01W56;-;Axis ESG Equity Fund - Regular Plan - Growth Option;16.11;24-Aug-2023</v>
      </c>
      <c r="B6091" s="1"/>
    </row>
    <row r="6092">
      <c r="A6092" s="1" t="str">
        <f>IFERROR(__xludf.DUMMYFUNCTION("""COMPUTED_VALUE"""),"147930;INF846K01W64;INF846K01W72;Axis ESG Equity Fund - Regular Plan - IDCW;13.65;24-Aug-2023")</f>
        <v>147930;INF846K01W64;INF846K01W72;Axis ESG Equity Fund - Regular Plan - IDCW;13.65;24-Aug-2023</v>
      </c>
      <c r="B6092" s="1"/>
    </row>
    <row r="6093">
      <c r="A6093" s="1" t="str">
        <f>IFERROR(__xludf.DUMMYFUNCTION("""COMPUTED_VALUE"""),"148993;INF846K01Z87;-;Axis Quant Fund - Direct Plan - Growth;12.78;25-Aug-2023")</f>
        <v>148993;INF846K01Z87;-;Axis Quant Fund - Direct Plan - Growth;12.78;25-Aug-2023</v>
      </c>
      <c r="B6093" s="1"/>
    </row>
    <row r="6094">
      <c r="A6094" s="1" t="str">
        <f>IFERROR(__xludf.DUMMYFUNCTION("""COMPUTED_VALUE"""),"148994;INF846K01Z95;INF846K010A4;Axis Quant Fund - Direct Plan - IDCW;12.78;25-Aug-2023")</f>
        <v>148994;INF846K01Z95;INF846K010A4;Axis Quant Fund - Direct Plan - IDCW;12.78;25-Aug-2023</v>
      </c>
      <c r="B6094" s="1"/>
    </row>
    <row r="6095">
      <c r="A6095" s="1" t="str">
        <f>IFERROR(__xludf.DUMMYFUNCTION("""COMPUTED_VALUE"""),"148992;INF846K011A2;-;Axis Quant Fund - Regular Plan - Growth;12.33;25-Aug-2023")</f>
        <v>148992;INF846K011A2;-;Axis Quant Fund - Regular Plan - Growth;12.33;25-Aug-2023</v>
      </c>
      <c r="B6095" s="1"/>
    </row>
    <row r="6096">
      <c r="A6096" s="1" t="str">
        <f>IFERROR(__xludf.DUMMYFUNCTION("""COMPUTED_VALUE"""),"148995;INF846K012A0;INF846K013A8;Axis Quant Fund - Regular Plan - IDCW;12.33;25-Aug-2023")</f>
        <v>148995;INF846K012A0;INF846K013A8;Axis Quant Fund - Regular Plan - IDCW;12.33;25-Aug-2023</v>
      </c>
      <c r="B6096" s="1"/>
    </row>
    <row r="6097">
      <c r="A6097" s="1" t="str">
        <f>IFERROR(__xludf.DUMMYFUNCTION("""COMPUTED_VALUE"""),"148634;INF846K01X71;-;Axis Special Situations Fund - Direct Plan - Growth Option;13.71;24-Aug-2023")</f>
        <v>148634;INF846K01X71;-;Axis Special Situations Fund - Direct Plan - Growth Option;13.71;24-Aug-2023</v>
      </c>
      <c r="B6097" s="1"/>
    </row>
    <row r="6098">
      <c r="A6098" s="1" t="str">
        <f>IFERROR(__xludf.DUMMYFUNCTION("""COMPUTED_VALUE"""),"148632;INF846K01X89;INF846K01X97;Axis Special Situations Fund - Direct Plan - IDCW;13.71;24-Aug-2023")</f>
        <v>148632;INF846K01X89;INF846K01X97;Axis Special Situations Fund - Direct Plan - IDCW;13.71;24-Aug-2023</v>
      </c>
      <c r="B6098" s="1"/>
    </row>
    <row r="6099">
      <c r="A6099" s="1" t="str">
        <f>IFERROR(__xludf.DUMMYFUNCTION("""COMPUTED_VALUE"""),"148631;INF846K01Y05;-;Axis Special Situations Fund - Regular Plan - Growth Option;13.17;24-Aug-2023")</f>
        <v>148631;INF846K01Y05;-;Axis Special Situations Fund - Regular Plan - Growth Option;13.17;24-Aug-2023</v>
      </c>
      <c r="B6099" s="1"/>
    </row>
    <row r="6100">
      <c r="A6100" s="1" t="str">
        <f>IFERROR(__xludf.DUMMYFUNCTION("""COMPUTED_VALUE"""),"148633;INF846K01Y13;INF846K01Y21;Axis Special Situations Fund - Regular Plan - IDCW;13.17;24-Aug-2023")</f>
        <v>148633;INF846K01Y13;INF846K01Y21;Axis Special Situations Fund - Regular Plan - IDCW;13.17;24-Aug-2023</v>
      </c>
      <c r="B6100" s="1"/>
    </row>
    <row r="6101">
      <c r="A6101" s="1"/>
      <c r="B6101" s="1"/>
    </row>
    <row r="6102">
      <c r="A6102" s="1" t="str">
        <f>IFERROR(__xludf.DUMMYFUNCTION("""COMPUTED_VALUE"""),"Bandhan Mutual Fund")</f>
        <v>Bandhan Mutual Fund</v>
      </c>
      <c r="B6102" s="1"/>
    </row>
    <row r="6103">
      <c r="A6103" s="1"/>
      <c r="B6103" s="1"/>
    </row>
    <row r="6104">
      <c r="A6104" s="1" t="str">
        <f>IFERROR(__xludf.DUMMYFUNCTION("""COMPUTED_VALUE"""),"151816;INF194KB1GB2;-;BANDHAN FINANCIAL SERVICES FUND - DIRECT PLAN - GROWTH;9.871;25-Aug-2023")</f>
        <v>151816;INF194KB1GB2;-;BANDHAN FINANCIAL SERVICES FUND - DIRECT PLAN - GROWTH;9.871;25-Aug-2023</v>
      </c>
      <c r="B6104" s="1"/>
    </row>
    <row r="6105">
      <c r="A6105" s="1" t="str">
        <f>IFERROR(__xludf.DUMMYFUNCTION("""COMPUTED_VALUE"""),"151817;INF194KB1GC0;INF194KB1GD8;BANDHAN FINANCIAL SERVICES FUND - DIRECT PLAN - IDCW;9.871;25-Aug-2023")</f>
        <v>151817;INF194KB1GC0;INF194KB1GD8;BANDHAN FINANCIAL SERVICES FUND - DIRECT PLAN - IDCW;9.871;25-Aug-2023</v>
      </c>
      <c r="B6105" s="1"/>
    </row>
    <row r="6106">
      <c r="A6106" s="1" t="str">
        <f>IFERROR(__xludf.DUMMYFUNCTION("""COMPUTED_VALUE"""),"151818;INF194KB1GE6;-;BANDHAN FINANCIAL SERVICES FUND - REGULAR PLAN - GROWTH;9.859;25-Aug-2023")</f>
        <v>151818;INF194KB1GE6;-;BANDHAN FINANCIAL SERVICES FUND - REGULAR PLAN - GROWTH;9.859;25-Aug-2023</v>
      </c>
      <c r="B6106" s="1"/>
    </row>
    <row r="6107">
      <c r="A6107" s="1" t="str">
        <f>IFERROR(__xludf.DUMMYFUNCTION("""COMPUTED_VALUE"""),"151819;INF194KB1GF3;INF194KB1GG1;BANDHAN FINANCIAL SERVICES FUND - REGULAR PLAN - IDCW;9.859;25-Aug-2023")</f>
        <v>151819;INF194KB1GF3;INF194KB1GG1;BANDHAN FINANCIAL SERVICES FUND - REGULAR PLAN - IDCW;9.859;25-Aug-2023</v>
      </c>
      <c r="B6107" s="1"/>
    </row>
    <row r="6108">
      <c r="A6108" s="1" t="str">
        <f>IFERROR(__xludf.DUMMYFUNCTION("""COMPUTED_VALUE"""),"114476;INF194K01BY9;-;BANDHAN Infrastructure Fund - Regular Plan - Growth;31.208;25-Aug-2023")</f>
        <v>114476;INF194K01BY9;-;BANDHAN Infrastructure Fund - Regular Plan - Growth;31.208;25-Aug-2023</v>
      </c>
      <c r="B6108" s="1"/>
    </row>
    <row r="6109">
      <c r="A6109" s="1" t="str">
        <f>IFERROR(__xludf.DUMMYFUNCTION("""COMPUTED_VALUE"""),"114477;INF194K01BZ6;INF194K01CA7;BANDHAN Infrastructure Fund - Regular Plan - IDCW;26.639;25-Aug-2023")</f>
        <v>114477;INF194K01BZ6;INF194K01CA7;BANDHAN Infrastructure Fund - Regular Plan - IDCW;26.639;25-Aug-2023</v>
      </c>
      <c r="B6109" s="1"/>
    </row>
    <row r="6110">
      <c r="A6110" s="1" t="str">
        <f>IFERROR(__xludf.DUMMYFUNCTION("""COMPUTED_VALUE"""),"118469;INF194K01X46;-;BANDHAN Infrastructure Fund-Direct Plan-Growth;35.631;25-Aug-2023")</f>
        <v>118469;INF194K01X46;-;BANDHAN Infrastructure Fund-Direct Plan-Growth;35.631;25-Aug-2023</v>
      </c>
      <c r="B6110" s="1"/>
    </row>
    <row r="6111">
      <c r="A6111" s="1" t="str">
        <f>IFERROR(__xludf.DUMMYFUNCTION("""COMPUTED_VALUE"""),"118468;INF194K01X53;INF194K01X61;BANDHAN Infrastructure Fund-Direct Plan-IDCW;31.748;25-Aug-2023")</f>
        <v>118468;INF194K01X53;INF194K01X61;BANDHAN Infrastructure Fund-Direct Plan-IDCW;31.748;25-Aug-2023</v>
      </c>
      <c r="B6111" s="1"/>
    </row>
    <row r="6112">
      <c r="A6112" s="1" t="str">
        <f>IFERROR(__xludf.DUMMYFUNCTION("""COMPUTED_VALUE"""),"150716;INF194KB1EB7;-;BANDHAN TRANSPORTATION AND LOGISTICS FUND - GROWTH - DIRECT PLAN;12.098;25-Aug-2023")</f>
        <v>150716;INF194KB1EB7;-;BANDHAN TRANSPORTATION AND LOGISTICS FUND - GROWTH - DIRECT PLAN;12.098;25-Aug-2023</v>
      </c>
      <c r="B6112" s="1"/>
    </row>
    <row r="6113">
      <c r="A6113" s="1" t="str">
        <f>IFERROR(__xludf.DUMMYFUNCTION("""COMPUTED_VALUE"""),"150717;INF194KB1EE1;-;BANDHAN TRANSPORTATION AND LOGISTICS FUND - GROWTH - REGULAR PLAN;11.933;25-Aug-2023")</f>
        <v>150717;INF194KB1EE1;-;BANDHAN TRANSPORTATION AND LOGISTICS FUND - GROWTH - REGULAR PLAN;11.933;25-Aug-2023</v>
      </c>
      <c r="B6113" s="1"/>
    </row>
    <row r="6114">
      <c r="A6114" s="1" t="str">
        <f>IFERROR(__xludf.DUMMYFUNCTION("""COMPUTED_VALUE"""),"150719;INF194KB1EC5;INF194KB1ED3;BANDHAN TRANSPORTATION AND LOGISTICS FUND - IDCW - DIRECT PLAN;12.092;25-Aug-2023")</f>
        <v>150719;INF194KB1EC5;INF194KB1ED3;BANDHAN TRANSPORTATION AND LOGISTICS FUND - IDCW - DIRECT PLAN;12.092;25-Aug-2023</v>
      </c>
      <c r="B6114" s="1"/>
    </row>
    <row r="6115">
      <c r="A6115" s="1" t="str">
        <f>IFERROR(__xludf.DUMMYFUNCTION("""COMPUTED_VALUE"""),"150718;INF194KB1EF8;INF194KB1EG6;BANDHAN TRANSPORTATION AND LOGISTICS FUND - IDCW - REGULAR PLAN;11.933;25-Aug-2023")</f>
        <v>150718;INF194KB1EF8;INF194KB1EG6;BANDHAN TRANSPORTATION AND LOGISTICS FUND - IDCW - REGULAR PLAN;11.933;25-Aug-2023</v>
      </c>
      <c r="B6115" s="1"/>
    </row>
    <row r="6116">
      <c r="A6116" s="1"/>
      <c r="B6116" s="1"/>
    </row>
    <row r="6117">
      <c r="A6117" s="1" t="str">
        <f>IFERROR(__xludf.DUMMYFUNCTION("""COMPUTED_VALUE"""),"Bank of India Mutual Fund")</f>
        <v>Bank of India Mutual Fund</v>
      </c>
      <c r="B6117" s="1"/>
    </row>
    <row r="6118">
      <c r="A6118" s="1"/>
      <c r="B6118" s="1"/>
    </row>
    <row r="6119">
      <c r="A6119" s="1" t="str">
        <f>IFERROR(__xludf.DUMMYFUNCTION("""COMPUTED_VALUE"""),"119364;INF761K01702;-;BANK OF INDIA Manufacturing &amp; Infrastructure Fund-Direct Plan-Growth;41.35;25-Aug-2023")</f>
        <v>119364;INF761K01702;-;BANK OF INDIA Manufacturing &amp; Infrastructure Fund-Direct Plan-Growth;41.35;25-Aug-2023</v>
      </c>
      <c r="B6119" s="1"/>
    </row>
    <row r="6120">
      <c r="A6120" s="1" t="str">
        <f>IFERROR(__xludf.DUMMYFUNCTION("""COMPUTED_VALUE"""),"119365;INF761K01728;INF761K01710;BANK OF INDIA Manufacturing &amp; Infrastructure Fund-Direct Plan-Quarterly IDCW;40.65;25-Aug-2023")</f>
        <v>119365;INF761K01728;INF761K01710;BANK OF INDIA Manufacturing &amp; Infrastructure Fund-Direct Plan-Quarterly IDCW;40.65;25-Aug-2023</v>
      </c>
      <c r="B6120" s="1"/>
    </row>
    <row r="6121">
      <c r="A6121" s="1" t="str">
        <f>IFERROR(__xludf.DUMMYFUNCTION("""COMPUTED_VALUE"""),"119363;INF761K01694;INF761K01686;BANK OF INDIA Manufacturing &amp; Infrastructure Fund-Direct Plan-Regular IDCW;39.02;25-Aug-2023")</f>
        <v>119363;INF761K01694;INF761K01686;BANK OF INDIA Manufacturing &amp; Infrastructure Fund-Direct Plan-Regular IDCW;39.02;25-Aug-2023</v>
      </c>
      <c r="B6121" s="1"/>
    </row>
    <row r="6122">
      <c r="A6122" s="1" t="str">
        <f>IFERROR(__xludf.DUMMYFUNCTION("""COMPUTED_VALUE"""),"112359;INF761K01199;-;BANK OF INDIA Manufacturing &amp; Infrastructure Fund-Growth;36.32;25-Aug-2023")</f>
        <v>112359;INF761K01199;-;BANK OF INDIA Manufacturing &amp; Infrastructure Fund-Growth;36.32;25-Aug-2023</v>
      </c>
      <c r="B6122" s="1"/>
    </row>
    <row r="6123">
      <c r="A6123" s="1" t="str">
        <f>IFERROR(__xludf.DUMMYFUNCTION("""COMPUTED_VALUE"""),"112360;INF761K01231;INF761K01223;BANK OF INDIA Manufacturing &amp; Infrastructure Fund-Quarterly IDCW;23.59;25-Aug-2023")</f>
        <v>112360;INF761K01231;INF761K01223;BANK OF INDIA Manufacturing &amp; Infrastructure Fund-Quarterly IDCW;23.59;25-Aug-2023</v>
      </c>
      <c r="B6123" s="1"/>
    </row>
    <row r="6124">
      <c r="A6124" s="1" t="str">
        <f>IFERROR(__xludf.DUMMYFUNCTION("""COMPUTED_VALUE"""),"112361;INF761K01215;INF761K01207;BANK OF INDIA Manufacturing &amp; Infrastructure Fund-Regular IDCW;23.15;25-Aug-2023")</f>
        <v>112361;INF761K01215;INF761K01207;BANK OF INDIA Manufacturing &amp; Infrastructure Fund-Regular IDCW;23.15;25-Aug-2023</v>
      </c>
      <c r="B6124" s="1"/>
    </row>
    <row r="6125">
      <c r="A6125" s="1"/>
      <c r="B6125" s="1"/>
    </row>
    <row r="6126">
      <c r="A6126" s="1" t="str">
        <f>IFERROR(__xludf.DUMMYFUNCTION("""COMPUTED_VALUE"""),"Baroda BNP Paribas Mutual Fund")</f>
        <v>Baroda BNP Paribas Mutual Fund</v>
      </c>
      <c r="B6126" s="1"/>
    </row>
    <row r="6127">
      <c r="A6127" s="1"/>
      <c r="B6127" s="1"/>
    </row>
    <row r="6128">
      <c r="A6128" s="1" t="str">
        <f>IFERROR(__xludf.DUMMYFUNCTION("""COMPUTED_VALUE"""),"119333;INF955L01971;-;Baroda BNP Paribas Banking and Financial Services Fund - Direct - Growth Option;36.3799;25-Aug-2023")</f>
        <v>119333;INF955L01971;-;Baroda BNP Paribas Banking and Financial Services Fund - Direct - Growth Option;36.3799;25-Aug-2023</v>
      </c>
      <c r="B6128" s="1"/>
    </row>
    <row r="6129">
      <c r="A6129" s="1" t="str">
        <f>IFERROR(__xludf.DUMMYFUNCTION("""COMPUTED_VALUE"""),"119334;INF955L01955;-;Baroda BNP Paribas Banking and Financial Services Fund - Direct - IDCW Option;20.0429;25-Aug-2023")</f>
        <v>119334;INF955L01955;-;Baroda BNP Paribas Banking and Financial Services Fund - Direct - IDCW Option;20.0429;25-Aug-2023</v>
      </c>
      <c r="B6129" s="1"/>
    </row>
    <row r="6130">
      <c r="A6130" s="1" t="str">
        <f>IFERROR(__xludf.DUMMYFUNCTION("""COMPUTED_VALUE"""),"117549;INF955L01856;-;Baroda BNP Paribas Banking and Financial Services Fund - Regular - Growth Option;33.3610;25-Aug-2023")</f>
        <v>117549;INF955L01856;-;Baroda BNP Paribas Banking and Financial Services Fund - Regular - Growth Option;33.3610;25-Aug-2023</v>
      </c>
      <c r="B6130" s="1"/>
    </row>
    <row r="6131">
      <c r="A6131" s="1" t="str">
        <f>IFERROR(__xludf.DUMMYFUNCTION("""COMPUTED_VALUE"""),"117547;INF955L01831;-;Baroda BNP Paribas Banking and Financial Services Fund - Regular - IDCW Option;17.9895;25-Aug-2023")</f>
        <v>117547;INF955L01831;-;Baroda BNP Paribas Banking and Financial Services Fund - Regular - IDCW Option;17.9895;25-Aug-2023</v>
      </c>
      <c r="B6131" s="1"/>
    </row>
    <row r="6132">
      <c r="A6132" s="1" t="str">
        <f>IFERROR(__xludf.DUMMYFUNCTION("""COMPUTED_VALUE"""),"149141;INF955L01KK1;-;Baroda BNP Paribas Business Cycle Fund - Direct Plan - Growth;11.5149;25-Aug-2023")</f>
        <v>149141;INF955L01KK1;-;Baroda BNP Paribas Business Cycle Fund - Direct Plan - Growth;11.5149;25-Aug-2023</v>
      </c>
      <c r="B6132" s="1"/>
    </row>
    <row r="6133">
      <c r="A6133" s="1" t="str">
        <f>IFERROR(__xludf.DUMMYFUNCTION("""COMPUTED_VALUE"""),"149143;INF955L01KL9;INF955L01KM7;Baroda BNP Paribas Business Cycle Fund - Direct Plan - IDCW Option;11.5149;25-Aug-2023")</f>
        <v>149143;INF955L01KL9;INF955L01KM7;Baroda BNP Paribas Business Cycle Fund - Direct Plan - IDCW Option;11.5149;25-Aug-2023</v>
      </c>
      <c r="B6133" s="1"/>
    </row>
    <row r="6134">
      <c r="A6134" s="1" t="str">
        <f>IFERROR(__xludf.DUMMYFUNCTION("""COMPUTED_VALUE"""),"149140;INF955L01KH7;-;Baroda BNP Paribas Business Cycle Fund - Regular Plan - Growth;11.1767;25-Aug-2023")</f>
        <v>149140;INF955L01KH7;-;Baroda BNP Paribas Business Cycle Fund - Regular Plan - Growth;11.1767;25-Aug-2023</v>
      </c>
      <c r="B6134" s="1"/>
    </row>
    <row r="6135">
      <c r="A6135" s="1" t="str">
        <f>IFERROR(__xludf.DUMMYFUNCTION("""COMPUTED_VALUE"""),"149142;INF955L01KI5;INF955L01KJ3;Baroda BNP Paribas Business Cycle Fund - Regular Plan - IDCW Option;11.1767;25-Aug-2023")</f>
        <v>149142;INF955L01KI5;INF955L01KJ3;Baroda BNP Paribas Business Cycle Fund - Regular Plan - IDCW Option;11.1767;25-Aug-2023</v>
      </c>
      <c r="B6135" s="1"/>
    </row>
    <row r="6136">
      <c r="A6136" s="1" t="str">
        <f>IFERROR(__xludf.DUMMYFUNCTION("""COMPUTED_VALUE"""),"150266;INF251K01PT7;-;BARODA BNP PARIBAS India Consumption Fund - Direct Plan - Growth Option;24.6557;25-Aug-2023")</f>
        <v>150266;INF251K01PT7;-;BARODA BNP PARIBAS India Consumption Fund - Direct Plan - Growth Option;24.6557;25-Aug-2023</v>
      </c>
      <c r="B6136" s="1"/>
    </row>
    <row r="6137">
      <c r="A6137" s="1" t="str">
        <f>IFERROR(__xludf.DUMMYFUNCTION("""COMPUTED_VALUE"""),"150269;INF251K01PV3;INF251K01PU5;BARODA BNP PARIBAS India Consumption Fund - Direct Plan - IDCW Option;20.6055;25-Aug-2023")</f>
        <v>150269;INF251K01PV3;INF251K01PU5;BARODA BNP PARIBAS India Consumption Fund - Direct Plan - IDCW Option;20.6055;25-Aug-2023</v>
      </c>
      <c r="B6137" s="1"/>
    </row>
    <row r="6138">
      <c r="A6138" s="1" t="str">
        <f>IFERROR(__xludf.DUMMYFUNCTION("""COMPUTED_VALUE"""),"150268;INF251K01PQ3;-;BARODA BNP PARIBAS India Consumption Fund - Regular Plan - Growth Option;22.8852;25-Aug-2023")</f>
        <v>150268;INF251K01PQ3;-;BARODA BNP PARIBAS India Consumption Fund - Regular Plan - Growth Option;22.8852;25-Aug-2023</v>
      </c>
      <c r="B6138" s="1"/>
    </row>
    <row r="6139">
      <c r="A6139" s="1" t="str">
        <f>IFERROR(__xludf.DUMMYFUNCTION("""COMPUTED_VALUE"""),"150267;INF251K01PS9;INF251K01PR1;BARODA BNP PARIBAS India Consumption Fund - Regular Plan - IDCW Option;18.5301;25-Aug-2023")</f>
        <v>150267;INF251K01PS9;INF251K01PR1;BARODA BNP PARIBAS India Consumption Fund - Regular Plan - IDCW Option;18.5301;25-Aug-2023</v>
      </c>
      <c r="B6139" s="1"/>
    </row>
    <row r="6140">
      <c r="A6140" s="1"/>
      <c r="B6140" s="1"/>
    </row>
    <row r="6141">
      <c r="A6141" s="1" t="str">
        <f>IFERROR(__xludf.DUMMYFUNCTION("""COMPUTED_VALUE"""),"Canara Robeco Mutual Fund")</f>
        <v>Canara Robeco Mutual Fund</v>
      </c>
      <c r="B6141" s="1"/>
    </row>
    <row r="6142">
      <c r="A6142" s="1"/>
      <c r="B6142" s="1"/>
    </row>
    <row r="6143">
      <c r="A6143" s="1" t="str">
        <f>IFERROR(__xludf.DUMMYFUNCTION("""COMPUTED_VALUE"""),"118273;INF760K01DU1;-;CANARA ROBECO CONSUMER TRENDS FUND - DIRECT PLAN - GROWTH OPTION;88.6300;25-Aug-2023")</f>
        <v>118273;INF760K01DU1;-;CANARA ROBECO CONSUMER TRENDS FUND - DIRECT PLAN - GROWTH OPTION;88.6300;25-Aug-2023</v>
      </c>
      <c r="B6143" s="1"/>
    </row>
    <row r="6144">
      <c r="A6144" s="1" t="str">
        <f>IFERROR(__xludf.DUMMYFUNCTION("""COMPUTED_VALUE"""),"118274;INF760K01DS5;INF760K01DT3;CANARA ROBECO CONSUMER TRENDS FUND - DIRECT PLAN - IDCW (Payout/Reinvestment);64.2800;25-Aug-2023")</f>
        <v>118274;INF760K01DS5;INF760K01DT3;CANARA ROBECO CONSUMER TRENDS FUND - DIRECT PLAN - IDCW (Payout/Reinvestment);64.2800;25-Aug-2023</v>
      </c>
      <c r="B6144" s="1"/>
    </row>
    <row r="6145">
      <c r="A6145" s="1" t="str">
        <f>IFERROR(__xludf.DUMMYFUNCTION("""COMPUTED_VALUE"""),"112152;INF760K01241;-;CANARA ROBECO CONSUMER TRENDS FUND - REGULAR PLAN - GROWTH OPTION;78.9500;25-Aug-2023")</f>
        <v>112152;INF760K01241;-;CANARA ROBECO CONSUMER TRENDS FUND - REGULAR PLAN - GROWTH OPTION;78.9500;25-Aug-2023</v>
      </c>
      <c r="B6145" s="1"/>
    </row>
    <row r="6146">
      <c r="A6146" s="1" t="str">
        <f>IFERROR(__xludf.DUMMYFUNCTION("""COMPUTED_VALUE"""),"112153;INF760K01225;INF760K01233;CANARA ROBECO CONSUMER TRENDS FUND - REGULAR PLAN - IDCW (Payout/Reinvestment);36.0400;25-Aug-2023")</f>
        <v>112153;INF760K01225;INF760K01233;CANARA ROBECO CONSUMER TRENDS FUND - REGULAR PLAN - IDCW (Payout/Reinvestment);36.0400;25-Aug-2023</v>
      </c>
      <c r="B6146" s="1"/>
    </row>
    <row r="6147">
      <c r="A6147" s="1" t="str">
        <f>IFERROR(__xludf.DUMMYFUNCTION("""COMPUTED_VALUE"""),"118267;INF760K01FO9;-;CANARA ROBECO INFRASTRUCTURE FUND - DIRECT PLAN - GROWTH OPTION;106.7500;25-Aug-2023")</f>
        <v>118267;INF760K01FO9;-;CANARA ROBECO INFRASTRUCTURE FUND - DIRECT PLAN - GROWTH OPTION;106.7500;25-Aug-2023</v>
      </c>
      <c r="B6147" s="1"/>
    </row>
    <row r="6148">
      <c r="A6148" s="1" t="str">
        <f>IFERROR(__xludf.DUMMYFUNCTION("""COMPUTED_VALUE"""),"118268;INF760K01FM3;INF760K01FN1;CANARA ROBECO INFRASTRUCTURE FUND - DIRECT PLAN - IDCW (Payout/Reinvestment);59.4100;25-Aug-2023")</f>
        <v>118268;INF760K01FM3;INF760K01FN1;CANARA ROBECO INFRASTRUCTURE FUND - DIRECT PLAN - IDCW (Payout/Reinvestment);59.4100;25-Aug-2023</v>
      </c>
      <c r="B6148" s="1"/>
    </row>
    <row r="6149">
      <c r="A6149" s="1" t="str">
        <f>IFERROR(__xludf.DUMMYFUNCTION("""COMPUTED_VALUE"""),"103390;INF760K01274;-;CANARA ROBECO INFRASTRUCTURE FUND - REGULAR PLAN - GROWTH OPTION;97.3000;25-Aug-2023")</f>
        <v>103390;INF760K01274;-;CANARA ROBECO INFRASTRUCTURE FUND - REGULAR PLAN - GROWTH OPTION;97.3000;25-Aug-2023</v>
      </c>
      <c r="B6149" s="1"/>
    </row>
    <row r="6150">
      <c r="A6150" s="1" t="str">
        <f>IFERROR(__xludf.DUMMYFUNCTION("""COMPUTED_VALUE"""),"103389;INF760K01258;INF760K01266;CANARA ROBECO INFRASTRUCTURE FUND - REGULAR PLAN - IDCW (Payout/Reinvestment);43.5000;25-Aug-2023")</f>
        <v>103389;INF760K01258;INF760K01266;CANARA ROBECO INFRASTRUCTURE FUND - REGULAR PLAN - IDCW (Payout/Reinvestment);43.5000;25-Aug-2023</v>
      </c>
      <c r="B6150" s="1"/>
    </row>
    <row r="6151">
      <c r="A6151" s="1"/>
      <c r="B6151" s="1"/>
    </row>
    <row r="6152">
      <c r="A6152" s="1" t="str">
        <f>IFERROR(__xludf.DUMMYFUNCTION("""COMPUTED_VALUE"""),"DSP Mutual Fund")</f>
        <v>DSP Mutual Fund</v>
      </c>
      <c r="B6152" s="1"/>
    </row>
    <row r="6153">
      <c r="A6153" s="1"/>
      <c r="B6153" s="1"/>
    </row>
    <row r="6154">
      <c r="A6154" s="1" t="str">
        <f>IFERROR(__xludf.DUMMYFUNCTION("""COMPUTED_VALUE"""),"145454;INF740KA1LG1;-;DSP Healthcare Fund - Direct Plan - Growth;27.603;25-Aug-2023")</f>
        <v>145454;INF740KA1LG1;-;DSP Healthcare Fund - Direct Plan - Growth;27.603;25-Aug-2023</v>
      </c>
      <c r="B6154" s="1"/>
    </row>
    <row r="6155">
      <c r="A6155" s="1" t="str">
        <f>IFERROR(__xludf.DUMMYFUNCTION("""COMPUTED_VALUE"""),"145455;INF740KA1LH9;INF740KA1LI7;DSP Healthcare Fund - Direct Plan - IDCW;20.640;25-Aug-2023")</f>
        <v>145455;INF740KA1LH9;INF740KA1LI7;DSP Healthcare Fund - Direct Plan - IDCW;20.640;25-Aug-2023</v>
      </c>
      <c r="B6155" s="1"/>
    </row>
    <row r="6156">
      <c r="A6156" s="1" t="str">
        <f>IFERROR(__xludf.DUMMYFUNCTION("""COMPUTED_VALUE"""),"145456;INF740KA1LD8;-;DSP Healthcare Fund - Regular Plan - Growth;25.654;25-Aug-2023")</f>
        <v>145456;INF740KA1LD8;-;DSP Healthcare Fund - Regular Plan - Growth;25.654;25-Aug-2023</v>
      </c>
      <c r="B6156" s="1"/>
    </row>
    <row r="6157">
      <c r="A6157" s="1" t="str">
        <f>IFERROR(__xludf.DUMMYFUNCTION("""COMPUTED_VALUE"""),"145453;INF740KA1LE6;INF740KA1LF3;DSP Healthcare Fund - Regular Plan - IDCW;19.196;25-Aug-2023")</f>
        <v>145453;INF740KA1LE6;INF740KA1LF3;DSP Healthcare Fund - Regular Plan - IDCW;19.196;25-Aug-2023</v>
      </c>
      <c r="B6157" s="1"/>
    </row>
    <row r="6158">
      <c r="A6158" s="1" t="str">
        <f>IFERROR(__xludf.DUMMYFUNCTION("""COMPUTED_VALUE"""),"119247;INF740K01PU7;-;DSP India T.I.G.E.R. Fund - Direct Plan - Growth;219.578;25-Aug-2023")</f>
        <v>119247;INF740K01PU7;-;DSP India T.I.G.E.R. Fund - Direct Plan - Growth;219.578;25-Aug-2023</v>
      </c>
      <c r="B6158" s="1"/>
    </row>
    <row r="6159">
      <c r="A6159" s="1" t="str">
        <f>IFERROR(__xludf.DUMMYFUNCTION("""COMPUTED_VALUE"""),"119248;INF740K01PV5;INF740K01PW3;DSP India T.I.G.E.R. Fund - Direct Plan - IDCW;41.499;25-Aug-2023")</f>
        <v>119248;INF740K01PV5;INF740K01PW3;DSP India T.I.G.E.R. Fund - Direct Plan - IDCW;41.499;25-Aug-2023</v>
      </c>
      <c r="B6159" s="1"/>
    </row>
    <row r="6160">
      <c r="A6160" s="1" t="str">
        <f>IFERROR(__xludf.DUMMYFUNCTION("""COMPUTED_VALUE"""),"102434;INF740K01151;-;DSP India T.I.G.E.R. Fund - Regular Plan - Growth;205.717;25-Aug-2023")</f>
        <v>102434;INF740K01151;-;DSP India T.I.G.E.R. Fund - Regular Plan - Growth;205.717;25-Aug-2023</v>
      </c>
      <c r="B6160" s="1"/>
    </row>
    <row r="6161">
      <c r="A6161" s="1" t="str">
        <f>IFERROR(__xludf.DUMMYFUNCTION("""COMPUTED_VALUE"""),"102435;INF740K01136;INF740K01144;DSP India T.I.G.E.R. Fund - Regular Plan - IDCW;22.888;25-Aug-2023")</f>
        <v>102435;INF740K01136;INF740K01144;DSP India T.I.G.E.R. Fund - Regular Plan - IDCW;22.888;25-Aug-2023</v>
      </c>
      <c r="B6161" s="1"/>
    </row>
    <row r="6162">
      <c r="A6162" s="1" t="str">
        <f>IFERROR(__xludf.DUMMYFUNCTION("""COMPUTED_VALUE"""),"119028;INF740K01QA7;-;DSP Natural Resources and New Energy Fund - Direct Plan - Growth;67.070;25-Aug-2023")</f>
        <v>119028;INF740K01QA7;-;DSP Natural Resources and New Energy Fund - Direct Plan - Growth;67.070;25-Aug-2023</v>
      </c>
      <c r="B6162" s="1"/>
    </row>
    <row r="6163">
      <c r="A6163" s="1" t="str">
        <f>IFERROR(__xludf.DUMMYFUNCTION("""COMPUTED_VALUE"""),"119029;INF740K01QB5;INF740K01QC3;DSP Natural Resources and New Energy Fund - Direct Plan - IDCW;27.188;25-Aug-2023")</f>
        <v>119029;INF740K01QB5;INF740K01QC3;DSP Natural Resources and New Energy Fund - Direct Plan - IDCW;27.188;25-Aug-2023</v>
      </c>
      <c r="B6163" s="1"/>
    </row>
    <row r="6164">
      <c r="A6164" s="1" t="str">
        <f>IFERROR(__xludf.DUMMYFUNCTION("""COMPUTED_VALUE"""),"108202;INF740K01060;-;DSP Natural Resources And New Energy Fund - Regular - Growth;61.559;25-Aug-2023")</f>
        <v>108202;INF740K01060;-;DSP Natural Resources And New Energy Fund - Regular - Growth;61.559;25-Aug-2023</v>
      </c>
      <c r="B6164" s="1"/>
    </row>
    <row r="6165">
      <c r="A6165" s="1" t="str">
        <f>IFERROR(__xludf.DUMMYFUNCTION("""COMPUTED_VALUE"""),"108203;INF740K01045;INF740K01052;DSP Natural Resources And New Energy Fund - Regular Plan - IDCW;23.218;25-Aug-2023")</f>
        <v>108203;INF740K01045;INF740K01052;DSP Natural Resources And New Energy Fund - Regular Plan - IDCW;23.218;25-Aug-2023</v>
      </c>
      <c r="B6165" s="1"/>
    </row>
    <row r="6166">
      <c r="A6166" s="1" t="str">
        <f>IFERROR(__xludf.DUMMYFUNCTION("""COMPUTED_VALUE"""),"147306;INF740KA1NQ6;-;DSP Quant Fund - Direct Plan - Growth;17.691;25-Aug-2023")</f>
        <v>147306;INF740KA1NQ6;-;DSP Quant Fund - Direct Plan - Growth;17.691;25-Aug-2023</v>
      </c>
      <c r="B6166" s="1"/>
    </row>
    <row r="6167">
      <c r="A6167" s="1" t="str">
        <f>IFERROR(__xludf.DUMMYFUNCTION("""COMPUTED_VALUE"""),"147304;INF740KA1NR4;INF740KA1NS2;DSP Quant Fund - Direct Plan - IDCW;16.817;25-Aug-2023")</f>
        <v>147304;INF740KA1NR4;INF740KA1NS2;DSP Quant Fund - Direct Plan - IDCW;16.817;25-Aug-2023</v>
      </c>
      <c r="B6167" s="1"/>
    </row>
    <row r="6168">
      <c r="A6168" s="1" t="str">
        <f>IFERROR(__xludf.DUMMYFUNCTION("""COMPUTED_VALUE"""),"147303;INF740KA1NN3;-;DSP Quant Fund - Regular Plan - Growth;17.146;25-Aug-2023")</f>
        <v>147303;INF740KA1NN3;-;DSP Quant Fund - Regular Plan - Growth;17.146;25-Aug-2023</v>
      </c>
      <c r="B6168" s="1"/>
    </row>
    <row r="6169">
      <c r="A6169" s="1" t="str">
        <f>IFERROR(__xludf.DUMMYFUNCTION("""COMPUTED_VALUE"""),"147305;INF740KA1NO1;INF740KA1NP8;DSP Quant Fund - Regular Plan - IDCW;16.275;25-Aug-2023")</f>
        <v>147305;INF740KA1NO1;INF740KA1NP8;DSP Quant Fund - Regular Plan - IDCW;16.275;25-Aug-2023</v>
      </c>
      <c r="B6169" s="1"/>
    </row>
    <row r="6170">
      <c r="A6170" s="1"/>
      <c r="B6170" s="1"/>
    </row>
    <row r="6171">
      <c r="A6171" s="1" t="str">
        <f>IFERROR(__xludf.DUMMYFUNCTION("""COMPUTED_VALUE"""),"Edelweiss Mutual Fund")</f>
        <v>Edelweiss Mutual Fund</v>
      </c>
      <c r="B6171" s="1"/>
    </row>
    <row r="6172">
      <c r="A6172" s="1"/>
      <c r="B6172" s="1"/>
    </row>
    <row r="6173">
      <c r="A6173" s="1" t="str">
        <f>IFERROR(__xludf.DUMMYFUNCTION("""COMPUTED_VALUE"""),"142386;INF754K01MM2;INF754K01MN0;Edelweiss Recently Listed IPO Fund - DIRECT PLAN - IDCW Option;21.3376;25-Aug-2023")</f>
        <v>142386;INF754K01MM2;INF754K01MN0;Edelweiss Recently Listed IPO Fund - DIRECT PLAN - IDCW Option;21.3376;25-Aug-2023</v>
      </c>
      <c r="B6173" s="1"/>
    </row>
    <row r="6174">
      <c r="A6174" s="1" t="str">
        <f>IFERROR(__xludf.DUMMYFUNCTION("""COMPUTED_VALUE"""),"142388;INF754K01ML4;-;Edelweiss Recently Listed IPO Fund Direct Plan Growth;21.3376;25-Aug-2023")</f>
        <v>142388;INF754K01ML4;-;Edelweiss Recently Listed IPO Fund Direct Plan Growth;21.3376;25-Aug-2023</v>
      </c>
      <c r="B6174" s="1"/>
    </row>
    <row r="6175">
      <c r="A6175" s="1" t="str">
        <f>IFERROR(__xludf.DUMMYFUNCTION("""COMPUTED_VALUE"""),"142384;INF754K01MI0;INF754K01MJ8;Edelweiss Recently Listed IPO Fund REGULAR PLAN - IDCW Option;20.4149;25-Aug-2023")</f>
        <v>142384;INF754K01MI0;INF754K01MJ8;Edelweiss Recently Listed IPO Fund REGULAR PLAN - IDCW Option;20.4149;25-Aug-2023</v>
      </c>
      <c r="B6175" s="1"/>
    </row>
    <row r="6176">
      <c r="A6176" s="1" t="str">
        <f>IFERROR(__xludf.DUMMYFUNCTION("""COMPUTED_VALUE"""),"142383;INF754K01MH2;-;Edelweiss Recently Listed IPO Fund Regular Plan Growth;20.4159;25-Aug-2023")</f>
        <v>142383;INF754K01MH2;-;Edelweiss Recently Listed IPO Fund Regular Plan Growth;20.4159;25-Aug-2023</v>
      </c>
      <c r="B6176" s="1"/>
    </row>
    <row r="6177">
      <c r="A6177" s="1"/>
      <c r="B6177" s="1"/>
    </row>
    <row r="6178">
      <c r="A6178" s="1" t="str">
        <f>IFERROR(__xludf.DUMMYFUNCTION("""COMPUTED_VALUE"""),"Franklin Templeton Mutual Fund")</f>
        <v>Franklin Templeton Mutual Fund</v>
      </c>
      <c r="B6178" s="1"/>
    </row>
    <row r="6179">
      <c r="A6179" s="1"/>
      <c r="B6179" s="1"/>
    </row>
    <row r="6180">
      <c r="A6180" s="1" t="str">
        <f>IFERROR(__xludf.DUMMYFUNCTION("""COMPUTED_VALUE"""),"118559;INF090I01IZ5;-;Franklin Asian Equity Fund - Direct - Growth;26.1602;25-Aug-2023")</f>
        <v>118559;INF090I01IZ5;-;Franklin Asian Equity Fund - Direct - Growth;26.1602;25-Aug-2023</v>
      </c>
      <c r="B6180" s="1"/>
    </row>
    <row r="6181">
      <c r="A6181" s="1" t="str">
        <f>IFERROR(__xludf.DUMMYFUNCTION("""COMPUTED_VALUE"""),"118558;INF090I01IX0;INF090I01IY8;Franklin Asian Equity Fund - Direct - IDCW ;12.6167;25-Aug-2023")</f>
        <v>118558;INF090I01IX0;INF090I01IY8;Franklin Asian Equity Fund - Direct - IDCW ;12.6167;25-Aug-2023</v>
      </c>
      <c r="B6181" s="1"/>
    </row>
    <row r="6182">
      <c r="A6182" s="1" t="str">
        <f>IFERROR(__xludf.DUMMYFUNCTION("""COMPUTED_VALUE"""),"106979;INF090I01AB3;-;Franklin Asian Equity Fund - Growth Plan;24.3269;25-Aug-2023")</f>
        <v>106979;INF090I01AB3;-;Franklin Asian Equity Fund - Growth Plan;24.3269;25-Aug-2023</v>
      </c>
      <c r="B6182" s="1"/>
    </row>
    <row r="6183">
      <c r="A6183" s="1" t="str">
        <f>IFERROR(__xludf.DUMMYFUNCTION("""COMPUTED_VALUE"""),"106978;INF090I01999;INF090I01AA5;Franklin Asian Equity Fund - IDCW ;11.8254;25-Aug-2023")</f>
        <v>106978;INF090I01999;INF090I01AA5;Franklin Asian Equity Fund - IDCW ;11.8254;25-Aug-2023</v>
      </c>
      <c r="B6183" s="1"/>
    </row>
    <row r="6184">
      <c r="A6184" s="1" t="str">
        <f>IFERROR(__xludf.DUMMYFUNCTION("""COMPUTED_VALUE"""),"118557;INF090I01JF5;-;Franklin Build India Fund - Direct - Growth;98.1473;25-Aug-2023")</f>
        <v>118557;INF090I01JF5;-;Franklin Build India Fund - Direct - Growth;98.1473;25-Aug-2023</v>
      </c>
      <c r="B6184" s="1"/>
    </row>
    <row r="6185">
      <c r="A6185" s="1" t="str">
        <f>IFERROR(__xludf.DUMMYFUNCTION("""COMPUTED_VALUE"""),"118556;INF090I01JD0;INF090I01JE8;Franklin Build India Fund - Direct - IDCW ;38.3431;25-Aug-2023")</f>
        <v>118556;INF090I01JD0;INF090I01JE8;Franklin Build India Fund - Direct - IDCW ;38.3431;25-Aug-2023</v>
      </c>
      <c r="B6185" s="1"/>
    </row>
    <row r="6186">
      <c r="A6186" s="1" t="str">
        <f>IFERROR(__xludf.DUMMYFUNCTION("""COMPUTED_VALUE"""),"112093;INF090I01AC1;INF090I01AD9;Franklin Build India Fund - IDCW ;32.2783;25-Aug-2023")</f>
        <v>112093;INF090I01AC1;INF090I01AD9;Franklin Build India Fund - IDCW ;32.2783;25-Aug-2023</v>
      </c>
      <c r="B6186" s="1"/>
    </row>
    <row r="6187">
      <c r="A6187" s="1" t="str">
        <f>IFERROR(__xludf.DUMMYFUNCTION("""COMPUTED_VALUE"""),"112092;INF090I01AE7;-;Franklin Build India Fund Growth Plan;87.0379;25-Aug-2023")</f>
        <v>112092;INF090I01AE7;-;Franklin Build India Fund Growth Plan;87.0379;25-Aug-2023</v>
      </c>
      <c r="B6187" s="1"/>
    </row>
    <row r="6188">
      <c r="A6188" s="1" t="str">
        <f>IFERROR(__xludf.DUMMYFUNCTION("""COMPUTED_VALUE"""),"118539;INF090I01GC8;-;Franklin India Opportunities Fund - Direct - Growth;160.5868;25-Aug-2023")</f>
        <v>118539;INF090I01GC8;-;Franklin India Opportunities Fund - Direct - Growth;160.5868;25-Aug-2023</v>
      </c>
      <c r="B6188" s="1"/>
    </row>
    <row r="6189">
      <c r="A6189" s="1" t="str">
        <f>IFERROR(__xludf.DUMMYFUNCTION("""COMPUTED_VALUE"""),"118538;INF090I01GD6;INF090I01GE4;Franklin INDIA OPPORTUNITIES FUND - Direct - IDCW ;30.3071;25-Aug-2023")</f>
        <v>118538;INF090I01GD6;INF090I01GE4;Franklin INDIA OPPORTUNITIES FUND - Direct - IDCW ;30.3071;25-Aug-2023</v>
      </c>
      <c r="B6189" s="1"/>
    </row>
    <row r="6190">
      <c r="A6190" s="1" t="str">
        <f>IFERROR(__xludf.DUMMYFUNCTION("""COMPUTED_VALUE"""),"103151;INF090I01841;-;Franklin India Opportunities Fund - Growth;149.0292;25-Aug-2023")</f>
        <v>103151;INF090I01841;-;Franklin India Opportunities Fund - Growth;149.0292;25-Aug-2023</v>
      </c>
      <c r="B6190" s="1"/>
    </row>
    <row r="6191">
      <c r="A6191" s="1" t="str">
        <f>IFERROR(__xludf.DUMMYFUNCTION("""COMPUTED_VALUE"""),"100524;INF090I01858;INF090I01866;Franklin INDIA OPPORTUNITIES FUND - IDCW ;27.4812;25-Aug-2023")</f>
        <v>100524;INF090I01858;INF090I01866;Franklin INDIA OPPORTUNITIES FUND - IDCW ;27.4812;25-Aug-2023</v>
      </c>
      <c r="B6191" s="1"/>
    </row>
    <row r="6192">
      <c r="A6192" s="1" t="str">
        <f>IFERROR(__xludf.DUMMYFUNCTION("""COMPUTED_VALUE"""),"118537;INF090I01FE6;-;Franklin India Technology Fund - Direct - Growth;387.6840;25-Aug-2023")</f>
        <v>118537;INF090I01FE6;-;Franklin India Technology Fund - Direct - Growth;387.6840;25-Aug-2023</v>
      </c>
      <c r="B6192" s="1"/>
    </row>
    <row r="6193">
      <c r="A6193" s="1" t="str">
        <f>IFERROR(__xludf.DUMMYFUNCTION("""COMPUTED_VALUE"""),"118536;INF090I01FF3;INF090I01FG1;Franklin India Technology Fund - Direct - IDCW ;44.2134;25-Aug-2023")</f>
        <v>118536;INF090I01FF3;INF090I01FG1;Franklin India Technology Fund - Direct - IDCW ;44.2134;25-Aug-2023</v>
      </c>
      <c r="B6193" s="1"/>
    </row>
    <row r="6194">
      <c r="A6194" s="1" t="str">
        <f>IFERROR(__xludf.DUMMYFUNCTION("""COMPUTED_VALUE"""),"100521;INF090I01759;INF090I01767;Franklin India Technology Fund - IDCW ;40.1587;25-Aug-2023")</f>
        <v>100521;INF090I01759;INF090I01767;Franklin India Technology Fund - IDCW ;40.1587;25-Aug-2023</v>
      </c>
      <c r="B6194" s="1"/>
    </row>
    <row r="6195">
      <c r="A6195" s="1" t="str">
        <f>IFERROR(__xludf.DUMMYFUNCTION("""COMPUTED_VALUE"""),"100522;INF090I01742;-;Franklin India Technology Fund-Growth;358.9813;25-Aug-2023")</f>
        <v>100522;INF090I01742;-;Franklin India Technology Fund-Growth;358.9813;25-Aug-2023</v>
      </c>
      <c r="B6195" s="1"/>
    </row>
    <row r="6196">
      <c r="A6196" s="1"/>
      <c r="B6196" s="1"/>
    </row>
    <row r="6197">
      <c r="A6197" s="1" t="str">
        <f>IFERROR(__xludf.DUMMYFUNCTION("""COMPUTED_VALUE"""),"HDFC Mutual Fund")</f>
        <v>HDFC Mutual Fund</v>
      </c>
      <c r="B6197" s="1"/>
    </row>
    <row r="6198">
      <c r="A6198" s="1"/>
      <c r="B6198" s="1"/>
    </row>
    <row r="6199">
      <c r="A6199" s="1" t="str">
        <f>IFERROR(__xludf.DUMMYFUNCTION("""COMPUTED_VALUE"""),"148987;INF179KC1BJ4;-;HDFC Banking &amp; Financial Services Fund - Growth Option;12.597;25-Aug-2023")</f>
        <v>148987;INF179KC1BJ4;-;HDFC Banking &amp; Financial Services Fund - Growth Option;12.597;25-Aug-2023</v>
      </c>
      <c r="B6199" s="1"/>
    </row>
    <row r="6200">
      <c r="A6200" s="1" t="str">
        <f>IFERROR(__xludf.DUMMYFUNCTION("""COMPUTED_VALUE"""),"148986;INF179KC1BG0;-;HDFC Banking &amp; Financial Services Fund - Growth Option - Direct Plan;13.063;25-Aug-2023")</f>
        <v>148986;INF179KC1BG0;-;HDFC Banking &amp; Financial Services Fund - Growth Option - Direct Plan;13.063;25-Aug-2023</v>
      </c>
      <c r="B6200" s="1"/>
    </row>
    <row r="6201">
      <c r="A6201" s="1" t="str">
        <f>IFERROR(__xludf.DUMMYFUNCTION("""COMPUTED_VALUE"""),"148984;INF179KC1BK2;INF179KC1BL0;HDFC Banking &amp; Financial Services Fund - IDCW Option;12.597;25-Aug-2023")</f>
        <v>148984;INF179KC1BK2;INF179KC1BL0;HDFC Banking &amp; Financial Services Fund - IDCW Option;12.597;25-Aug-2023</v>
      </c>
      <c r="B6201" s="1"/>
    </row>
    <row r="6202">
      <c r="A6202" s="1" t="str">
        <f>IFERROR(__xludf.DUMMYFUNCTION("""COMPUTED_VALUE"""),"148985;INF179KC1BH8;INF179KC1BI6;HDFC Banking &amp; Financial Services Fund - IDCW Option - Direct Plan;13.063;25-Aug-2023")</f>
        <v>148985;INF179KC1BH8;INF179KC1BI6;HDFC Banking &amp; Financial Services Fund - IDCW Option - Direct Plan;13.063;25-Aug-2023</v>
      </c>
      <c r="B6202" s="1"/>
    </row>
    <row r="6203">
      <c r="A6203" s="1" t="str">
        <f>IFERROR(__xludf.DUMMYFUNCTION("""COMPUTED_VALUE"""),"150803;INF179KC1EB5;-;HDFC Business Cycle Fund - Growth Option;11.081;25-Aug-2023")</f>
        <v>150803;INF179KC1EB5;-;HDFC Business Cycle Fund - Growth Option;11.081;25-Aug-2023</v>
      </c>
      <c r="B6203" s="1"/>
    </row>
    <row r="6204">
      <c r="A6204" s="1" t="str">
        <f>IFERROR(__xludf.DUMMYFUNCTION("""COMPUTED_VALUE"""),"150805;INF179KC1DY9;-;HDFC Business Cycle Fund - Growth Option - Direct Plan;11.2;25-Aug-2023")</f>
        <v>150805;INF179KC1DY9;-;HDFC Business Cycle Fund - Growth Option - Direct Plan;11.2;25-Aug-2023</v>
      </c>
      <c r="B6204" s="1"/>
    </row>
    <row r="6205">
      <c r="A6205" s="1" t="str">
        <f>IFERROR(__xludf.DUMMYFUNCTION("""COMPUTED_VALUE"""),"150806;INF179KC1EC3;INF179KC1ED1;HDFC Business Cycle Fund - IDCW Option;11.081;25-Aug-2023")</f>
        <v>150806;INF179KC1EC3;INF179KC1ED1;HDFC Business Cycle Fund - IDCW Option;11.081;25-Aug-2023</v>
      </c>
      <c r="B6205" s="1"/>
    </row>
    <row r="6206">
      <c r="A6206" s="1" t="str">
        <f>IFERROR(__xludf.DUMMYFUNCTION("""COMPUTED_VALUE"""),"150804;INF179KC1DZ6;INF179KC1EA7;HDFC Business Cycle Fund - IDCW Option - Direct Plan;11.2;25-Aug-2023")</f>
        <v>150804;INF179KC1DZ6;INF179KC1EA7;HDFC Business Cycle Fund - IDCW Option - Direct Plan;11.2;25-Aug-2023</v>
      </c>
      <c r="B6206" s="1"/>
    </row>
    <row r="6207">
      <c r="A6207" s="1" t="str">
        <f>IFERROR(__xludf.DUMMYFUNCTION("""COMPUTED_VALUE"""),"151751;INF179KC1GL9;-;HDFC Defence Fund - Growth Option;11.55;25-Aug-2023")</f>
        <v>151751;INF179KC1GL9;-;HDFC Defence Fund - Growth Option;11.55;25-Aug-2023</v>
      </c>
      <c r="B6207" s="1"/>
    </row>
    <row r="6208">
      <c r="A6208" s="1" t="str">
        <f>IFERROR(__xludf.DUMMYFUNCTION("""COMPUTED_VALUE"""),"151750;INF179KC1GI5;-;HDFC Defence Fund - Growth Option - Direct Plan;11.583;25-Aug-2023")</f>
        <v>151750;INF179KC1GI5;-;HDFC Defence Fund - Growth Option - Direct Plan;11.583;25-Aug-2023</v>
      </c>
      <c r="B6208" s="1"/>
    </row>
    <row r="6209">
      <c r="A6209" s="1" t="str">
        <f>IFERROR(__xludf.DUMMYFUNCTION("""COMPUTED_VALUE"""),"151748;INF179KC1GM7;INF179KC1GN5;HDFC Defence Fund - IDCW Option;11.55;25-Aug-2023")</f>
        <v>151748;INF179KC1GM7;INF179KC1GN5;HDFC Defence Fund - IDCW Option;11.55;25-Aug-2023</v>
      </c>
      <c r="B6209" s="1"/>
    </row>
    <row r="6210">
      <c r="A6210" s="1" t="str">
        <f>IFERROR(__xludf.DUMMYFUNCTION("""COMPUTED_VALUE"""),"151749;INF179KC1GJ3;INF179KC1GK1;HDFC Defence Fund - IDCW Option - Direct Plan;11.583;25-Aug-2023")</f>
        <v>151749;INF179KC1GJ3;INF179KC1GK1;HDFC Defence Fund - IDCW Option - Direct Plan;11.583;25-Aug-2023</v>
      </c>
      <c r="B6210" s="1"/>
    </row>
    <row r="6211">
      <c r="A6211" s="1" t="str">
        <f>IFERROR(__xludf.DUMMYFUNCTION("""COMPUTED_VALUE"""),"141923;INF179KC1AX7;-;HDFC Housing Opportunities Fund  - Growth Option;15.87;25-Aug-2023")</f>
        <v>141923;INF179KC1AX7;-;HDFC Housing Opportunities Fund  - Growth Option;15.87;25-Aug-2023</v>
      </c>
      <c r="B6211" s="1"/>
    </row>
    <row r="6212">
      <c r="A6212" s="1" t="str">
        <f>IFERROR(__xludf.DUMMYFUNCTION("""COMPUTED_VALUE"""),"141924;INF179KC1AU3;-;HDFC Housing Opportunities Fund  - Growth Option - Direct Plan;16.836;25-Aug-2023")</f>
        <v>141924;INF179KC1AU3;-;HDFC Housing Opportunities Fund  - Growth Option - Direct Plan;16.836;25-Aug-2023</v>
      </c>
      <c r="B6212" s="1"/>
    </row>
    <row r="6213">
      <c r="A6213" s="1" t="str">
        <f>IFERROR(__xludf.DUMMYFUNCTION("""COMPUTED_VALUE"""),"141922;INF179KC1AY5;INF179KC1AZ2;HDFC Housing Opportunities Fund  - IDCW Option;13.346;25-Aug-2023")</f>
        <v>141922;INF179KC1AY5;INF179KC1AZ2;HDFC Housing Opportunities Fund  - IDCW Option;13.346;25-Aug-2023</v>
      </c>
      <c r="B6213" s="1"/>
    </row>
    <row r="6214">
      <c r="A6214" s="1" t="str">
        <f>IFERROR(__xludf.DUMMYFUNCTION("""COMPUTED_VALUE"""),"141921;INF179KC1AV1;INF179KC1AW9;HDFC Housing Opportunities Fund  - IDCW Option - Direct Plan;14.294;25-Aug-2023")</f>
        <v>141921;INF179KC1AV1;INF179KC1AW9;HDFC Housing Opportunities Fund  - IDCW Option - Direct Plan;14.294;25-Aug-2023</v>
      </c>
      <c r="B6214" s="1"/>
    </row>
    <row r="6215">
      <c r="A6215" s="1" t="str">
        <f>IFERROR(__xludf.DUMMYFUNCTION("""COMPUTED_VALUE"""),"118979;INF179K01WQ2;-;HDFC Infrastructure Fund - Growth Option - Direct Plan;33.346;25-Aug-2023")</f>
        <v>118979;INF179K01WQ2;-;HDFC Infrastructure Fund - Growth Option - Direct Plan;33.346;25-Aug-2023</v>
      </c>
      <c r="B6215" s="1"/>
    </row>
    <row r="6216">
      <c r="A6216" s="1" t="str">
        <f>IFERROR(__xludf.DUMMYFUNCTION("""COMPUTED_VALUE"""),"107524;INF179K01GF8;-;HDFC Infrastructure Fund - Growth Plan;30.699;25-Aug-2023")</f>
        <v>107524;INF179K01GF8;-;HDFC Infrastructure Fund - Growth Plan;30.699;25-Aug-2023</v>
      </c>
      <c r="B6216" s="1"/>
    </row>
    <row r="6217">
      <c r="A6217" s="1" t="str">
        <f>IFERROR(__xludf.DUMMYFUNCTION("""COMPUTED_VALUE"""),"118978;INF179K01WP4;INF179K01WR0;HDFC Infrastructure Fund - IDCW Option - Direct Plan;22.623;25-Aug-2023")</f>
        <v>118978;INF179K01WP4;INF179K01WR0;HDFC Infrastructure Fund - IDCW Option - Direct Plan;22.623;25-Aug-2023</v>
      </c>
      <c r="B6217" s="1"/>
    </row>
    <row r="6218">
      <c r="A6218" s="1" t="str">
        <f>IFERROR(__xludf.DUMMYFUNCTION("""COMPUTED_VALUE"""),"107525;INF179K01GE1;INF179K01GG6;HDFC Infrastructure Fund - IDCW Plan;15.392;25-Aug-2023")</f>
        <v>107525;INF179K01GE1;INF179K01GG6;HDFC Infrastructure Fund - IDCW Plan;15.392;25-Aug-2023</v>
      </c>
      <c r="B6218" s="1"/>
    </row>
    <row r="6219">
      <c r="A6219" s="1" t="str">
        <f>IFERROR(__xludf.DUMMYFUNCTION("""COMPUTED_VALUE"""),"151457;INF179KC1FF3;-;HDFC MNC Fund - Growth Option;11.431;25-Aug-2023")</f>
        <v>151457;INF179KC1FF3;-;HDFC MNC Fund - Growth Option;11.431;25-Aug-2023</v>
      </c>
      <c r="B6219" s="1"/>
    </row>
    <row r="6220">
      <c r="A6220" s="1" t="str">
        <f>IFERROR(__xludf.DUMMYFUNCTION("""COMPUTED_VALUE"""),"151458;INF179KC1FC0;-;HDFC MNC Fund - Growth Option - Direct Plan;11.494;25-Aug-2023")</f>
        <v>151458;INF179KC1FC0;-;HDFC MNC Fund - Growth Option - Direct Plan;11.494;25-Aug-2023</v>
      </c>
      <c r="B6220" s="1"/>
    </row>
    <row r="6221">
      <c r="A6221" s="1" t="str">
        <f>IFERROR(__xludf.DUMMYFUNCTION("""COMPUTED_VALUE"""),"151459;INF179KC1FG1;INF179KC1FH9;HDFC MNC Fund - IDCW Option;11.431;25-Aug-2023")</f>
        <v>151459;INF179KC1FG1;INF179KC1FH9;HDFC MNC Fund - IDCW Option;11.431;25-Aug-2023</v>
      </c>
      <c r="B6221" s="1"/>
    </row>
    <row r="6222">
      <c r="A6222" s="1" t="str">
        <f>IFERROR(__xludf.DUMMYFUNCTION("""COMPUTED_VALUE"""),"151460;INF179KC1FD8;INF179KC1FE6;HDFC MNC Fund - IDCW Option - Direct Plan;11.494;25-Aug-2023")</f>
        <v>151460;INF179KC1FD8;INF179KC1FE6;HDFC MNC Fund - IDCW Option - Direct Plan;11.494;25-Aug-2023</v>
      </c>
      <c r="B6222" s="1"/>
    </row>
    <row r="6223">
      <c r="A6223" s="1" t="str">
        <f>IFERROR(__xludf.DUMMYFUNCTION("""COMPUTED_VALUE"""),"151803;INF179KC1GR6;-;HDFC Non-Cyclical Consumer Fund - Growth Option;10.088;25-Aug-2023")</f>
        <v>151803;INF179KC1GR6;-;HDFC Non-Cyclical Consumer Fund - Growth Option;10.088;25-Aug-2023</v>
      </c>
      <c r="B6223" s="1"/>
    </row>
    <row r="6224">
      <c r="A6224" s="1" t="str">
        <f>IFERROR(__xludf.DUMMYFUNCTION("""COMPUTED_VALUE"""),"151804;INF179KC1GO3;-;HDFC Non-Cyclical Consumer Fund - Growth Option - Direct Plan;10.103;25-Aug-2023")</f>
        <v>151804;INF179KC1GO3;-;HDFC Non-Cyclical Consumer Fund - Growth Option - Direct Plan;10.103;25-Aug-2023</v>
      </c>
      <c r="B6224" s="1"/>
    </row>
    <row r="6225">
      <c r="A6225" s="1" t="str">
        <f>IFERROR(__xludf.DUMMYFUNCTION("""COMPUTED_VALUE"""),"151802;INF179KC1GS4;INF179KC1GT2;HDFC Non-Cyclical Consumer Fund - IDCW Option;10.088;25-Aug-2023")</f>
        <v>151802;INF179KC1GS4;INF179KC1GT2;HDFC Non-Cyclical Consumer Fund - IDCW Option;10.088;25-Aug-2023</v>
      </c>
      <c r="B6225" s="1"/>
    </row>
    <row r="6226">
      <c r="A6226" s="1" t="str">
        <f>IFERROR(__xludf.DUMMYFUNCTION("""COMPUTED_VALUE"""),"151805;INF179KC1GP0;INF179KC1GQ8;HDFC Non-Cyclical Consumer Fund - IDCW Option - Direct Plan;10.103;25-Aug-2023")</f>
        <v>151805;INF179KC1GP0;INF179KC1GQ8;HDFC Non-Cyclical Consumer Fund - IDCW Option - Direct Plan;10.103;25-Aug-2023</v>
      </c>
      <c r="B6226" s="1"/>
    </row>
    <row r="6227">
      <c r="A6227" s="1" t="str">
        <f>IFERROR(__xludf.DUMMYFUNCTION("""COMPUTED_VALUE"""),"151900;INF179KC1GX4;-;HDFC Transportation and Logistics Fund - Growth Option;10.002;25-Aug-2023")</f>
        <v>151900;INF179KC1GX4;-;HDFC Transportation and Logistics Fund - Growth Option;10.002;25-Aug-2023</v>
      </c>
      <c r="B6227" s="1"/>
    </row>
    <row r="6228">
      <c r="A6228" s="1" t="str">
        <f>IFERROR(__xludf.DUMMYFUNCTION("""COMPUTED_VALUE"""),"151901;INF179KC1GU0;-;HDFC Transportation and Logistics Fund - Growth Option - Direct Plan;10.004;25-Aug-2023")</f>
        <v>151901;INF179KC1GU0;-;HDFC Transportation and Logistics Fund - Growth Option - Direct Plan;10.004;25-Aug-2023</v>
      </c>
      <c r="B6228" s="1"/>
    </row>
    <row r="6229">
      <c r="A6229" s="1" t="str">
        <f>IFERROR(__xludf.DUMMYFUNCTION("""COMPUTED_VALUE"""),"151902;INF179KC1GY2;INF179KC1GZ9;HDFC Transportation and Logistics Fund - IDCW Option;10.002;25-Aug-2023")</f>
        <v>151902;INF179KC1GY2;INF179KC1GZ9;HDFC Transportation and Logistics Fund - IDCW Option;10.002;25-Aug-2023</v>
      </c>
      <c r="B6229" s="1"/>
    </row>
    <row r="6230">
      <c r="A6230" s="1" t="str">
        <f>IFERROR(__xludf.DUMMYFUNCTION("""COMPUTED_VALUE"""),"151899;INF179KC1GV8;INF179KC1GW6;HDFC Transportation and Logistics Fund - IDCW Option - Direct Plan;10.004;25-Aug-2023")</f>
        <v>151899;INF179KC1GV8;INF179KC1GW6;HDFC Transportation and Logistics Fund - IDCW Option - Direct Plan;10.004;25-Aug-2023</v>
      </c>
      <c r="B6230" s="1"/>
    </row>
    <row r="6231">
      <c r="A6231" s="1"/>
      <c r="B6231" s="1"/>
    </row>
    <row r="6232">
      <c r="A6232" s="1" t="str">
        <f>IFERROR(__xludf.DUMMYFUNCTION("""COMPUTED_VALUE"""),"HSBC Mutual Fund")</f>
        <v>HSBC Mutual Fund</v>
      </c>
      <c r="B6232" s="1"/>
    </row>
    <row r="6233">
      <c r="A6233" s="1"/>
      <c r="B6233" s="1"/>
    </row>
    <row r="6234">
      <c r="A6234" s="1" t="str">
        <f>IFERROR(__xludf.DUMMYFUNCTION("""COMPUTED_VALUE"""),"151142;INF917K01RI2;-;HSBC Business Cycles Fund - Direct Growth;30.1804;25-Aug-2023")</f>
        <v>151142;INF917K01RI2;-;HSBC Business Cycles Fund - Direct Growth;30.1804;25-Aug-2023</v>
      </c>
      <c r="B6234" s="1"/>
    </row>
    <row r="6235">
      <c r="A6235" s="1" t="str">
        <f>IFERROR(__xludf.DUMMYFUNCTION("""COMPUTED_VALUE"""),"151145;INF917K01RK8;INF917K01RJ0;HSBC Business Cycles Fund - Direct IDCW;21.7422;25-Aug-2023")</f>
        <v>151145;INF917K01RK8;INF917K01RJ0;HSBC Business Cycles Fund - Direct IDCW;21.7422;25-Aug-2023</v>
      </c>
      <c r="B6235" s="1"/>
    </row>
    <row r="6236">
      <c r="A6236" s="1" t="str">
        <f>IFERROR(__xludf.DUMMYFUNCTION("""COMPUTED_VALUE"""),"151144;INF917K01RF8;-;HSBC Business Cycles Fund - Regular Growth;27.9935;25-Aug-2023")</f>
        <v>151144;INF917K01RF8;-;HSBC Business Cycles Fund - Regular Growth;27.9935;25-Aug-2023</v>
      </c>
      <c r="B6236" s="1"/>
    </row>
    <row r="6237">
      <c r="A6237" s="1" t="str">
        <f>IFERROR(__xludf.DUMMYFUNCTION("""COMPUTED_VALUE"""),"151143;INF917K01RH4;INF917K01RG6;HSBC Business Cycles Fund - Regular IDCW;20.5047;25-Aug-2023")</f>
        <v>151143;INF917K01RH4;INF917K01RG6;HSBC Business Cycles Fund - Regular IDCW;20.5047;25-Aug-2023</v>
      </c>
      <c r="B6237" s="1"/>
    </row>
    <row r="6238">
      <c r="A6238" s="1" t="str">
        <f>IFERROR(__xludf.DUMMYFUNCTION("""COMPUTED_VALUE"""),"151040;INF917K01FW8;-;HSBC Infrastructure Fund - Direct Growth;35.3982;25-Aug-2023")</f>
        <v>151040;INF917K01FW8;-;HSBC Infrastructure Fund - Direct Growth;35.3982;25-Aug-2023</v>
      </c>
      <c r="B6238" s="1"/>
    </row>
    <row r="6239">
      <c r="A6239" s="1" t="str">
        <f>IFERROR(__xludf.DUMMYFUNCTION("""COMPUTED_VALUE"""),"151039;INF917K01E52;INF917K01FU2;HSBC Infrastructure Fund - Direct IDCW;32.4804;25-Aug-2023")</f>
        <v>151039;INF917K01E52;INF917K01FU2;HSBC Infrastructure Fund - Direct IDCW;32.4804;25-Aug-2023</v>
      </c>
      <c r="B6239" s="1"/>
    </row>
    <row r="6240">
      <c r="A6240" s="1" t="str">
        <f>IFERROR(__xludf.DUMMYFUNCTION("""COMPUTED_VALUE"""),"151037;INF917K01536;-;HSBC Infrastructure Fund - Regular Growth;32.1107;25-Aug-2023")</f>
        <v>151037;INF917K01536;-;HSBC Infrastructure Fund - Regular Growth;32.1107;25-Aug-2023</v>
      </c>
      <c r="B6240" s="1"/>
    </row>
    <row r="6241">
      <c r="A6241" s="1" t="str">
        <f>IFERROR(__xludf.DUMMYFUNCTION("""COMPUTED_VALUE"""),"151038;INF917K01544;INF917K01551;HSBC Infrastructure Fund - Regular IDCW;29.5478;25-Aug-2023")</f>
        <v>151038;INF917K01544;INF917K01551;HSBC Infrastructure Fund - Regular IDCW;29.5478;25-Aug-2023</v>
      </c>
      <c r="B6241" s="1"/>
    </row>
    <row r="6242">
      <c r="A6242" s="1"/>
      <c r="B6242" s="1"/>
    </row>
    <row r="6243">
      <c r="A6243" s="1" t="str">
        <f>IFERROR(__xludf.DUMMYFUNCTION("""COMPUTED_VALUE"""),"ICICI Prudential Mutual Fund")</f>
        <v>ICICI Prudential Mutual Fund</v>
      </c>
      <c r="B6243" s="1"/>
    </row>
    <row r="6244">
      <c r="A6244" s="1"/>
      <c r="B6244" s="1"/>
    </row>
    <row r="6245">
      <c r="A6245" s="1" t="str">
        <f>IFERROR(__xludf.DUMMYFUNCTION("""COMPUTED_VALUE"""),"109445;INF109K01BU5;-;ICICI Prudential Banking and Financial Services Fund -  Growth;97.94;25-Aug-2023")</f>
        <v>109445;INF109K01BU5;-;ICICI Prudential Banking and Financial Services Fund -  Growth;97.94;25-Aug-2023</v>
      </c>
      <c r="B6245" s="1"/>
    </row>
    <row r="6246">
      <c r="A6246" s="1" t="str">
        <f>IFERROR(__xludf.DUMMYFUNCTION("""COMPUTED_VALUE"""),"109446;INF109K01DY3;INF109K01BV3;ICICI Prudential Banking and Financial Services Fund -  IDCW;32.69;25-Aug-2023")</f>
        <v>109446;INF109K01DY3;INF109K01BV3;ICICI Prudential Banking and Financial Services Fund -  IDCW;32.69;25-Aug-2023</v>
      </c>
      <c r="B6246" s="1"/>
    </row>
    <row r="6247">
      <c r="A6247" s="1" t="str">
        <f>IFERROR(__xludf.DUMMYFUNCTION("""COMPUTED_VALUE"""),"120244;INF109K013J1;-;ICICI Prudential Banking and Financial Services Fund - Direct Plan -  Growth;108.61;25-Aug-2023")</f>
        <v>120244;INF109K013J1;-;ICICI Prudential Banking and Financial Services Fund - Direct Plan -  Growth;108.61;25-Aug-2023</v>
      </c>
      <c r="B6247" s="1"/>
    </row>
    <row r="6248">
      <c r="A6248" s="1" t="str">
        <f>IFERROR(__xludf.DUMMYFUNCTION("""COMPUTED_VALUE"""),"120245;INF109K011J5;INF109K012J3;ICICI Prudential Banking and Financial Services Fund - Direct Plan -  IDCW;63.74;25-Aug-2023")</f>
        <v>120245;INF109K011J5;INF109K012J3;ICICI Prudential Banking and Financial Services Fund - Direct Plan -  IDCW;63.74;25-Aug-2023</v>
      </c>
      <c r="B6248" s="1"/>
    </row>
    <row r="6249">
      <c r="A6249" s="1" t="str">
        <f>IFERROR(__xludf.DUMMYFUNCTION("""COMPUTED_VALUE"""),"146951;INF109KC1YD4;-;ICICI Prudential Bharat Consumption Fund - Direct Plan - Growth Option;19.45;25-Aug-2023")</f>
        <v>146951;INF109KC1YD4;-;ICICI Prudential Bharat Consumption Fund - Direct Plan - Growth Option;19.45;25-Aug-2023</v>
      </c>
      <c r="B6249" s="1"/>
    </row>
    <row r="6250">
      <c r="A6250" s="1" t="str">
        <f>IFERROR(__xludf.DUMMYFUNCTION("""COMPUTED_VALUE"""),"146949;INF109KC1YF9;-;ICICI Prudential Bharat Consumption Fund - Direct Plan - IDCW Option;16.33;25-Aug-2023")</f>
        <v>146949;INF109KC1YF9;-;ICICI Prudential Bharat Consumption Fund - Direct Plan - IDCW Option;16.33;25-Aug-2023</v>
      </c>
      <c r="B6250" s="1"/>
    </row>
    <row r="6251">
      <c r="A6251" s="1" t="str">
        <f>IFERROR(__xludf.DUMMYFUNCTION("""COMPUTED_VALUE"""),"146950;INF109KC1YA0;-;ICICI Prudential Bharat Consumption Fund - Growth Option;18.41;25-Aug-2023")</f>
        <v>146950;INF109KC1YA0;-;ICICI Prudential Bharat Consumption Fund - Growth Option;18.41;25-Aug-2023</v>
      </c>
      <c r="B6251" s="1"/>
    </row>
    <row r="6252">
      <c r="A6252" s="1" t="str">
        <f>IFERROR(__xludf.DUMMYFUNCTION("""COMPUTED_VALUE"""),"146952;INF109KC1YC6;-;ICICI Prudential Bharat Consumption Fund - IDCW Option;15.34;25-Aug-2023")</f>
        <v>146952;INF109KC1YC6;-;ICICI Prudential Bharat Consumption Fund - IDCW Option;15.34;25-Aug-2023</v>
      </c>
      <c r="B6252" s="1"/>
    </row>
    <row r="6253">
      <c r="A6253" s="1" t="str">
        <f>IFERROR(__xludf.DUMMYFUNCTION("""COMPUTED_VALUE"""),"148651;INF109KC1P24;-;ICICI Prudential Business Cycle Fund Direct Plan Growth;16.38;25-Aug-2023")</f>
        <v>148651;INF109KC1P24;-;ICICI Prudential Business Cycle Fund Direct Plan Growth;16.38;25-Aug-2023</v>
      </c>
      <c r="B6253" s="1"/>
    </row>
    <row r="6254">
      <c r="A6254" s="1" t="str">
        <f>IFERROR(__xludf.DUMMYFUNCTION("""COMPUTED_VALUE"""),"148652;INF109KC1P40;INF109KC1P32;ICICI Prudential Business Cycle Fund Direct Plan IDCW;16.38;25-Aug-2023")</f>
        <v>148652;INF109KC1P40;INF109KC1P32;ICICI Prudential Business Cycle Fund Direct Plan IDCW;16.38;25-Aug-2023</v>
      </c>
      <c r="B6254" s="1"/>
    </row>
    <row r="6255">
      <c r="A6255" s="1" t="str">
        <f>IFERROR(__xludf.DUMMYFUNCTION("""COMPUTED_VALUE"""),"148653;INF109KC1O90;-;ICICI Prudential Business Cycle Fund Growth;15.81;25-Aug-2023")</f>
        <v>148653;INF109KC1O90;-;ICICI Prudential Business Cycle Fund Growth;15.81;25-Aug-2023</v>
      </c>
      <c r="B6255" s="1"/>
    </row>
    <row r="6256">
      <c r="A6256" s="1" t="str">
        <f>IFERROR(__xludf.DUMMYFUNCTION("""COMPUTED_VALUE"""),"148654;INF109KC1P16;INF109KC1P08;ICICI Prudential Business Cycle Fund IDCW;15.81;25-Aug-2023")</f>
        <v>148654;INF109KC1P16;INF109KC1P08;ICICI Prudential Business Cycle Fund IDCW;15.81;25-Aug-2023</v>
      </c>
      <c r="B6256" s="1"/>
    </row>
    <row r="6257">
      <c r="A6257" s="1" t="str">
        <f>IFERROR(__xludf.DUMMYFUNCTION("""COMPUTED_VALUE"""),"147662;INF109KC1F91;-;ICICI Prudential Commodities Fund - Direct Plan - Growth Option;31.62;25-Aug-2023")</f>
        <v>147662;INF109KC1F91;-;ICICI Prudential Commodities Fund - Direct Plan - Growth Option;31.62;25-Aug-2023</v>
      </c>
      <c r="B6257" s="1"/>
    </row>
    <row r="6258">
      <c r="A6258" s="1" t="str">
        <f>IFERROR(__xludf.DUMMYFUNCTION("""COMPUTED_VALUE"""),"147664;INF109KC1G09;-;ICICI Prudential Commodities Fund - Direct Plan - IDCW Option;26.53;25-Aug-2023")</f>
        <v>147664;INF109KC1G09;-;ICICI Prudential Commodities Fund - Direct Plan - IDCW Option;26.53;25-Aug-2023</v>
      </c>
      <c r="B6258" s="1"/>
    </row>
    <row r="6259">
      <c r="A6259" s="1" t="str">
        <f>IFERROR(__xludf.DUMMYFUNCTION("""COMPUTED_VALUE"""),"147661;INF109KC1F67;-;ICICI Prudential Commodities Fund - Growth Option;29.88;25-Aug-2023")</f>
        <v>147661;INF109KC1F67;-;ICICI Prudential Commodities Fund - Growth Option;29.88;25-Aug-2023</v>
      </c>
      <c r="B6259" s="1"/>
    </row>
    <row r="6260">
      <c r="A6260" s="1" t="str">
        <f>IFERROR(__xludf.DUMMYFUNCTION("""COMPUTED_VALUE"""),"147663;INF109KC1F75;-;ICICI Prudential Commodities Fund - IDCW Option;24.85;25-Aug-2023")</f>
        <v>147663;INF109KC1F75;-;ICICI Prudential Commodities Fund - IDCW Option;24.85;25-Aug-2023</v>
      </c>
      <c r="B6260" s="1"/>
    </row>
    <row r="6261">
      <c r="A6261" s="1" t="str">
        <f>IFERROR(__xludf.DUMMYFUNCTION("""COMPUTED_VALUE"""),"148516;INF109KC1O09;-;ICICI Prudential ESG FUND - Direct Plan - Growth;15.82;25-Aug-2023")</f>
        <v>148516;INF109KC1O09;-;ICICI Prudential ESG FUND - Direct Plan - Growth;15.82;25-Aug-2023</v>
      </c>
      <c r="B6261" s="1"/>
    </row>
    <row r="6262">
      <c r="A6262" s="1" t="str">
        <f>IFERROR(__xludf.DUMMYFUNCTION("""COMPUTED_VALUE"""),"148515;INF109KC1O25;INF109KC1O17;ICICI Prudential ESG FUND - Direct Plan - IDCW;14.44;25-Aug-2023")</f>
        <v>148515;INF109KC1O25;INF109KC1O17;ICICI Prudential ESG FUND - Direct Plan - IDCW;14.44;25-Aug-2023</v>
      </c>
      <c r="B6262" s="1"/>
    </row>
    <row r="6263">
      <c r="A6263" s="1" t="str">
        <f>IFERROR(__xludf.DUMMYFUNCTION("""COMPUTED_VALUE"""),"148517;INF109KC1N75;-;ICICI Prudential ESG FUND - Growth;15.18;25-Aug-2023")</f>
        <v>148517;INF109KC1N75;-;ICICI Prudential ESG FUND - Growth;15.18;25-Aug-2023</v>
      </c>
      <c r="B6263" s="1"/>
    </row>
    <row r="6264">
      <c r="A6264" s="1" t="str">
        <f>IFERROR(__xludf.DUMMYFUNCTION("""COMPUTED_VALUE"""),"148514;INF109KC1N91;INF109KC1N83;ICICI Prudential ESG FUND - IDCW;13.82;25-Aug-2023")</f>
        <v>148514;INF109KC1N91;INF109KC1N83;ICICI Prudential ESG FUND - IDCW;13.82;25-Aug-2023</v>
      </c>
      <c r="B6264" s="1"/>
    </row>
    <row r="6265">
      <c r="A6265" s="1" t="str">
        <f>IFERROR(__xludf.DUMMYFUNCTION("""COMPUTED_VALUE"""),"120688;INF109K01W25;-;ICICI Prudential Exports &amp; Services Fund - Direct Plan - Growth;119.14;25-Aug-2023")</f>
        <v>120688;INF109K01W25;-;ICICI Prudential Exports &amp; Services Fund - Direct Plan - Growth;119.14;25-Aug-2023</v>
      </c>
      <c r="B6265" s="1"/>
    </row>
    <row r="6266">
      <c r="A6266" s="1" t="str">
        <f>IFERROR(__xludf.DUMMYFUNCTION("""COMPUTED_VALUE"""),"120687;INF109K01W09;INF109K01W17;ICICI Prudential Exports &amp; Services Fund - Direct Plan - IDCW;55.26;25-Aug-2023")</f>
        <v>120687;INF109K01W09;INF109K01W17;ICICI Prudential Exports &amp; Services Fund - Direct Plan - IDCW;55.26;25-Aug-2023</v>
      </c>
      <c r="B6266" s="1"/>
    </row>
    <row r="6267">
      <c r="A6267" s="1" t="str">
        <f>IFERROR(__xludf.DUMMYFUNCTION("""COMPUTED_VALUE"""),"103312;INF109K01BB5;-;ICICI Prudential Exports &amp; Services Fund - Growth;110.69;25-Aug-2023")</f>
        <v>103312;INF109K01BB5;-;ICICI Prudential Exports &amp; Services Fund - Growth;110.69;25-Aug-2023</v>
      </c>
      <c r="B6267" s="1"/>
    </row>
    <row r="6268">
      <c r="A6268" s="1" t="str">
        <f>IFERROR(__xludf.DUMMYFUNCTION("""COMPUTED_VALUE"""),"103313;INF109K01FL5;INF109K01BA7;ICICI Prudential Exports &amp; Services Fund - IDCW;29.58;25-Aug-2023")</f>
        <v>103313;INF109K01FL5;INF109K01BA7;ICICI Prudential Exports &amp; Services Fund - IDCW;29.58;25-Aug-2023</v>
      </c>
      <c r="B6268" s="1"/>
    </row>
    <row r="6269">
      <c r="A6269" s="1" t="str">
        <f>IFERROR(__xludf.DUMMYFUNCTION("""COMPUTED_VALUE"""),"120587;INF109K01Z14;-;ICICI Prudential FMCG Fund - Direct Plan -  Growth;479.30;25-Aug-2023")</f>
        <v>120587;INF109K01Z14;-;ICICI Prudential FMCG Fund - Direct Plan -  Growth;479.30;25-Aug-2023</v>
      </c>
      <c r="B6269" s="1"/>
    </row>
    <row r="6270">
      <c r="A6270" s="1" t="str">
        <f>IFERROR(__xludf.DUMMYFUNCTION("""COMPUTED_VALUE"""),"120588;INF109K01Y98;INF109K01Z06;ICICI Prudential FMCG Fund - Direct Plan -  IDCW;172.33;25-Aug-2023")</f>
        <v>120588;INF109K01Y98;INF109K01Z06;ICICI Prudential FMCG Fund - Direct Plan -  IDCW;172.33;25-Aug-2023</v>
      </c>
      <c r="B6270" s="1"/>
    </row>
    <row r="6271">
      <c r="A6271" s="1" t="str">
        <f>IFERROR(__xludf.DUMMYFUNCTION("""COMPUTED_VALUE"""),"100352;INF109K01415;-;ICICI Prudential FMCG Fund - Growth;442.00;25-Aug-2023")</f>
        <v>100352;INF109K01415;-;ICICI Prudential FMCG Fund - Growth;442.00;25-Aug-2023</v>
      </c>
      <c r="B6271" s="1"/>
    </row>
    <row r="6272">
      <c r="A6272" s="1" t="str">
        <f>IFERROR(__xludf.DUMMYFUNCTION("""COMPUTED_VALUE"""),"100351;INF109K01EO2;INF109K01423;ICICI Prudential FMCG Fund - IDCW;96.73;25-Aug-2023")</f>
        <v>100351;INF109K01EO2;INF109K01423;ICICI Prudential FMCG Fund - IDCW;96.73;25-Aug-2023</v>
      </c>
      <c r="B6272" s="1"/>
    </row>
    <row r="6273">
      <c r="A6273" s="1" t="str">
        <f>IFERROR(__xludf.DUMMYFUNCTION("""COMPUTED_VALUE"""),"150310;INF109KC10C2;-;ICICI PRUDENTIAL HOUSING OPPORTUNITIES FUND - Direct Plan Growth;12.41;25-Aug-2023")</f>
        <v>150310;INF109KC10C2;-;ICICI PRUDENTIAL HOUSING OPPORTUNITIES FUND - Direct Plan Growth;12.41;25-Aug-2023</v>
      </c>
      <c r="B6273" s="1"/>
    </row>
    <row r="6274">
      <c r="A6274" s="1" t="str">
        <f>IFERROR(__xludf.DUMMYFUNCTION("""COMPUTED_VALUE"""),"150311;INF109KC11C0;INF109KC12C8;ICICI PRUDENTIAL HOUSING OPPORTUNITIES FUND - Direct Plan IDCW;12.41;25-Aug-2023")</f>
        <v>150311;INF109KC11C0;INF109KC12C8;ICICI PRUDENTIAL HOUSING OPPORTUNITIES FUND - Direct Plan IDCW;12.41;25-Aug-2023</v>
      </c>
      <c r="B6274" s="1"/>
    </row>
    <row r="6275">
      <c r="A6275" s="1" t="str">
        <f>IFERROR(__xludf.DUMMYFUNCTION("""COMPUTED_VALUE"""),"150308;INF109KC17B9;-;ICICI PRUDENTIAL HOUSING OPPORTUNITIES FUND - Growth;12.15;25-Aug-2023")</f>
        <v>150308;INF109KC17B9;-;ICICI PRUDENTIAL HOUSING OPPORTUNITIES FUND - Growth;12.15;25-Aug-2023</v>
      </c>
      <c r="B6275" s="1"/>
    </row>
    <row r="6276">
      <c r="A6276" s="1" t="str">
        <f>IFERROR(__xludf.DUMMYFUNCTION("""COMPUTED_VALUE"""),"150309;INF109KC18B7;INF109KC19B5;ICICI PRUDENTIAL HOUSING OPPORTUNITIES FUND - IDCW;12.15;25-Aug-2023")</f>
        <v>150309;INF109KC18B7;INF109KC19B5;ICICI PRUDENTIAL HOUSING OPPORTUNITIES FUND - IDCW;12.15;25-Aug-2023</v>
      </c>
      <c r="B6276" s="1"/>
    </row>
    <row r="6277">
      <c r="A6277" s="1" t="str">
        <f>IFERROR(__xludf.DUMMYFUNCTION("""COMPUTED_VALUE"""),"145896;INF109KC1RE6;-;ICICI Prudential India Opportunities Fund - Cumulative Option;23.65;25-Aug-2023")</f>
        <v>145896;INF109KC1RE6;-;ICICI Prudential India Opportunities Fund - Cumulative Option;23.65;25-Aug-2023</v>
      </c>
      <c r="B6277" s="1"/>
    </row>
    <row r="6278">
      <c r="A6278" s="1" t="str">
        <f>IFERROR(__xludf.DUMMYFUNCTION("""COMPUTED_VALUE"""),"145897;INF109KC1RH9;-;ICICI Prudential India Opportunities Fund - Direct Plan - Cumulative Option;25.27;25-Aug-2023")</f>
        <v>145897;INF109KC1RH9;-;ICICI Prudential India Opportunities Fund - Direct Plan - Cumulative Option;25.27;25-Aug-2023</v>
      </c>
      <c r="B6278" s="1"/>
    </row>
    <row r="6279">
      <c r="A6279" s="1" t="str">
        <f>IFERROR(__xludf.DUMMYFUNCTION("""COMPUTED_VALUE"""),"145898;INF109KC1RI7;-;ICICI Prudential India Opportunities Fund - Direct Plan - IDCW Option;20.14;25-Aug-2023")</f>
        <v>145898;INF109KC1RI7;-;ICICI Prudential India Opportunities Fund - Direct Plan - IDCW Option;20.14;25-Aug-2023</v>
      </c>
      <c r="B6279" s="1"/>
    </row>
    <row r="6280">
      <c r="A6280" s="1" t="str">
        <f>IFERROR(__xludf.DUMMYFUNCTION("""COMPUTED_VALUE"""),"145899;INF109KC1RF3;-;ICICI Prudential India Opportunities Fund - IDCW Option;18.59;25-Aug-2023")</f>
        <v>145899;INF109KC1RF3;-;ICICI Prudential India Opportunities Fund - IDCW Option;18.59;25-Aug-2023</v>
      </c>
      <c r="B6280" s="1"/>
    </row>
    <row r="6281">
      <c r="A6281" s="1" t="str">
        <f>IFERROR(__xludf.DUMMYFUNCTION("""COMPUTED_VALUE"""),"120621;INF109K018M4;-;ICICI Prudential Infrastructure Fund - Direct Plan -  Growth;128.58;25-Aug-2023")</f>
        <v>120621;INF109K018M4;-;ICICI Prudential Infrastructure Fund - Direct Plan -  Growth;128.58;25-Aug-2023</v>
      </c>
      <c r="B6281" s="1"/>
    </row>
    <row r="6282">
      <c r="A6282" s="1" t="str">
        <f>IFERROR(__xludf.DUMMYFUNCTION("""COMPUTED_VALUE"""),"120622;INF109K016M8;INF109K017M6;ICICI Prudential Infrastructure Fund - Direct Plan -  IDCW;33.02;25-Aug-2023")</f>
        <v>120622;INF109K016M8;INF109K017M6;ICICI Prudential Infrastructure Fund - Direct Plan -  IDCW;33.02;25-Aug-2023</v>
      </c>
      <c r="B6282" s="1"/>
    </row>
    <row r="6283">
      <c r="A6283" s="1" t="str">
        <f>IFERROR(__xludf.DUMMYFUNCTION("""COMPUTED_VALUE"""),"103149;INF109K01AV5;-;ICICI Prudential Infrastructure Fund - Growth;120.14;25-Aug-2023")</f>
        <v>103149;INF109K01AV5;-;ICICI Prudential Infrastructure Fund - Growth;120.14;25-Aug-2023</v>
      </c>
      <c r="B6283" s="1"/>
    </row>
    <row r="6284">
      <c r="A6284" s="1" t="str">
        <f>IFERROR(__xludf.DUMMYFUNCTION("""COMPUTED_VALUE"""),"103150;INF109K01FB6;INF109K01AT9;ICICI Prudential Infrastructure Fund - IDCW;21.88;25-Aug-2023")</f>
        <v>103150;INF109K01FB6;INF109K01AT9;ICICI Prudential Infrastructure Fund - IDCW;21.88;25-Aug-2023</v>
      </c>
      <c r="B6284" s="1"/>
    </row>
    <row r="6285">
      <c r="A6285" s="1" t="str">
        <f>IFERROR(__xludf.DUMMYFUNCTION("""COMPUTED_VALUE"""),"151580;INF109KC12T2;-;ICICI Prudential Innovation Fund - Direct Plan - Growth;11.59;25-Aug-2023")</f>
        <v>151580;INF109KC12T2;-;ICICI Prudential Innovation Fund - Direct Plan - Growth;11.59;25-Aug-2023</v>
      </c>
      <c r="B6285" s="1"/>
    </row>
    <row r="6286">
      <c r="A6286" s="1" t="str">
        <f>IFERROR(__xludf.DUMMYFUNCTION("""COMPUTED_VALUE"""),"151578;INF109KC13T0;INF109KC14T8;ICICI Prudential Innovation Fund - Direct Plan - IDCW;11.59;25-Aug-2023")</f>
        <v>151578;INF109KC13T0;INF109KC14T8;ICICI Prudential Innovation Fund - Direct Plan - IDCW;11.59;25-Aug-2023</v>
      </c>
      <c r="B6286" s="1"/>
    </row>
    <row r="6287">
      <c r="A6287" s="1" t="str">
        <f>IFERROR(__xludf.DUMMYFUNCTION("""COMPUTED_VALUE"""),"151579;INF109KC19S9;-;ICICI Prudential Innovation Fund - Growth;11.54;25-Aug-2023")</f>
        <v>151579;INF109KC19S9;-;ICICI Prudential Innovation Fund - Growth;11.54;25-Aug-2023</v>
      </c>
      <c r="B6287" s="1"/>
    </row>
    <row r="6288">
      <c r="A6288" s="1" t="str">
        <f>IFERROR(__xludf.DUMMYFUNCTION("""COMPUTED_VALUE"""),"151581;INF109KC10T6;INF109KC11T4;ICICI Prudential Innovation Fund - IDCW;11.54;25-Aug-2023")</f>
        <v>151581;INF109KC10T6;INF109KC11T4;ICICI Prudential Innovation Fund - IDCW;11.54;25-Aug-2023</v>
      </c>
      <c r="B6288" s="1"/>
    </row>
    <row r="6289">
      <c r="A6289" s="1" t="str">
        <f>IFERROR(__xludf.DUMMYFUNCTION("""COMPUTED_VALUE"""),"145077;INF109KC1LG4;-;ICICI Prudential Manufacturing Fund - Cumulative Option;22.10;25-Aug-2023")</f>
        <v>145077;INF109KC1LG4;-;ICICI Prudential Manufacturing Fund - Cumulative Option;22.10;25-Aug-2023</v>
      </c>
      <c r="B6289" s="1"/>
    </row>
    <row r="6290">
      <c r="A6290" s="1" t="str">
        <f>IFERROR(__xludf.DUMMYFUNCTION("""COMPUTED_VALUE"""),"145075;INF109KC1LJ8;-;ICICI Prudential Manufacturing Fund - Direct Plan - Cumulative Option;23.30;25-Aug-2023")</f>
        <v>145075;INF109KC1LJ8;-;ICICI Prudential Manufacturing Fund - Direct Plan - Cumulative Option;23.30;25-Aug-2023</v>
      </c>
      <c r="B6290" s="1"/>
    </row>
    <row r="6291">
      <c r="A6291" s="1" t="str">
        <f>IFERROR(__xludf.DUMMYFUNCTION("""COMPUTED_VALUE"""),"145076;INF109KC1LK6;-;ICICI Prudential Manufacturing Fund - Direct Plan - IDCW Option;18.02;25-Aug-2023")</f>
        <v>145076;INF109KC1LK6;-;ICICI Prudential Manufacturing Fund - Direct Plan - IDCW Option;18.02;25-Aug-2023</v>
      </c>
      <c r="B6291" s="1"/>
    </row>
    <row r="6292">
      <c r="A6292" s="1" t="str">
        <f>IFERROR(__xludf.DUMMYFUNCTION("""COMPUTED_VALUE"""),"145078;INF109KC1LH2;-;ICICI Prudential Manufacturing Fund - IDCW Option;16.87;25-Aug-2023")</f>
        <v>145078;INF109KC1LH2;-;ICICI Prudential Manufacturing Fund - IDCW Option;16.87;25-Aug-2023</v>
      </c>
      <c r="B6292" s="1"/>
    </row>
    <row r="6293">
      <c r="A6293" s="1" t="str">
        <f>IFERROR(__xludf.DUMMYFUNCTION("""COMPUTED_VALUE"""),"147346;INF109KC1D93;-;ICICI Prudential MNC Fund - Direct Plan - Growth Option;23.56;25-Aug-2023")</f>
        <v>147346;INF109KC1D93;-;ICICI Prudential MNC Fund - Direct Plan - Growth Option;23.56;25-Aug-2023</v>
      </c>
      <c r="B6293" s="1"/>
    </row>
    <row r="6294">
      <c r="A6294" s="1" t="str">
        <f>IFERROR(__xludf.DUMMYFUNCTION("""COMPUTED_VALUE"""),"147347;INF109KC1E01;-;ICICI Prudential MNC Fund - Direct Plan - IDCW Option;18.39;25-Aug-2023")</f>
        <v>147347;INF109KC1E01;-;ICICI Prudential MNC Fund - Direct Plan - IDCW Option;18.39;25-Aug-2023</v>
      </c>
      <c r="B6294" s="1"/>
    </row>
    <row r="6295">
      <c r="A6295" s="1" t="str">
        <f>IFERROR(__xludf.DUMMYFUNCTION("""COMPUTED_VALUE"""),"147345;INF109KC1D69;-;ICICI Prudential MNC Fund - Growth Option;22.22;25-Aug-2023")</f>
        <v>147345;INF109KC1D69;-;ICICI Prudential MNC Fund - Growth Option;22.22;25-Aug-2023</v>
      </c>
      <c r="B6295" s="1"/>
    </row>
    <row r="6296">
      <c r="A6296" s="1" t="str">
        <f>IFERROR(__xludf.DUMMYFUNCTION("""COMPUTED_VALUE"""),"147348;INF109KC1D77;-;ICICI Prudential MNC Fund - IDCW Option;17.15;25-Aug-2023")</f>
        <v>147348;INF109KC1D77;-;ICICI Prudential MNC Fund - IDCW Option;17.15;25-Aug-2023</v>
      </c>
      <c r="B6296" s="1"/>
    </row>
    <row r="6297">
      <c r="A6297" s="1" t="str">
        <f>IFERROR(__xludf.DUMMYFUNCTION("""COMPUTED_VALUE"""),"143873;INF109KC1GE9;-;ICICI Prudential Pharma Healthcare and Diagnostics (P.H.D) Fund - Cumulative Option;23.60;25-Aug-2023")</f>
        <v>143873;INF109KC1GE9;-;ICICI Prudential Pharma Healthcare and Diagnostics (P.H.D) Fund - Cumulative Option;23.60;25-Aug-2023</v>
      </c>
      <c r="B6297" s="1"/>
    </row>
    <row r="6298">
      <c r="A6298" s="1" t="str">
        <f>IFERROR(__xludf.DUMMYFUNCTION("""COMPUTED_VALUE"""),"143874;INF109KC1GH2;-;ICICI Prudential Pharma Healthcare and Diagnostics (P.H.D) Fund - Direct Plan - Cumulative Option;25.02;25-Aug-2023")</f>
        <v>143874;INF109KC1GH2;-;ICICI Prudential Pharma Healthcare and Diagnostics (P.H.D) Fund - Direct Plan - Cumulative Option;25.02;25-Aug-2023</v>
      </c>
      <c r="B6298" s="1"/>
    </row>
    <row r="6299">
      <c r="A6299" s="1" t="str">
        <f>IFERROR(__xludf.DUMMYFUNCTION("""COMPUTED_VALUE"""),"143876;INF109KC1GJ8;-;ICICI Prudential Pharma Healthcare and Diagnostics (P.H.D) Fund - Direct Plan - IDCW Option;17.62;25-Aug-2023")</f>
        <v>143876;INF109KC1GJ8;-;ICICI Prudential Pharma Healthcare and Diagnostics (P.H.D) Fund - Direct Plan - IDCW Option;17.62;25-Aug-2023</v>
      </c>
      <c r="B6299" s="1"/>
    </row>
    <row r="6300">
      <c r="A6300" s="1" t="str">
        <f>IFERROR(__xludf.DUMMYFUNCTION("""COMPUTED_VALUE"""),"143875;INF109KC1GG4;-;ICICI Prudential Pharma Healthcare and Diagnostics (P.H.D) Fund - IDCW Option;16.31;25-Aug-2023")</f>
        <v>143875;INF109KC1GG4;-;ICICI Prudential Pharma Healthcare and Diagnostics (P.H.D) Fund - IDCW Option;16.31;25-Aug-2023</v>
      </c>
      <c r="B6300" s="1"/>
    </row>
    <row r="6301">
      <c r="A6301" s="1" t="str">
        <f>IFERROR(__xludf.DUMMYFUNCTION("""COMPUTED_VALUE"""),"150539;-;INF109KC12I5;ICICI Prudential PSU Equity Fund - Direct Plan - Growth;12.21;25-Aug-2023")</f>
        <v>150539;-;INF109KC12I5;ICICI Prudential PSU Equity Fund - Direct Plan - Growth;12.21;25-Aug-2023</v>
      </c>
      <c r="B6301" s="1"/>
    </row>
    <row r="6302">
      <c r="A6302" s="1" t="str">
        <f>IFERROR(__xludf.DUMMYFUNCTION("""COMPUTED_VALUE"""),"150541;INF109KC13I3;INF109KC14I1;ICICI Prudential PSU Equity Fund - Direct Plan - IDCW;12.20;25-Aug-2023")</f>
        <v>150541;INF109KC13I3;INF109KC14I1;ICICI Prudential PSU Equity Fund - Direct Plan - IDCW;12.20;25-Aug-2023</v>
      </c>
      <c r="B6302" s="1"/>
    </row>
    <row r="6303">
      <c r="A6303" s="1" t="str">
        <f>IFERROR(__xludf.DUMMYFUNCTION("""COMPUTED_VALUE"""),"150538;-;INF109KC19H2;ICICI Prudential PSU Equity Fund - Growth;12.02;25-Aug-2023")</f>
        <v>150538;-;INF109KC19H2;ICICI Prudential PSU Equity Fund - Growth;12.02;25-Aug-2023</v>
      </c>
      <c r="B6303" s="1"/>
    </row>
    <row r="6304">
      <c r="A6304" s="1" t="str">
        <f>IFERROR(__xludf.DUMMYFUNCTION("""COMPUTED_VALUE"""),"150540;INF109KC10I9;INF109KC11I7;ICICI Prudential PSU Equity Fund - IDCW;12.02;25-Aug-2023")</f>
        <v>150540;INF109KC10I9;INF109KC11I7;ICICI Prudential PSU Equity Fund - IDCW;12.02;25-Aug-2023</v>
      </c>
      <c r="B6304" s="1"/>
    </row>
    <row r="6305">
      <c r="A6305" s="1" t="str">
        <f>IFERROR(__xludf.DUMMYFUNCTION("""COMPUTED_VALUE"""),"148600;INF109KC1O66;-;ICICI Prudential Quant Fund Direct Plan Growth;16.40;25-Aug-2023")</f>
        <v>148600;INF109KC1O66;-;ICICI Prudential Quant Fund Direct Plan Growth;16.40;25-Aug-2023</v>
      </c>
      <c r="B6305" s="1"/>
    </row>
    <row r="6306">
      <c r="A6306" s="1" t="str">
        <f>IFERROR(__xludf.DUMMYFUNCTION("""COMPUTED_VALUE"""),"148601;INF109KC1O82;INF109KC1O74;ICICI Prudential Quant Fund Direct Plan IDCW;13.66;25-Aug-2023")</f>
        <v>148601;INF109KC1O82;INF109KC1O74;ICICI Prudential Quant Fund Direct Plan IDCW;13.66;25-Aug-2023</v>
      </c>
      <c r="B6306" s="1"/>
    </row>
    <row r="6307">
      <c r="A6307" s="1" t="str">
        <f>IFERROR(__xludf.DUMMYFUNCTION("""COMPUTED_VALUE"""),"148598;INF109KC1O33;-;ICICI Prudential Quant Fund Growth;16.09;25-Aug-2023")</f>
        <v>148598;INF109KC1O33;-;ICICI Prudential Quant Fund Growth;16.09;25-Aug-2023</v>
      </c>
      <c r="B6307" s="1"/>
    </row>
    <row r="6308">
      <c r="A6308" s="1" t="str">
        <f>IFERROR(__xludf.DUMMYFUNCTION("""COMPUTED_VALUE"""),"148599;INF109KC1O58;INF109KC1O41;ICICI Prudential Quant Fund IDCW;13.38;25-Aug-2023")</f>
        <v>148599;INF109KC1O58;INF109KC1O41;ICICI Prudential Quant Fund IDCW;13.38;25-Aug-2023</v>
      </c>
      <c r="B6308" s="1"/>
    </row>
    <row r="6309">
      <c r="A6309" s="1" t="str">
        <f>IFERROR(__xludf.DUMMYFUNCTION("""COMPUTED_VALUE"""),"120594;INF109K01Z48;-;ICICI Prudential Technology Fund - Direct Plan -  Growth;161.67;25-Aug-2023")</f>
        <v>120594;INF109K01Z48;-;ICICI Prudential Technology Fund - Direct Plan -  Growth;161.67;25-Aug-2023</v>
      </c>
      <c r="B6309" s="1"/>
    </row>
    <row r="6310">
      <c r="A6310" s="1" t="str">
        <f>IFERROR(__xludf.DUMMYFUNCTION("""COMPUTED_VALUE"""),"120595;INF109K01Z22;INF109K01Z30;ICICI Prudential Technology Fund - Direct Plan -  IDCW;107.97;25-Aug-2023")</f>
        <v>120595;INF109K01Z22;INF109K01Z30;ICICI Prudential Technology Fund - Direct Plan -  IDCW;107.97;25-Aug-2023</v>
      </c>
      <c r="B6310" s="1"/>
    </row>
    <row r="6311">
      <c r="A6311" s="1" t="str">
        <f>IFERROR(__xludf.DUMMYFUNCTION("""COMPUTED_VALUE"""),"100363;INF109K01506;-;ICICI Prudential Technology Fund - Growth;147.58;25-Aug-2023")</f>
        <v>100363;INF109K01506;-;ICICI Prudential Technology Fund - Growth;147.58;25-Aug-2023</v>
      </c>
      <c r="B6311" s="1"/>
    </row>
    <row r="6312">
      <c r="A6312" s="1" t="str">
        <f>IFERROR(__xludf.DUMMYFUNCTION("""COMPUTED_VALUE"""),"115294;INF109K01FO9;INF109K01514;ICICI Prudential Technology Fund - IDCW;55.46;25-Aug-2023")</f>
        <v>115294;INF109K01FO9;INF109K01514;ICICI Prudential Technology Fund - IDCW;55.46;25-Aug-2023</v>
      </c>
      <c r="B6312" s="1"/>
    </row>
    <row r="6313">
      <c r="A6313" s="1" t="str">
        <f>IFERROR(__xludf.DUMMYFUNCTION("""COMPUTED_VALUE"""),"150685;-;INF109KC12K1;ICICI PRUDENTIAL TRANSPORTATION AND LOGISTICS FUND - Direct Plan - Growth;12.05;25-Aug-2023")</f>
        <v>150685;-;INF109KC12K1;ICICI PRUDENTIAL TRANSPORTATION AND LOGISTICS FUND - Direct Plan - Growth;12.05;25-Aug-2023</v>
      </c>
      <c r="B6313" s="1"/>
    </row>
    <row r="6314">
      <c r="A6314" s="1" t="str">
        <f>IFERROR(__xludf.DUMMYFUNCTION("""COMPUTED_VALUE"""),"150687;INF109KC13K9;INF109KC14K7;ICICI PRUDENTIAL TRANSPORTATION AND LOGISTICS FUND - Direct Plan - IDCW;12.05;25-Aug-2023")</f>
        <v>150687;INF109KC13K9;INF109KC14K7;ICICI PRUDENTIAL TRANSPORTATION AND LOGISTICS FUND - Direct Plan - IDCW;12.05;25-Aug-2023</v>
      </c>
      <c r="B6314" s="1"/>
    </row>
    <row r="6315">
      <c r="A6315" s="1" t="str">
        <f>IFERROR(__xludf.DUMMYFUNCTION("""COMPUTED_VALUE"""),"150684;-;INF109KC19J8;ICICI PRUDENTIAL TRANSPORTATION AND LOGISTICS FUND - Growth;11.89;25-Aug-2023")</f>
        <v>150684;-;INF109KC19J8;ICICI PRUDENTIAL TRANSPORTATION AND LOGISTICS FUND - Growth;11.89;25-Aug-2023</v>
      </c>
      <c r="B6315" s="1"/>
    </row>
    <row r="6316">
      <c r="A6316" s="1" t="str">
        <f>IFERROR(__xludf.DUMMYFUNCTION("""COMPUTED_VALUE"""),"150686;INF109KC10K5;INF109KC11K3;ICICI PRUDENTIAL TRANSPORTATION AND LOGISTICS FUND - IDCW;11.89;25-Aug-2023")</f>
        <v>150686;INF109KC10K5;INF109KC11K3;ICICI PRUDENTIAL TRANSPORTATION AND LOGISTICS FUND - IDCW;11.89;25-Aug-2023</v>
      </c>
      <c r="B6316" s="1"/>
    </row>
    <row r="6317">
      <c r="A6317" s="1" t="str">
        <f>IFERROR(__xludf.DUMMYFUNCTION("""COMPUTED_VALUE"""),"120186;INF109K01Z71;-;ICICI Prudential US Bluechip Equity Fund - Direct Plan -  Growth;56.49;25-Aug-2023")</f>
        <v>120186;INF109K01Z71;-;ICICI Prudential US Bluechip Equity Fund - Direct Plan -  Growth;56.49;25-Aug-2023</v>
      </c>
      <c r="B6317" s="1"/>
    </row>
    <row r="6318">
      <c r="A6318" s="1" t="str">
        <f>IFERROR(__xludf.DUMMYFUNCTION("""COMPUTED_VALUE"""),"120185;INF109K01Z55;INF109K01Z63;ICICI Prudential US Bluechip Equity Fund - Direct Plan -  IDCW;56.49;25-Aug-2023")</f>
        <v>120185;INF109K01Z55;INF109K01Z63;ICICI Prudential US Bluechip Equity Fund - Direct Plan -  IDCW;56.49;25-Aug-2023</v>
      </c>
      <c r="B6318" s="1"/>
    </row>
    <row r="6319">
      <c r="A6319" s="1" t="str">
        <f>IFERROR(__xludf.DUMMYFUNCTION("""COMPUTED_VALUE"""),"117620;INF109K01E35;-;ICICI Prudential US Bluechip Equity Fund - Growth;51.41;25-Aug-2023")</f>
        <v>117620;INF109K01E35;-;ICICI Prudential US Bluechip Equity Fund - Growth;51.41;25-Aug-2023</v>
      </c>
      <c r="B6319" s="1"/>
    </row>
    <row r="6320">
      <c r="A6320" s="1" t="str">
        <f>IFERROR(__xludf.DUMMYFUNCTION("""COMPUTED_VALUE"""),"117619;INF109K01E43;INF109K01E50;ICICI Prudential US Bluechip Equity Fund - IDCW;51.41;25-Aug-2023")</f>
        <v>117619;INF109K01E43;INF109K01E50;ICICI Prudential US Bluechip Equity Fund - IDCW;51.41;25-Aug-2023</v>
      </c>
      <c r="B6320" s="1"/>
    </row>
    <row r="6321">
      <c r="A6321" s="1"/>
      <c r="B6321" s="1"/>
    </row>
    <row r="6322">
      <c r="A6322" s="1" t="str">
        <f>IFERROR(__xludf.DUMMYFUNCTION("""COMPUTED_VALUE"""),"Invesco Mutual Fund")</f>
        <v>Invesco Mutual Fund</v>
      </c>
      <c r="B6322" s="1"/>
    </row>
    <row r="6323">
      <c r="A6323" s="1"/>
      <c r="B6323" s="1"/>
    </row>
    <row r="6324">
      <c r="A6324" s="1" t="str">
        <f>IFERROR(__xludf.DUMMYFUNCTION("""COMPUTED_VALUE"""),"148751;INF205KA1338;-;Invesco India ESG Equity Fund - Direct Plan - Growth;13.7;25-Aug-2023")</f>
        <v>148751;INF205KA1338;-;Invesco India ESG Equity Fund - Direct Plan - Growth;13.7;25-Aug-2023</v>
      </c>
      <c r="B6324" s="1"/>
    </row>
    <row r="6325">
      <c r="A6325" s="1" t="str">
        <f>IFERROR(__xludf.DUMMYFUNCTION("""COMPUTED_VALUE"""),"148752;INF205KA1320;INF205KA1346;Invesco India ESG Equity Fund - Direct Plan - IDCW (Payout / Reinvestment);13.69;25-Aug-2023")</f>
        <v>148752;INF205KA1320;INF205KA1346;Invesco India ESG Equity Fund - Direct Plan - IDCW (Payout / Reinvestment);13.69;25-Aug-2023</v>
      </c>
      <c r="B6325" s="1"/>
    </row>
    <row r="6326">
      <c r="A6326" s="1" t="str">
        <f>IFERROR(__xludf.DUMMYFUNCTION("""COMPUTED_VALUE"""),"148753;INF205KA1304;-;Invesco India ESG Equity Fund - Growth;13.13;25-Aug-2023")</f>
        <v>148753;INF205KA1304;-;Invesco India ESG Equity Fund - Growth;13.13;25-Aug-2023</v>
      </c>
      <c r="B6326" s="1"/>
    </row>
    <row r="6327">
      <c r="A6327" s="1" t="str">
        <f>IFERROR(__xludf.DUMMYFUNCTION("""COMPUTED_VALUE"""),"148754;INF205KA1296;INF205KA1312;Invesco India ESG Equity Fund - IDCW (Payout / Reinvestment);13.13;25-Aug-2023")</f>
        <v>148754;INF205KA1296;INF205KA1312;Invesco India ESG Equity Fund - IDCW (Payout / Reinvestment);13.13;25-Aug-2023</v>
      </c>
      <c r="B6327" s="1"/>
    </row>
    <row r="6328">
      <c r="A6328" s="1" t="str">
        <f>IFERROR(__xludf.DUMMYFUNCTION("""COMPUTED_VALUE"""),"120385;INF205K01KY4;-;Invesco India Financial Services Fund - Direct Plan - Growth;104.01;25-Aug-2023")</f>
        <v>120385;INF205K01KY4;-;Invesco India Financial Services Fund - Direct Plan - Growth;104.01;25-Aug-2023</v>
      </c>
      <c r="B6328" s="1"/>
    </row>
    <row r="6329">
      <c r="A6329" s="1" t="str">
        <f>IFERROR(__xludf.DUMMYFUNCTION("""COMPUTED_VALUE"""),"120384;INF205K01KW8;INF205K01KX6;Invesco India Financial Services Fund - Direct Plan - IDCW (Payout / Reinvestment);53.57;25-Aug-2023")</f>
        <v>120384;INF205K01KW8;INF205K01KX6;Invesco India Financial Services Fund - Direct Plan - IDCW (Payout / Reinvestment);53.57;25-Aug-2023</v>
      </c>
      <c r="B6329" s="1"/>
    </row>
    <row r="6330">
      <c r="A6330" s="1" t="str">
        <f>IFERROR(__xludf.DUMMYFUNCTION("""COMPUTED_VALUE"""),"108377;INF205K01171;INF205K01163;Invesco India Financial Services Fund - Regular Plan -  IDCW (Payout / Reinvestment);45.51;25-Aug-2023")</f>
        <v>108377;INF205K01171;INF205K01163;Invesco India Financial Services Fund - Regular Plan -  IDCW (Payout / Reinvestment);45.51;25-Aug-2023</v>
      </c>
      <c r="B6330" s="1"/>
    </row>
    <row r="6331">
      <c r="A6331" s="1" t="str">
        <f>IFERROR(__xludf.DUMMYFUNCTION("""COMPUTED_VALUE"""),"108378;INF205K01155;-;Invesco India Financial Services Fund - Retail Growth;89.23;25-Aug-2023")</f>
        <v>108378;INF205K01155;-;Invesco India Financial Services Fund - Retail Growth;89.23;25-Aug-2023</v>
      </c>
      <c r="B6331" s="1"/>
    </row>
    <row r="6332">
      <c r="A6332" s="1" t="str">
        <f>IFERROR(__xludf.DUMMYFUNCTION("""COMPUTED_VALUE"""),"120405;INF205K01MD4;-;Invesco India Infrastructure Fund - Direct Plan - Growth Option;45.88;25-Aug-2023")</f>
        <v>120405;INF205K01MD4;-;Invesco India Infrastructure Fund - Direct Plan - Growth Option;45.88;25-Aug-2023</v>
      </c>
      <c r="B6332" s="1"/>
    </row>
    <row r="6333">
      <c r="A6333" s="1" t="str">
        <f>IFERROR(__xludf.DUMMYFUNCTION("""COMPUTED_VALUE"""),"120404;INF205K01MB8;INF205K01MC6;Invesco India Infrastructure Fund - Direct Plan - IDCW (Payout / Reinvestment);36.96;25-Aug-2023")</f>
        <v>120404;INF205K01MB8;INF205K01MC6;Invesco India Infrastructure Fund - Direct Plan - IDCW (Payout / Reinvestment);36.96;25-Aug-2023</v>
      </c>
      <c r="B6333" s="1"/>
    </row>
    <row r="6334">
      <c r="A6334" s="1" t="str">
        <f>IFERROR(__xludf.DUMMYFUNCTION("""COMPUTED_VALUE"""),"106654;INF205K01CD5;-;Invesco India Infrastructure Fund - Growth Option;39.18;25-Aug-2023")</f>
        <v>106654;INF205K01CD5;-;Invesco India Infrastructure Fund - Growth Option;39.18;25-Aug-2023</v>
      </c>
      <c r="B6334" s="1"/>
    </row>
    <row r="6335">
      <c r="A6335" s="1" t="str">
        <f>IFERROR(__xludf.DUMMYFUNCTION("""COMPUTED_VALUE"""),"106653;INF205K01CE3;INF205K01CF0;Invesco India Infrastructure Fund - IDCW (Payout / Reinvestment);31.52;25-Aug-2023")</f>
        <v>106653;INF205K01CE3;INF205K01CF0;Invesco India Infrastructure Fund - IDCW (Payout / Reinvestment);31.52;25-Aug-2023</v>
      </c>
      <c r="B6335" s="1"/>
    </row>
    <row r="6336">
      <c r="A6336" s="1" t="str">
        <f>IFERROR(__xludf.DUMMYFUNCTION("""COMPUTED_VALUE"""),"120395;INF205K01NG5;-;Invesco India PSU Equity Fund - Direct Plan - Growth;42.4;25-Aug-2023")</f>
        <v>120395;INF205K01NG5;-;Invesco India PSU Equity Fund - Direct Plan - Growth;42.4;25-Aug-2023</v>
      </c>
      <c r="B6336" s="1"/>
    </row>
    <row r="6337">
      <c r="A6337" s="1" t="str">
        <f>IFERROR(__xludf.DUMMYFUNCTION("""COMPUTED_VALUE"""),"120394;INF205K01NE0;INF205K01NF7;Invesco India PSU Equity Fund - Direct Plan - IDCW (Payout / Reinvestment);31.02;25-Aug-2023")</f>
        <v>120394;INF205K01NE0;INF205K01NF7;Invesco India PSU Equity Fund - Direct Plan - IDCW (Payout / Reinvestment);31.02;25-Aug-2023</v>
      </c>
      <c r="B6337" s="1"/>
    </row>
    <row r="6338">
      <c r="A6338" s="1" t="str">
        <f>IFERROR(__xludf.DUMMYFUNCTION("""COMPUTED_VALUE"""),"112171;INF205K01338;-;Invesco India PSU Equity Fund - Growth;36.62;25-Aug-2023")</f>
        <v>112171;INF205K01338;-;Invesco India PSU Equity Fund - Growth;36.62;25-Aug-2023</v>
      </c>
      <c r="B6338" s="1"/>
    </row>
    <row r="6339">
      <c r="A6339" s="1" t="str">
        <f>IFERROR(__xludf.DUMMYFUNCTION("""COMPUTED_VALUE"""),"112173;INF205K01353;INF205K01346;Invesco India PSU Equity Fund - IDCW (Payout / Reinvestment);26.68;25-Aug-2023")</f>
        <v>112173;INF205K01353;INF205K01346;Invesco India PSU Equity Fund - IDCW (Payout / Reinvestment);26.68;25-Aug-2023</v>
      </c>
      <c r="B6339" s="1"/>
    </row>
    <row r="6340">
      <c r="A6340" s="1"/>
      <c r="B6340" s="1"/>
    </row>
    <row r="6341">
      <c r="A6341" s="1" t="str">
        <f>IFERROR(__xludf.DUMMYFUNCTION("""COMPUTED_VALUE"""),"ITI Mutual Fund")</f>
        <v>ITI Mutual Fund</v>
      </c>
      <c r="B6341" s="1"/>
    </row>
    <row r="6342">
      <c r="A6342" s="1"/>
      <c r="B6342" s="1"/>
    </row>
    <row r="6343">
      <c r="A6343" s="1" t="str">
        <f>IFERROR(__xludf.DUMMYFUNCTION("""COMPUTED_VALUE"""),"149321;INF00XX01BU6;-;ITI Banking and Financial Services Fund - Direct Plan - Growth Option;12.0385;25-Aug-2023")</f>
        <v>149321;INF00XX01BU6;-;ITI Banking and Financial Services Fund - Direct Plan - Growth Option;12.0385;25-Aug-2023</v>
      </c>
      <c r="B6343" s="1"/>
    </row>
    <row r="6344">
      <c r="A6344" s="1" t="str">
        <f>IFERROR(__xludf.DUMMYFUNCTION("""COMPUTED_VALUE"""),"149322;INF00XX01BV4;INF00XX01BW2;ITI Banking and Financial Services Fund - Direct Plan - IDCW Option;12.0385;25-Aug-2023")</f>
        <v>149322;INF00XX01BV4;INF00XX01BW2;ITI Banking and Financial Services Fund - Direct Plan - IDCW Option;12.0385;25-Aug-2023</v>
      </c>
      <c r="B6344" s="1"/>
    </row>
    <row r="6345">
      <c r="A6345" s="1" t="str">
        <f>IFERROR(__xludf.DUMMYFUNCTION("""COMPUTED_VALUE"""),"149323;INF00XX01BS0;INF00XX01BT8;ITI Banking and Financial Services Fund - Regular Plan - IDCW Option;11.5982;25-Aug-2023")</f>
        <v>149323;INF00XX01BS0;INF00XX01BT8;ITI Banking and Financial Services Fund - Regular Plan - IDCW Option;11.5982;25-Aug-2023</v>
      </c>
      <c r="B6345" s="1"/>
    </row>
    <row r="6346">
      <c r="A6346" s="1" t="str">
        <f>IFERROR(__xludf.DUMMYFUNCTION("""COMPUTED_VALUE"""),"149324;INF00XX01BR2;-;ITI Banking and Financial Services Fund -Regular Plan - Growth Option;11.5982;25-Aug-2023")</f>
        <v>149324;INF00XX01BR2;-;ITI Banking and Financial Services Fund -Regular Plan - Growth Option;11.5982;25-Aug-2023</v>
      </c>
      <c r="B6346" s="1"/>
    </row>
    <row r="6347">
      <c r="A6347" s="1" t="str">
        <f>IFERROR(__xludf.DUMMYFUNCTION("""COMPUTED_VALUE"""),"149268;INF00XX01BO9;-;ITI Pharma and Healthcare Fund - Direct Plan - Growth Option;11.2715;25-Aug-2023")</f>
        <v>149268;INF00XX01BO9;-;ITI Pharma and Healthcare Fund - Direct Plan - Growth Option;11.2715;25-Aug-2023</v>
      </c>
      <c r="B6347" s="1"/>
    </row>
    <row r="6348">
      <c r="A6348" s="1" t="str">
        <f>IFERROR(__xludf.DUMMYFUNCTION("""COMPUTED_VALUE"""),"149271;INF00XX01BP6;INF00XX01BQ4;ITI Pharma and Healthcare Fund - Direct Plan - IDCW Option;11.2715;25-Aug-2023")</f>
        <v>149271;INF00XX01BP6;INF00XX01BQ4;ITI Pharma and Healthcare Fund - Direct Plan - IDCW Option;11.2715;25-Aug-2023</v>
      </c>
      <c r="B6348" s="1"/>
    </row>
    <row r="6349">
      <c r="A6349" s="1" t="str">
        <f>IFERROR(__xludf.DUMMYFUNCTION("""COMPUTED_VALUE"""),"149270;INF00XX01BL5;-;ITI Pharma and Healthcare Fund - Regular Plan - Growth Option;10.8366;25-Aug-2023")</f>
        <v>149270;INF00XX01BL5;-;ITI Pharma and Healthcare Fund - Regular Plan - Growth Option;10.8366;25-Aug-2023</v>
      </c>
      <c r="B6349" s="1"/>
    </row>
    <row r="6350">
      <c r="A6350" s="1" t="str">
        <f>IFERROR(__xludf.DUMMYFUNCTION("""COMPUTED_VALUE"""),"149269;INF00XX01BM3;INF00XX01BN1;ITI Pharma and Healthcare Fund - Regular Plan - IDCW Option;10.8366;25-Aug-2023")</f>
        <v>149269;INF00XX01BM3;INF00XX01BN1;ITI Pharma and Healthcare Fund - Regular Plan - IDCW Option;10.8366;25-Aug-2023</v>
      </c>
      <c r="B6350" s="1"/>
    </row>
    <row r="6351">
      <c r="A6351" s="1"/>
      <c r="B6351" s="1"/>
    </row>
    <row r="6352">
      <c r="A6352" s="1" t="str">
        <f>IFERROR(__xludf.DUMMYFUNCTION("""COMPUTED_VALUE"""),"Kotak Mahindra Mutual Fund")</f>
        <v>Kotak Mahindra Mutual Fund</v>
      </c>
      <c r="B6352" s="1"/>
    </row>
    <row r="6353">
      <c r="A6353" s="1"/>
      <c r="B6353" s="1"/>
    </row>
    <row r="6354">
      <c r="A6354" s="1" t="str">
        <f>IFERROR(__xludf.DUMMYFUNCTION("""COMPUTED_VALUE"""),"151384;INF174KA1MD1;-;Kotak Banking &amp; Financial Services Fund - Direct Plan - Growth;11.453;25-Aug-2023")</f>
        <v>151384;INF174KA1MD1;-;Kotak Banking &amp; Financial Services Fund - Direct Plan - Growth;11.453;25-Aug-2023</v>
      </c>
      <c r="B6354" s="1"/>
    </row>
    <row r="6355">
      <c r="A6355" s="1" t="str">
        <f>IFERROR(__xludf.DUMMYFUNCTION("""COMPUTED_VALUE"""),"151383;INF174KA1ME9;INF174KA1MF6;Kotak Banking &amp; Financial Services Fund - Direct Plan - IDCW Payout;11.454;25-Aug-2023")</f>
        <v>151383;INF174KA1ME9;INF174KA1MF6;Kotak Banking &amp; Financial Services Fund - Direct Plan - IDCW Payout;11.454;25-Aug-2023</v>
      </c>
      <c r="B6355" s="1"/>
    </row>
    <row r="6356">
      <c r="A6356" s="1" t="str">
        <f>IFERROR(__xludf.DUMMYFUNCTION("""COMPUTED_VALUE"""),"151381;INF174KA1MA7;-;Kotak Banking &amp; Financial Services Fund - Regular Plan - Growth;11.356;25-Aug-2023")</f>
        <v>151381;INF174KA1MA7;-;Kotak Banking &amp; Financial Services Fund - Regular Plan - Growth;11.356;25-Aug-2023</v>
      </c>
      <c r="B6356" s="1"/>
    </row>
    <row r="6357">
      <c r="A6357" s="1" t="str">
        <f>IFERROR(__xludf.DUMMYFUNCTION("""COMPUTED_VALUE"""),"151382;INF174KA1MB5;INF174KA1MC3;Kotak Banking &amp; Financial Services Fund - Regular Plan - IDCW Payout;11.356;25-Aug-2023")</f>
        <v>151382;INF174KA1MB5;INF174KA1MC3;Kotak Banking &amp; Financial Services Fund - Regular Plan - IDCW Payout;11.356;25-Aug-2023</v>
      </c>
      <c r="B6357" s="1"/>
    </row>
    <row r="6358">
      <c r="A6358" s="1" t="str">
        <f>IFERROR(__xludf.DUMMYFUNCTION("""COMPUTED_VALUE"""),"150624;INF174KA1JN6;-;Kotak Business Cycle - Direct Plan - Growth;11.423;25-Aug-2023")</f>
        <v>150624;INF174KA1JN6;-;Kotak Business Cycle - Direct Plan - Growth;11.423;25-Aug-2023</v>
      </c>
      <c r="B6358" s="1"/>
    </row>
    <row r="6359">
      <c r="A6359" s="1" t="str">
        <f>IFERROR(__xludf.DUMMYFUNCTION("""COMPUTED_VALUE"""),"150625;INF174KA1JO4;INF174KA1JP1;Kotak Business Cycle Fund-Direct Plan-IDCW option;11.422;25-Aug-2023")</f>
        <v>150625;INF174KA1JO4;INF174KA1JP1;Kotak Business Cycle Fund-Direct Plan-IDCW option;11.422;25-Aug-2023</v>
      </c>
      <c r="B6359" s="1"/>
    </row>
    <row r="6360">
      <c r="A6360" s="1" t="str">
        <f>IFERROR(__xludf.DUMMYFUNCTION("""COMPUTED_VALUE"""),"150626;INF174KA1JK2;-;Kotak Business Cycle Fund-Regular Plan--Growth;11.243;25-Aug-2023")</f>
        <v>150626;INF174KA1JK2;-;Kotak Business Cycle Fund-Regular Plan--Growth;11.243;25-Aug-2023</v>
      </c>
      <c r="B6360" s="1"/>
    </row>
    <row r="6361">
      <c r="A6361" s="1" t="str">
        <f>IFERROR(__xludf.DUMMYFUNCTION("""COMPUTED_VALUE"""),"150622;INF174KA1JL0;INF174KA1JM8;Kotak Business Cycle Fund-Regular Plan-IDCW option;11.243;25-Aug-2023")</f>
        <v>150622;INF174KA1JL0;INF174KA1JM8;Kotak Business Cycle Fund-Regular Plan-IDCW option;11.243;25-Aug-2023</v>
      </c>
      <c r="B6361" s="1"/>
    </row>
    <row r="6362">
      <c r="A6362" s="1" t="str">
        <f>IFERROR(__xludf.DUMMYFUNCTION("""COMPUTED_VALUE"""),"148606;INF174KA1FI4;-;Kotak ESG Opportunities Fund - Direct Plan - Growth Option;13.519;25-Aug-2023")</f>
        <v>148606;INF174KA1FI4;-;Kotak ESG Opportunities Fund - Direct Plan - Growth Option;13.519;25-Aug-2023</v>
      </c>
      <c r="B6362" s="1"/>
    </row>
    <row r="6363">
      <c r="A6363" s="1" t="str">
        <f>IFERROR(__xludf.DUMMYFUNCTION("""COMPUTED_VALUE"""),"148605;INF174KA1FH6;-;Kotak ESG Opportunities Fund - Direct Plan - Payout of Income Distribution cum capital withdrawal option;13.52;25-Aug-2023")</f>
        <v>148605;INF174KA1FH6;-;Kotak ESG Opportunities Fund - Direct Plan - Payout of Income Distribution cum capital withdrawal option;13.52;25-Aug-2023</v>
      </c>
      <c r="B6363" s="1"/>
    </row>
    <row r="6364">
      <c r="A6364" s="1" t="str">
        <f>IFERROR(__xludf.DUMMYFUNCTION("""COMPUTED_VALUE"""),"148602;INF174KA1FF0;-;Kotak ESG Opportunities Fund - Regular Plan - Growth Option;12.903;25-Aug-2023")</f>
        <v>148602;INF174KA1FF0;-;Kotak ESG Opportunities Fund - Regular Plan - Growth Option;12.903;25-Aug-2023</v>
      </c>
      <c r="B6364" s="1"/>
    </row>
    <row r="6365">
      <c r="A6365" s="1" t="str">
        <f>IFERROR(__xludf.DUMMYFUNCTION("""COMPUTED_VALUE"""),"148603;INF174KA1FE3;-;Kotak ESG Opportunities Fund - Regular Plan - Payout of Income Distribution cum capital withdrawal option;12.903;25-Aug-2023")</f>
        <v>148603;INF174KA1FE3;-;Kotak ESG Opportunities Fund - Regular Plan - Payout of Income Distribution cum capital withdrawal option;12.903;25-Aug-2023</v>
      </c>
      <c r="B6365" s="1"/>
    </row>
    <row r="6366">
      <c r="A6366" s="1" t="str">
        <f>IFERROR(__xludf.DUMMYFUNCTION("""COMPUTED_VALUE"""),"133796;INF178L01095;-;Kotak Infrastructure &amp; Economic Reform Fund - Standard Plan-Growth;44.72;25-Aug-2023")</f>
        <v>133796;INF178L01095;-;Kotak Infrastructure &amp; Economic Reform Fund - Standard Plan-Growth;44.72;25-Aug-2023</v>
      </c>
      <c r="B6366" s="1"/>
    </row>
    <row r="6367">
      <c r="A6367" s="1" t="str">
        <f>IFERROR(__xludf.DUMMYFUNCTION("""COMPUTED_VALUE"""),"133799;INF178L01079;INF178L01087;Kotak Infrastructure &amp; Economic Reform Fund - Standard Plan-Payout of Income Distribution cum capital withdrawal option;35.766;25-Aug-2023")</f>
        <v>133799;INF178L01079;INF178L01087;Kotak Infrastructure &amp; Economic Reform Fund - Standard Plan-Payout of Income Distribution cum capital withdrawal option;35.766;25-Aug-2023</v>
      </c>
      <c r="B6367" s="1"/>
    </row>
    <row r="6368">
      <c r="A6368" s="1" t="str">
        <f>IFERROR(__xludf.DUMMYFUNCTION("""COMPUTED_VALUE"""),"133801;INF178L01AL9;-;Kotak Infrastructure &amp; Economic Reform Fund- Direct Plan- Growth Option;51.414;25-Aug-2023")</f>
        <v>133801;INF178L01AL9;-;Kotak Infrastructure &amp; Economic Reform Fund- Direct Plan- Growth Option;51.414;25-Aug-2023</v>
      </c>
      <c r="B6368" s="1"/>
    </row>
    <row r="6369">
      <c r="A6369" s="1" t="str">
        <f>IFERROR(__xludf.DUMMYFUNCTION("""COMPUTED_VALUE"""),"133800;INF178L01AK1;INF178L01AJ3;Kotak Infrastructure &amp; Economic Reform Fund- Direct Plan- Payout of Income Distribution cum capital withdrawal option;50.825;25-Aug-2023")</f>
        <v>133800;INF178L01AK1;INF178L01AJ3;Kotak Infrastructure &amp; Economic Reform Fund- Direct Plan- Payout of Income Distribution cum capital withdrawal option;50.825;25-Aug-2023</v>
      </c>
      <c r="B6369" s="1"/>
    </row>
    <row r="6370">
      <c r="A6370" s="1" t="str">
        <f>IFERROR(__xludf.DUMMYFUNCTION("""COMPUTED_VALUE"""),"149841;INF174KA1IF4;-;Kotak Manufacture in India Fund - Direct Plan Growth;13.324;25-Aug-2023")</f>
        <v>149841;INF174KA1IF4;-;Kotak Manufacture in India Fund - Direct Plan Growth;13.324;25-Aug-2023</v>
      </c>
      <c r="B6370" s="1"/>
    </row>
    <row r="6371">
      <c r="A6371" s="1" t="str">
        <f>IFERROR(__xludf.DUMMYFUNCTION("""COMPUTED_VALUE"""),"149842;INF174KA1IG2;INF174KA1IH0;Kotak Manufacture in India Fund - Direct Plan IDCW Option;13.324;25-Aug-2023")</f>
        <v>149842;INF174KA1IG2;INF174KA1IH0;Kotak Manufacture in India Fund - Direct Plan IDCW Option;13.324;25-Aug-2023</v>
      </c>
      <c r="B6371" s="1"/>
    </row>
    <row r="6372">
      <c r="A6372" s="1" t="str">
        <f>IFERROR(__xludf.DUMMYFUNCTION("""COMPUTED_VALUE"""),"149840;INF174KA1IC1;-;Kotak Manufacture in India Fund - Regular Plan Growth;12.986;25-Aug-2023")</f>
        <v>149840;INF174KA1IC1;-;Kotak Manufacture in India Fund - Regular Plan Growth;12.986;25-Aug-2023</v>
      </c>
      <c r="B6372" s="1"/>
    </row>
    <row r="6373">
      <c r="A6373" s="1" t="str">
        <f>IFERROR(__xludf.DUMMYFUNCTION("""COMPUTED_VALUE"""),"149843;INF174KA1ID9;INF174KA1IE7;Kotak Manufacture in India Fund - Regular Plan IDCW Option;12.986;25-Aug-2023")</f>
        <v>149843;INF174KA1ID9;INF174KA1IE7;Kotak Manufacture in India Fund - Regular Plan IDCW Option;12.986;25-Aug-2023</v>
      </c>
      <c r="B6373" s="1"/>
    </row>
    <row r="6374">
      <c r="A6374" s="1" t="str">
        <f>IFERROR(__xludf.DUMMYFUNCTION("""COMPUTED_VALUE"""),"147727;INF174KA1EZ1;-;Kotak Pioneer Fund- Direct Plan- Growth Option;21.883;25-Aug-2023")</f>
        <v>147727;INF174KA1EZ1;-;Kotak Pioneer Fund- Direct Plan- Growth Option;21.883;25-Aug-2023</v>
      </c>
      <c r="B6374" s="1"/>
    </row>
    <row r="6375">
      <c r="A6375" s="1" t="str">
        <f>IFERROR(__xludf.DUMMYFUNCTION("""COMPUTED_VALUE"""),"147724;INF174KA1EW8;-;Kotak Pioneer Fund- Regular Plan- Growth Option;20.531;25-Aug-2023")</f>
        <v>147724;INF174KA1EW8;-;Kotak Pioneer Fund- Regular Plan- Growth Option;20.531;25-Aug-2023</v>
      </c>
      <c r="B6375" s="1"/>
    </row>
    <row r="6376">
      <c r="A6376" s="1" t="str">
        <f>IFERROR(__xludf.DUMMYFUNCTION("""COMPUTED_VALUE"""),"147728;-;INF174KA1EV0;Kotak Pioneer Fund- Regular Plan- Reinvestment of Income Distribution cum capital withdrawal option;20.54;25-Aug-2023")</f>
        <v>147728;-;INF174KA1EV0;Kotak Pioneer Fund- Regular Plan- Reinvestment of Income Distribution cum capital withdrawal option;20.54;25-Aug-2023</v>
      </c>
      <c r="B6376" s="1"/>
    </row>
    <row r="6377">
      <c r="A6377" s="1" t="str">
        <f>IFERROR(__xludf.DUMMYFUNCTION("""COMPUTED_VALUE"""),"147725;-;INF174KA1EY4;Kotak Pioneer Fund-Direct Plan-Reinvestment of Income Distribution cum capital withdrawal option;21.88;25-Aug-2023")</f>
        <v>147725;-;INF174KA1EY4;Kotak Pioneer Fund-Direct Plan-Reinvestment of Income Distribution cum capital withdrawal option;21.88;25-Aug-2023</v>
      </c>
      <c r="B6377" s="1"/>
    </row>
    <row r="6378">
      <c r="A6378" s="1" t="str">
        <f>IFERROR(__xludf.DUMMYFUNCTION("""COMPUTED_VALUE"""),"151881;INF174KA1OL0;-;Kotak Quant Fund - Direct Plan - Growth Option;10.023;25-Aug-2023")</f>
        <v>151881;INF174KA1OL0;-;Kotak Quant Fund - Direct Plan - Growth Option;10.023;25-Aug-2023</v>
      </c>
      <c r="B6378" s="1"/>
    </row>
    <row r="6379">
      <c r="A6379" s="1" t="str">
        <f>IFERROR(__xludf.DUMMYFUNCTION("""COMPUTED_VALUE"""),"151880;INF174KA1OM8;INF174KA1ON6;Kotak Quant Fund - Direct plan - IDCW Payout;10.024;25-Aug-2023")</f>
        <v>151880;INF174KA1OM8;INF174KA1ON6;Kotak Quant Fund - Direct plan - IDCW Payout;10.024;25-Aug-2023</v>
      </c>
      <c r="B6379" s="1"/>
    </row>
    <row r="6380">
      <c r="A6380" s="1" t="str">
        <f>IFERROR(__xludf.DUMMYFUNCTION("""COMPUTED_VALUE"""),"151878;INF174KA1OI6;-;Kotak Quant Fund - Regular Plan - Growth Option;10.023;25-Aug-2023")</f>
        <v>151878;INF174KA1OI6;-;Kotak Quant Fund - Regular Plan - Growth Option;10.023;25-Aug-2023</v>
      </c>
      <c r="B6380" s="1"/>
    </row>
    <row r="6381">
      <c r="A6381" s="1" t="str">
        <f>IFERROR(__xludf.DUMMYFUNCTION("""COMPUTED_VALUE"""),"151879;INF174KA1OJ4;INF174KA1OK2;Kotak Quant Fund - Regular Plan - IDCW Payout;10.023;25-Aug-2023")</f>
        <v>151879;INF174KA1OJ4;INF174KA1OK2;Kotak Quant Fund - Regular Plan - IDCW Payout;10.023;25-Aug-2023</v>
      </c>
      <c r="B6381" s="1"/>
    </row>
    <row r="6382">
      <c r="A6382" s="1"/>
      <c r="B6382" s="1"/>
    </row>
    <row r="6383">
      <c r="A6383" s="1" t="str">
        <f>IFERROR(__xludf.DUMMYFUNCTION("""COMPUTED_VALUE"""),"LIC Mutual Fund")</f>
        <v>LIC Mutual Fund</v>
      </c>
      <c r="B6383" s="1"/>
    </row>
    <row r="6384">
      <c r="A6384" s="1"/>
      <c r="B6384" s="1"/>
    </row>
    <row r="6385">
      <c r="A6385" s="1" t="str">
        <f>IFERROR(__xludf.DUMMYFUNCTION("""COMPUTED_VALUE"""),"134017;INF767K01NK6;-;LIC MF Banking and Financial Services Fund-Direct Plan-Growth;18.9372;25-Aug-2023")</f>
        <v>134017;INF767K01NK6;-;LIC MF Banking and Financial Services Fund-Direct Plan-Growth;18.9372;25-Aug-2023</v>
      </c>
      <c r="B6385" s="1"/>
    </row>
    <row r="6386">
      <c r="A6386" s="1" t="str">
        <f>IFERROR(__xludf.DUMMYFUNCTION("""COMPUTED_VALUE"""),"133908;INF767K01NJ8;INF767K01NL4;LIC MF Banking and Financial Services Fund-Direct Plan-IDCW;18.8203;25-Aug-2023")</f>
        <v>133908;INF767K01NJ8;INF767K01NL4;LIC MF Banking and Financial Services Fund-Direct Plan-IDCW;18.8203;25-Aug-2023</v>
      </c>
      <c r="B6386" s="1"/>
    </row>
    <row r="6387">
      <c r="A6387" s="1" t="str">
        <f>IFERROR(__xludf.DUMMYFUNCTION("""COMPUTED_VALUE"""),"134016;INF767K01NH2;-;LIC MF Banking and Financial Services Fund-Regular Plan-Growth;17.2668;25-Aug-2023")</f>
        <v>134016;INF767K01NH2;-;LIC MF Banking and Financial Services Fund-Regular Plan-Growth;17.2668;25-Aug-2023</v>
      </c>
      <c r="B6387" s="1"/>
    </row>
    <row r="6388">
      <c r="A6388" s="1" t="str">
        <f>IFERROR(__xludf.DUMMYFUNCTION("""COMPUTED_VALUE"""),"134015;INF767K01NG4;INF767K01NI0;LIC MF Banking and Financial Services Fund-Regular Plan-IDCW;17.2638;25-Aug-2023")</f>
        <v>134015;INF767K01NG4;INF767K01NI0;LIC MF Banking and Financial Services Fund-Regular Plan-IDCW;17.2638;25-Aug-2023</v>
      </c>
      <c r="B6388" s="1"/>
    </row>
    <row r="6389">
      <c r="A6389" s="1" t="str">
        <f>IFERROR(__xludf.DUMMYFUNCTION("""COMPUTED_VALUE"""),"152024;INF397L01LK4;-;LIC MF Healthcare Fund-Direct Plan-Growth;20.2;25-Aug-2023")</f>
        <v>152024;INF397L01LK4;-;LIC MF Healthcare Fund-Direct Plan-Growth;20.2;25-Aug-2023</v>
      </c>
      <c r="B6389" s="1"/>
    </row>
    <row r="6390">
      <c r="A6390" s="1" t="str">
        <f>IFERROR(__xludf.DUMMYFUNCTION("""COMPUTED_VALUE"""),"152023;INF397L01LH0;INF397L01LI8;LIC MF Healthcare Fund-Direct Plan-IDCW;20.2;25-Aug-2023")</f>
        <v>152023;INF397L01LH0;INF397L01LI8;LIC MF Healthcare Fund-Direct Plan-IDCW;20.2;25-Aug-2023</v>
      </c>
      <c r="B6390" s="1"/>
    </row>
    <row r="6391">
      <c r="A6391" s="1" t="str">
        <f>IFERROR(__xludf.DUMMYFUNCTION("""COMPUTED_VALUE"""),"152025;INF397L01LG2;-;LIC MF Healthcare Fund-Regular Plan-Growth;18.94;25-Aug-2023")</f>
        <v>152025;INF397L01LG2;-;LIC MF Healthcare Fund-Regular Plan-Growth;18.94;25-Aug-2023</v>
      </c>
      <c r="B6391" s="1"/>
    </row>
    <row r="6392">
      <c r="A6392" s="1" t="str">
        <f>IFERROR(__xludf.DUMMYFUNCTION("""COMPUTED_VALUE"""),"152026;INF397L01LD9;INF397L01LE7;LIC MF Healthcare Fund-Regular Plan-IDCW;18.95;25-Aug-2023")</f>
        <v>152026;INF397L01LD9;INF397L01LE7;LIC MF Healthcare Fund-Regular Plan-IDCW;18.95;25-Aug-2023</v>
      </c>
      <c r="B6392" s="1"/>
    </row>
    <row r="6393">
      <c r="A6393" s="1" t="str">
        <f>IFERROR(__xludf.DUMMYFUNCTION("""COMPUTED_VALUE"""),"120351;INF767K01GW5;-;LIC MF Infrastructure Fund-Direct Plan-Growth;32.1072;25-Aug-2023")</f>
        <v>120351;INF767K01GW5;-;LIC MF Infrastructure Fund-Direct Plan-Growth;32.1072;25-Aug-2023</v>
      </c>
      <c r="B6393" s="1"/>
    </row>
    <row r="6394">
      <c r="A6394" s="1" t="str">
        <f>IFERROR(__xludf.DUMMYFUNCTION("""COMPUTED_VALUE"""),"120350;INF767K01GV7;INF767K01GX3;LIC MF Infrastructure Fund-Direct Plan-IDCW;31.551;25-Aug-2023")</f>
        <v>120350;INF767K01GV7;INF767K01GX3;LIC MF Infrastructure Fund-Direct Plan-IDCW;31.551;25-Aug-2023</v>
      </c>
      <c r="B6394" s="1"/>
    </row>
    <row r="6395">
      <c r="A6395" s="1" t="str">
        <f>IFERROR(__xludf.DUMMYFUNCTION("""COMPUTED_VALUE"""),"107763;INF767K01501;-;LIC MF Infrastructure Fund-Regular Plan-Growth;28.7795;25-Aug-2023")</f>
        <v>107763;INF767K01501;-;LIC MF Infrastructure Fund-Regular Plan-Growth;28.7795;25-Aug-2023</v>
      </c>
      <c r="B6395" s="1"/>
    </row>
    <row r="6396">
      <c r="A6396" s="1" t="str">
        <f>IFERROR(__xludf.DUMMYFUNCTION("""COMPUTED_VALUE"""),"107764;INF767K01485;INF767K01493;LIC MF Infrastructure Fund-Regular Plan-IDCW;28.7808;25-Aug-2023")</f>
        <v>107764;INF767K01485;INF767K01493;LIC MF Infrastructure Fund-Regular Plan-IDCW;28.7808;25-Aug-2023</v>
      </c>
      <c r="B6396" s="1"/>
    </row>
    <row r="6397">
      <c r="A6397" s="1"/>
      <c r="B6397" s="1"/>
    </row>
    <row r="6398">
      <c r="A6398" s="1" t="str">
        <f>IFERROR(__xludf.DUMMYFUNCTION("""COMPUTED_VALUE"""),"Mahindra Manulife Mutual Fund")</f>
        <v>Mahindra Manulife Mutual Fund</v>
      </c>
      <c r="B6398" s="1"/>
    </row>
    <row r="6399">
      <c r="A6399" s="1"/>
      <c r="B6399" s="1"/>
    </row>
    <row r="6400">
      <c r="A6400" s="1" t="str">
        <f>IFERROR(__xludf.DUMMYFUNCTION("""COMPUTED_VALUE"""),"145357;INF174V01689;INF174V01671;Mahindra Manulife Consumption Fund - Direct Plan - IDCW;15.5601;25-Aug-2023")</f>
        <v>145357;INF174V01689;INF174V01671;Mahindra Manulife Consumption Fund - Direct Plan - IDCW;15.5601;25-Aug-2023</v>
      </c>
      <c r="B6400" s="1"/>
    </row>
    <row r="6401">
      <c r="A6401" s="1" t="str">
        <f>IFERROR(__xludf.DUMMYFUNCTION("""COMPUTED_VALUE"""),"145356;INF174V01663;-;Mahindra Manulife Consumption Fund - Direct Plan -Growth;17.9846;25-Aug-2023")</f>
        <v>145356;INF174V01663;-;Mahindra Manulife Consumption Fund - Direct Plan -Growth;17.9846;25-Aug-2023</v>
      </c>
      <c r="B6401" s="1"/>
    </row>
    <row r="6402">
      <c r="A6402" s="1" t="str">
        <f>IFERROR(__xludf.DUMMYFUNCTION("""COMPUTED_VALUE"""),"145358;INF174V01655;INF174V01648;Mahindra Manulife Consumption Fund - Regular Plan - IDCW;14.1849;25-Aug-2023")</f>
        <v>145358;INF174V01655;INF174V01648;Mahindra Manulife Consumption Fund - Regular Plan - IDCW;14.1849;25-Aug-2023</v>
      </c>
      <c r="B6402" s="1"/>
    </row>
    <row r="6403">
      <c r="A6403" s="1" t="str">
        <f>IFERROR(__xludf.DUMMYFUNCTION("""COMPUTED_VALUE"""),"145355;INF174V01630;-;Mahindra Manulife Consumption Fund- Regular Plan - Growth;16.5712;25-Aug-2023")</f>
        <v>145355;INF174V01630;-;Mahindra Manulife Consumption Fund- Regular Plan - Growth;16.5712;25-Aug-2023</v>
      </c>
      <c r="B6403" s="1"/>
    </row>
    <row r="6404">
      <c r="A6404" s="1"/>
      <c r="B6404" s="1"/>
    </row>
    <row r="6405">
      <c r="A6405" s="1" t="str">
        <f>IFERROR(__xludf.DUMMYFUNCTION("""COMPUTED_VALUE"""),"Mirae Asset Mutual Fund")</f>
        <v>Mirae Asset Mutual Fund</v>
      </c>
      <c r="B6405" s="1"/>
    </row>
    <row r="6406">
      <c r="A6406" s="1"/>
      <c r="B6406" s="1"/>
    </row>
    <row r="6407">
      <c r="A6407" s="1" t="str">
        <f>IFERROR(__xludf.DUMMYFUNCTION("""COMPUTED_VALUE"""),"148624;INF769K01GW1;INF769K01GY7;Mirae Asset Banking and Financial Services Fund Direct  IDCW;15.804;25-Aug-2023")</f>
        <v>148624;INF769K01GW1;INF769K01GY7;Mirae Asset Banking and Financial Services Fund Direct  IDCW;15.804;25-Aug-2023</v>
      </c>
      <c r="B6407" s="1"/>
    </row>
    <row r="6408">
      <c r="A6408" s="1" t="str">
        <f>IFERROR(__xludf.DUMMYFUNCTION("""COMPUTED_VALUE"""),"148623;INF769K01GX9;-;Mirae Asset Banking and Financial Services Fund Direct Growth;15.853;25-Aug-2023")</f>
        <v>148623;INF769K01GX9;-;Mirae Asset Banking and Financial Services Fund Direct Growth;15.853;25-Aug-2023</v>
      </c>
      <c r="B6408" s="1"/>
    </row>
    <row r="6409">
      <c r="A6409" s="1" t="str">
        <f>IFERROR(__xludf.DUMMYFUNCTION("""COMPUTED_VALUE"""),"148621;INF769K01GU5;-;Mirae Asset Banking and Financial Services Fund Regular Growth;15.158;25-Aug-2023")</f>
        <v>148621;INF769K01GU5;-;Mirae Asset Banking and Financial Services Fund Regular Growth;15.158;25-Aug-2023</v>
      </c>
      <c r="B6409" s="1"/>
    </row>
    <row r="6410">
      <c r="A6410" s="1" t="str">
        <f>IFERROR(__xludf.DUMMYFUNCTION("""COMPUTED_VALUE"""),"148622;INF769K01GT7;INF769K01GV3;Mirae Asset Banking and Financial Services Fund Regular IDCW;15.177;25-Aug-2023")</f>
        <v>148622;INF769K01GT7;INF769K01GV3;Mirae Asset Banking and Financial Services Fund Regular IDCW;15.177;25-Aug-2023</v>
      </c>
      <c r="B6410" s="1"/>
    </row>
    <row r="6411">
      <c r="A6411" s="1" t="str">
        <f>IFERROR(__xludf.DUMMYFUNCTION("""COMPUTED_VALUE"""),"118837;INF769K01BL5;-;Mirae Asset Great Consumer Fund - Direct Plan - Growth;79.672;25-Aug-2023")</f>
        <v>118837;INF769K01BL5;-;Mirae Asset Great Consumer Fund - Direct Plan - Growth;79.672;25-Aug-2023</v>
      </c>
      <c r="B6411" s="1"/>
    </row>
    <row r="6412">
      <c r="A6412" s="1" t="str">
        <f>IFERROR(__xludf.DUMMYFUNCTION("""COMPUTED_VALUE"""),"114931;INF769K01135;-;Mirae Asset Great Consumer Fund - Regular Plan - Growth option;68.692;25-Aug-2023")</f>
        <v>114931;INF769K01135;-;Mirae Asset Great Consumer Fund - Regular Plan - Growth option;68.692;25-Aug-2023</v>
      </c>
      <c r="B6412" s="1"/>
    </row>
    <row r="6413">
      <c r="A6413" s="1" t="str">
        <f>IFERROR(__xludf.DUMMYFUNCTION("""COMPUTED_VALUE"""),"118838;INF769K01BM3;INF769K01BN1;Mirae Asset Great Consumer Fund Direct IDCW;56.359;25-Aug-2023")</f>
        <v>118838;INF769K01BM3;INF769K01BN1;Mirae Asset Great Consumer Fund Direct IDCW;56.359;25-Aug-2023</v>
      </c>
      <c r="B6413" s="1"/>
    </row>
    <row r="6414">
      <c r="A6414" s="1" t="str">
        <f>IFERROR(__xludf.DUMMYFUNCTION("""COMPUTED_VALUE"""),"114930;INF769K01150;INF769K01143;Mirae Asset Great Consumer Fund Regular IDCW;22.655;25-Aug-2023")</f>
        <v>114930;INF769K01150;INF769K01143;Mirae Asset Great Consumer Fund Regular IDCW;22.655;25-Aug-2023</v>
      </c>
      <c r="B6414" s="1"/>
    </row>
    <row r="6415">
      <c r="A6415" s="1" t="str">
        <f>IFERROR(__xludf.DUMMYFUNCTION("""COMPUTED_VALUE"""),"143785;INF769K01EA2;-;Mirae Asset Healthcare Fund -Regular Growth;25.384;25-Aug-2023")</f>
        <v>143785;INF769K01EA2;-;Mirae Asset Healthcare Fund -Regular Growth;25.384;25-Aug-2023</v>
      </c>
      <c r="B6415" s="1"/>
    </row>
    <row r="6416">
      <c r="A6416" s="1" t="str">
        <f>IFERROR(__xludf.DUMMYFUNCTION("""COMPUTED_VALUE"""),"143783;INF769K01ED6;-;Mirae Asset Healthcare Fund Direct Growth;27.526;25-Aug-2023")</f>
        <v>143783;INF769K01ED6;-;Mirae Asset Healthcare Fund Direct Growth;27.526;25-Aug-2023</v>
      </c>
      <c r="B6416" s="1"/>
    </row>
    <row r="6417">
      <c r="A6417" s="1" t="str">
        <f>IFERROR(__xludf.DUMMYFUNCTION("""COMPUTED_VALUE"""),"143784;INF769K01EE4;INF769K01EF1;Mirae Asset Healthcare Fund Direct IDCW;21.271;25-Aug-2023")</f>
        <v>143784;INF769K01EE4;INF769K01EF1;Mirae Asset Healthcare Fund Direct IDCW;21.271;25-Aug-2023</v>
      </c>
      <c r="B6417" s="1"/>
    </row>
    <row r="6418">
      <c r="A6418" s="1" t="str">
        <f>IFERROR(__xludf.DUMMYFUNCTION("""COMPUTED_VALUE"""),"143786;INF769K01EB0;INF769K01EC8;Mirae Asset Healthcare Fund Regular IDCW;19.161;25-Aug-2023")</f>
        <v>143786;INF769K01EB0;INF769K01EC8;Mirae Asset Healthcare Fund Regular IDCW;19.161;25-Aug-2023</v>
      </c>
      <c r="B6418" s="1"/>
    </row>
    <row r="6419">
      <c r="A6419" s="1"/>
      <c r="B6419" s="1"/>
    </row>
    <row r="6420">
      <c r="A6420" s="1" t="str">
        <f>IFERROR(__xludf.DUMMYFUNCTION("""COMPUTED_VALUE"""),"Nippon India Mutual Fund")</f>
        <v>Nippon India Mutual Fund</v>
      </c>
      <c r="B6420" s="1"/>
    </row>
    <row r="6421">
      <c r="A6421" s="1"/>
      <c r="B6421" s="1"/>
    </row>
    <row r="6422">
      <c r="A6422" s="1" t="str">
        <f>IFERROR(__xludf.DUMMYFUNCTION("""COMPUTED_VALUE"""),"118588;INF204K01D22;-;Nippon India Banking &amp; Financial Services Fund - Direct Plan Growth Plan - Bonus Option;485.9994;25-Aug-2023")</f>
        <v>118588;INF204K01D22;-;Nippon India Banking &amp; Financial Services Fund - Direct Plan Growth Plan - Bonus Option;485.9994;25-Aug-2023</v>
      </c>
      <c r="B6422" s="1"/>
    </row>
    <row r="6423">
      <c r="A6423" s="1" t="str">
        <f>IFERROR(__xludf.DUMMYFUNCTION("""COMPUTED_VALUE"""),"118589;INF204K01XO1;-;Nippon India Banking &amp; Financial Services Fund - Direct Plan Growth Plan - Growth Option;485.9994;25-Aug-2023")</f>
        <v>118589;INF204K01XO1;-;Nippon India Banking &amp; Financial Services Fund - Direct Plan Growth Plan - Growth Option;485.9994;25-Aug-2023</v>
      </c>
      <c r="B6423" s="1"/>
    </row>
    <row r="6424">
      <c r="A6424" s="1" t="str">
        <f>IFERROR(__xludf.DUMMYFUNCTION("""COMPUTED_VALUE"""),"101864;INF204K01893;INF204K01901;Nippon India Banking &amp; Financial Services Fund - IDCW Option;61.0414;25-Aug-2023")</f>
        <v>101864;INF204K01893;INF204K01901;Nippon India Banking &amp; Financial Services Fund - IDCW Option;61.0414;25-Aug-2023</v>
      </c>
      <c r="B6424" s="1"/>
    </row>
    <row r="6425">
      <c r="A6425" s="1" t="str">
        <f>IFERROR(__xludf.DUMMYFUNCTION("""COMPUTED_VALUE"""),"118591;INF204K01XM5;INF204K01XN3;Nippon India Banking &amp; Financial Services Fund- DIRECT Plan - IDCW Option;86.5056;25-Aug-2023")</f>
        <v>118591;INF204K01XM5;INF204K01XN3;Nippon India Banking &amp; Financial Services Fund- DIRECT Plan - IDCW Option;86.5056;25-Aug-2023</v>
      </c>
      <c r="B6425" s="1"/>
    </row>
    <row r="6426">
      <c r="A6426" s="1" t="str">
        <f>IFERROR(__xludf.DUMMYFUNCTION("""COMPUTED_VALUE"""),"101863;INF204K01919;-;Nippon India Banking &amp; Financial Services Fund-Growth Plan-Bonus Option;451.6909;25-Aug-2023")</f>
        <v>101863;INF204K01919;-;Nippon India Banking &amp; Financial Services Fund-Growth Plan-Bonus Option;451.6909;25-Aug-2023</v>
      </c>
      <c r="B6426" s="1"/>
    </row>
    <row r="6427">
      <c r="A6427" s="1" t="str">
        <f>IFERROR(__xludf.DUMMYFUNCTION("""COMPUTED_VALUE"""),"101862;INF204K01927;-;Nippon India Banking &amp; Financial Services Fund-Growth Plan-Growth Option;451.6909;25-Aug-2023")</f>
        <v>101862;INF204K01927;-;Nippon India Banking &amp; Financial Services Fund-Growth Plan-Growth Option;451.6909;25-Aug-2023</v>
      </c>
      <c r="B6427" s="1"/>
    </row>
    <row r="6428">
      <c r="A6428" s="1" t="str">
        <f>IFERROR(__xludf.DUMMYFUNCTION("""COMPUTED_VALUE"""),"118725;INF204K01G37;INF204K01G45;NIPPON INDIA CONSUMPTION FUND - DIRECT Plan - IDCW Option;47.9896;25-Aug-2023")</f>
        <v>118725;INF204K01G37;INF204K01G45;NIPPON INDIA CONSUMPTION FUND - DIRECT Plan - IDCW Option;47.9896;25-Aug-2023</v>
      </c>
      <c r="B6428" s="1"/>
    </row>
    <row r="6429">
      <c r="A6429" s="1" t="str">
        <f>IFERROR(__xludf.DUMMYFUNCTION("""COMPUTED_VALUE"""),"118722;INF204K01G29;-;Nippon India Consumption Fund - Direct Plan Growth Plan - Bonus;159.9195;25-Aug-2023")</f>
        <v>118722;INF204K01G29;-;Nippon India Consumption Fund - Direct Plan Growth Plan - Bonus;159.9195;25-Aug-2023</v>
      </c>
      <c r="B6429" s="1"/>
    </row>
    <row r="6430">
      <c r="A6430" s="1" t="str">
        <f>IFERROR(__xludf.DUMMYFUNCTION("""COMPUTED_VALUE"""),"118724;INF204K01G52;-;Nippon India Consumption Fund - Direct Plan Growth Plan - Growth Option;159.9195;25-Aug-2023")</f>
        <v>118724;INF204K01G52;-;Nippon India Consumption Fund - Direct Plan Growth Plan - Growth Option;159.9195;25-Aug-2023</v>
      </c>
      <c r="B6430" s="1"/>
    </row>
    <row r="6431">
      <c r="A6431" s="1" t="str">
        <f>IFERROR(__xludf.DUMMYFUNCTION("""COMPUTED_VALUE"""),"102753;INF204K01AN1;INF204K01AO9;NIPPON INDIA CONSUMPTION FUND - IDCW Option;33.4571;25-Aug-2023")</f>
        <v>102753;INF204K01AN1;INF204K01AO9;NIPPON INDIA CONSUMPTION FUND - IDCW Option;33.4571;25-Aug-2023</v>
      </c>
      <c r="B6431" s="1"/>
    </row>
    <row r="6432">
      <c r="A6432" s="1" t="str">
        <f>IFERROR(__xludf.DUMMYFUNCTION("""COMPUTED_VALUE"""),"102752;INF204K01AP6;-;Nippon India Consumption Fund-Growth Plan-Bonus Option;145.9682;25-Aug-2023")</f>
        <v>102752;INF204K01AP6;-;Nippon India Consumption Fund-Growth Plan-Bonus Option;145.9682;25-Aug-2023</v>
      </c>
      <c r="B6432" s="1"/>
    </row>
    <row r="6433">
      <c r="A6433" s="1" t="str">
        <f>IFERROR(__xludf.DUMMYFUNCTION("""COMPUTED_VALUE"""),"102751;INF204K01AQ4;-;Nippon India Consumption Fund-Growth Plan-Growth Option;145.9682;25-Aug-2023")</f>
        <v>102751;INF204K01AQ4;-;Nippon India Consumption Fund-Growth Plan-Growth Option;145.9682;25-Aug-2023</v>
      </c>
      <c r="B6433" s="1"/>
    </row>
    <row r="6434">
      <c r="A6434" s="1" t="str">
        <f>IFERROR(__xludf.DUMMYFUNCTION("""COMPUTED_VALUE"""),"130864;INF204KA1SM3;-;NIPPON INDIA - JAPAN EQUITY FUND - DIRECT Plan - IDCW Option;17.0179;25-Aug-2023")</f>
        <v>130864;INF204KA1SM3;-;NIPPON INDIA - JAPAN EQUITY FUND - DIRECT Plan - IDCW Option;17.0179;25-Aug-2023</v>
      </c>
      <c r="B6434" s="1"/>
    </row>
    <row r="6435">
      <c r="A6435" s="1" t="str">
        <f>IFERROR(__xludf.DUMMYFUNCTION("""COMPUTED_VALUE"""),"130859;INF204KA1SL5;-;NIPPON INDIA - JAPAN EQUITY FUND - IDCW Option;15.5907;25-Aug-2023")</f>
        <v>130859;INF204KA1SL5;-;NIPPON INDIA - JAPAN EQUITY FUND - IDCW Option;15.5907;25-Aug-2023</v>
      </c>
      <c r="B6435" s="1"/>
    </row>
    <row r="6436">
      <c r="A6436" s="1" t="str">
        <f>IFERROR(__xludf.DUMMYFUNCTION("""COMPUTED_VALUE"""),"130861;INF204KA1SK7;-;Nippon India Japan Equity Fund- Direct Plan- Growth Plan- Bonus Option;17.0179;25-Aug-2023")</f>
        <v>130861;INF204KA1SK7;-;Nippon India Japan Equity Fund- Direct Plan- Growth Plan- Bonus Option;17.0179;25-Aug-2023</v>
      </c>
      <c r="B6436" s="1"/>
    </row>
    <row r="6437">
      <c r="A6437" s="1" t="str">
        <f>IFERROR(__xludf.DUMMYFUNCTION("""COMPUTED_VALUE"""),"130860;INF204KA1SI1;-;Nippon India Japan Equity Fund- Direct Plan- Growth Plan- Growth Option;17.0179;25-Aug-2023")</f>
        <v>130860;INF204KA1SI1;-;Nippon India Japan Equity Fund- Direct Plan- Growth Plan- Growth Option;17.0179;25-Aug-2023</v>
      </c>
      <c r="B6437" s="1"/>
    </row>
    <row r="6438">
      <c r="A6438" s="1" t="str">
        <f>IFERROR(__xludf.DUMMYFUNCTION("""COMPUTED_VALUE"""),"130858;INF204KA1SJ9;-;Nippon India Japan Equity Fund- Growth Plan- Bonus Option;15.5907;25-Aug-2023")</f>
        <v>130858;INF204KA1SJ9;-;Nippon India Japan Equity Fund- Growth Plan- Bonus Option;15.5907;25-Aug-2023</v>
      </c>
      <c r="B6438" s="1"/>
    </row>
    <row r="6439">
      <c r="A6439" s="1" t="str">
        <f>IFERROR(__xludf.DUMMYFUNCTION("""COMPUTED_VALUE"""),"130863;INF204KA1SH3;-;Nippon India Japan Equity Fund- Growth Plan- Growth Option;15.5907;25-Aug-2023")</f>
        <v>130863;INF204KA1SH3;-;Nippon India Japan Equity Fund- Growth Plan- Growth Option;15.5907;25-Aug-2023</v>
      </c>
      <c r="B6439" s="1"/>
    </row>
    <row r="6440">
      <c r="A6440" s="1" t="str">
        <f>IFERROR(__xludf.DUMMYFUNCTION("""COMPUTED_VALUE"""),"118756;INF204K01I35;INF204K01I43;NIPPON INDIA PHARMA FUND - DIRECT Plan - IDCW Option;129.0723;25-Aug-2023")</f>
        <v>118756;INF204K01I35;INF204K01I43;NIPPON INDIA PHARMA FUND - DIRECT Plan - IDCW Option;129.0723;25-Aug-2023</v>
      </c>
      <c r="B6440" s="1"/>
    </row>
    <row r="6441">
      <c r="A6441" s="1" t="str">
        <f>IFERROR(__xludf.DUMMYFUNCTION("""COMPUTED_VALUE"""),"118758;INF204K01I27;-;Nippon India Pharma Fund - Direct Plan Growth Plan - Bonus Option;377.9693;25-Aug-2023")</f>
        <v>118758;INF204K01I27;-;Nippon India Pharma Fund - Direct Plan Growth Plan - Bonus Option;377.9693;25-Aug-2023</v>
      </c>
      <c r="B6441" s="1"/>
    </row>
    <row r="6442">
      <c r="A6442" s="1" t="str">
        <f>IFERROR(__xludf.DUMMYFUNCTION("""COMPUTED_VALUE"""),"118759;INF204K01I50;-;Nippon India Pharma Fund - Direct Plan Growth Plan - Growth Option;377.9693;25-Aug-2023")</f>
        <v>118759;INF204K01I50;-;Nippon India Pharma Fund - Direct Plan Growth Plan - Growth Option;377.9693;25-Aug-2023</v>
      </c>
      <c r="B6442" s="1"/>
    </row>
    <row r="6443">
      <c r="A6443" s="1" t="str">
        <f>IFERROR(__xludf.DUMMYFUNCTION("""COMPUTED_VALUE"""),"102433;INF204K01935;INF204K01943;NIPPON INDIA PHARMA FUND - IDCW Option;95.8549;25-Aug-2023")</f>
        <v>102433;INF204K01935;INF204K01943;NIPPON INDIA PHARMA FUND - IDCW Option;95.8549;25-Aug-2023</v>
      </c>
      <c r="B6443" s="1"/>
    </row>
    <row r="6444">
      <c r="A6444" s="1" t="str">
        <f>IFERROR(__xludf.DUMMYFUNCTION("""COMPUTED_VALUE"""),"102432;INF204K01950;-;Nippon India Pharma Fund-Growth Plan-Bonus Option;345.1958;25-Aug-2023")</f>
        <v>102432;INF204K01950;-;Nippon India Pharma Fund-Growth Plan-Bonus Option;345.1958;25-Aug-2023</v>
      </c>
      <c r="B6444" s="1"/>
    </row>
    <row r="6445">
      <c r="A6445" s="1" t="str">
        <f>IFERROR(__xludf.DUMMYFUNCTION("""COMPUTED_VALUE"""),"102431;INF204K01968;-;Nippon India Pharma Fund-Growth Plan-Growth Option;345.1958;25-Aug-2023")</f>
        <v>102431;INF204K01968;-;Nippon India Pharma Fund-Growth Plan-Growth Option;345.1958;25-Aug-2023</v>
      </c>
      <c r="B6445" s="1"/>
    </row>
    <row r="6446">
      <c r="A6446" s="1" t="str">
        <f>IFERROR(__xludf.DUMMYFUNCTION("""COMPUTED_VALUE"""),"118760;INF204K01I76;INF204K01I84;NIPPON INDIA POWER &amp; INFRA FUND - DIRECT Plan - IDCW Option;54.4623;25-Aug-2023")</f>
        <v>118760;INF204K01I76;INF204K01I84;NIPPON INDIA POWER &amp; INFRA FUND - DIRECT Plan - IDCW Option;54.4623;25-Aug-2023</v>
      </c>
      <c r="B6446" s="1"/>
    </row>
    <row r="6447">
      <c r="A6447" s="1" t="str">
        <f>IFERROR(__xludf.DUMMYFUNCTION("""COMPUTED_VALUE"""),"118762;INF204K01I68;-;Nippon India Power &amp; Infra Fund - Direct Plan Growth Plan - Bonus Option;233.8133;25-Aug-2023")</f>
        <v>118762;INF204K01I68;-;Nippon India Power &amp; Infra Fund - Direct Plan Growth Plan - Bonus Option;233.8133;25-Aug-2023</v>
      </c>
      <c r="B6447" s="1"/>
    </row>
    <row r="6448">
      <c r="A6448" s="1" t="str">
        <f>IFERROR(__xludf.DUMMYFUNCTION("""COMPUTED_VALUE"""),"118763;INF204K01I92;-;Nippon India Power &amp; Infra Fund - Direct Plan Growth Plan - Growth Option;233.8133;25-Aug-2023")</f>
        <v>118763;INF204K01I92;-;Nippon India Power &amp; Infra Fund - Direct Plan Growth Plan - Growth Option;233.8133;25-Aug-2023</v>
      </c>
      <c r="B6448" s="1"/>
    </row>
    <row r="6449">
      <c r="A6449" s="1" t="str">
        <f>IFERROR(__xludf.DUMMYFUNCTION("""COMPUTED_VALUE"""),"101264;INF204K01AB6;INF204K01AC4;NIPPON INDIA POWER &amp; INFRA FUND - IDCW Option;49.1781;25-Aug-2023")</f>
        <v>101264;INF204K01AB6;INF204K01AC4;NIPPON INDIA POWER &amp; INFRA FUND - IDCW Option;49.1781;25-Aug-2023</v>
      </c>
      <c r="B6449" s="1"/>
    </row>
    <row r="6450">
      <c r="A6450" s="1" t="str">
        <f>IFERROR(__xludf.DUMMYFUNCTION("""COMPUTED_VALUE"""),"101262;INF204K01AE0;-;Nippon India Power &amp; Infra Fund-Growth Plan -Growth Option;219.3317;25-Aug-2023")</f>
        <v>101262;INF204K01AE0;-;Nippon India Power &amp; Infra Fund-Growth Plan -Growth Option;219.3317;25-Aug-2023</v>
      </c>
      <c r="B6450" s="1"/>
    </row>
    <row r="6451">
      <c r="A6451" s="1" t="str">
        <f>IFERROR(__xludf.DUMMYFUNCTION("""COMPUTED_VALUE"""),"101263;INF204K01AD2;-;Nippon India Power &amp; Infra Fund-Growth Plan-Bonus Option;219.3317;25-Aug-2023")</f>
        <v>101263;INF204K01AD2;-;Nippon India Power &amp; Infra Fund-Growth Plan-Bonus Option;219.3317;25-Aug-2023</v>
      </c>
      <c r="B6451" s="1"/>
    </row>
    <row r="6452">
      <c r="A6452" s="1" t="str">
        <f>IFERROR(__xludf.DUMMYFUNCTION("""COMPUTED_VALUE"""),"118767;INF204K01J18;INF204K01J26;NIPPON INDIA QUANT FUND - DIRECT Plan - IDCW Option;29.4999;25-Aug-2023")</f>
        <v>118767;INF204K01J18;INF204K01J26;NIPPON INDIA QUANT FUND - DIRECT Plan - IDCW Option;29.4999;25-Aug-2023</v>
      </c>
      <c r="B6452" s="1"/>
    </row>
    <row r="6453">
      <c r="A6453" s="1" t="str">
        <f>IFERROR(__xludf.DUMMYFUNCTION("""COMPUTED_VALUE"""),"118770;INF204K01J00;-;Nippon India Quant Fund - Direct Plan Growth Plan - Bonus Option;51.4241;25-Aug-2023")</f>
        <v>118770;INF204K01J00;-;Nippon India Quant Fund - Direct Plan Growth Plan - Bonus Option;51.4241;25-Aug-2023</v>
      </c>
      <c r="B6453" s="1"/>
    </row>
    <row r="6454">
      <c r="A6454" s="1" t="str">
        <f>IFERROR(__xludf.DUMMYFUNCTION("""COMPUTED_VALUE"""),"118769;INF204K01J34;-;Nippon India Quant Fund - Direct Plan Growth Plan - Growth Option;51.4241;25-Aug-2023")</f>
        <v>118769;INF204K01J34;-;Nippon India Quant Fund - Direct Plan Growth Plan - Growth Option;51.4241;25-Aug-2023</v>
      </c>
      <c r="B6454" s="1"/>
    </row>
    <row r="6455">
      <c r="A6455" s="1" t="str">
        <f>IFERROR(__xludf.DUMMYFUNCTION("""COMPUTED_VALUE"""),"108252;INF204K01745;INF204K01752;NIPPON INDIA QUANT FUND - IDCW Option;25.5581;25-Aug-2023")</f>
        <v>108252;INF204K01745;INF204K01752;NIPPON INDIA QUANT FUND - IDCW Option;25.5581;25-Aug-2023</v>
      </c>
      <c r="B6455" s="1"/>
    </row>
    <row r="6456">
      <c r="A6456" s="1" t="str">
        <f>IFERROR(__xludf.DUMMYFUNCTION("""COMPUTED_VALUE"""),"108249;INF204K01760;-;Nippon India Quant Fund -Growth Plan - Growth Option;47.9435;25-Aug-2023")</f>
        <v>108249;INF204K01760;-;Nippon India Quant Fund -Growth Plan - Growth Option;47.9435;25-Aug-2023</v>
      </c>
      <c r="B6456" s="1"/>
    </row>
    <row r="6457">
      <c r="A6457" s="1" t="str">
        <f>IFERROR(__xludf.DUMMYFUNCTION("""COMPUTED_VALUE"""),"108258;INF204K01737;-;Nippon India Quant Fund -Growth Plan -Bonus Option;47.9435;25-Aug-2023")</f>
        <v>108258;INF204K01737;-;Nippon India Quant Fund -Growth Plan -Bonus Option;47.9435;25-Aug-2023</v>
      </c>
      <c r="B6457" s="1"/>
    </row>
    <row r="6458">
      <c r="A6458" s="1" t="str">
        <f>IFERROR(__xludf.DUMMYFUNCTION("""COMPUTED_VALUE"""),"149329;INF204KC1303;-;Nippon India Taiwan Equity Fund- Direct Plan- Growth Option;9.1126;25-Aug-2023")</f>
        <v>149329;INF204KC1303;-;Nippon India Taiwan Equity Fund- Direct Plan- Growth Option;9.1126;25-Aug-2023</v>
      </c>
      <c r="B6458" s="1"/>
    </row>
    <row r="6459">
      <c r="A6459" s="1" t="str">
        <f>IFERROR(__xludf.DUMMYFUNCTION("""COMPUTED_VALUE"""),"149327;INF204KC1311;INF204KC1329;Nippon India Taiwan Equity Fund- Direct Plan- IDCW option;9.1126;25-Aug-2023")</f>
        <v>149327;INF204KC1311;INF204KC1329;Nippon India Taiwan Equity Fund- Direct Plan- IDCW option;9.1126;25-Aug-2023</v>
      </c>
      <c r="B6459" s="1"/>
    </row>
    <row r="6460">
      <c r="A6460" s="1" t="str">
        <f>IFERROR(__xludf.DUMMYFUNCTION("""COMPUTED_VALUE"""),"149328;INF204KC1279;-;Nippon India Taiwan Equity fund- Regular Plan- Growth Option;8.8725;25-Aug-2023")</f>
        <v>149328;INF204KC1279;-;Nippon India Taiwan Equity fund- Regular Plan- Growth Option;8.8725;25-Aug-2023</v>
      </c>
      <c r="B6460" s="1"/>
    </row>
    <row r="6461">
      <c r="A6461" s="1" t="str">
        <f>IFERROR(__xludf.DUMMYFUNCTION("""COMPUTED_VALUE"""),"149325;INF204KC1287;INF204KC1295;Nippon India Taiwan Equity Fund- Regular Plan- IDCW option;8.8725;25-Aug-2023")</f>
        <v>149325;INF204KC1287;INF204KC1295;Nippon India Taiwan Equity Fund- Regular Plan- IDCW option;8.8725;25-Aug-2023</v>
      </c>
      <c r="B6461" s="1"/>
    </row>
    <row r="6462">
      <c r="A6462" s="1" t="str">
        <f>IFERROR(__xludf.DUMMYFUNCTION("""COMPUTED_VALUE"""),"134925;INF204KA16G3;INF204KA17G1;NIPPON INDIA - US EQUITY OPPORTUNITES FUND - Direct Plan - IDCW Option;27.4904;25-Aug-2023")</f>
        <v>134925;INF204KA16G3;INF204KA17G1;NIPPON INDIA - US EQUITY OPPORTUNITES FUND - Direct Plan - IDCW Option;27.4904;25-Aug-2023</v>
      </c>
      <c r="B6462" s="1"/>
    </row>
    <row r="6463">
      <c r="A6463" s="1" t="str">
        <f>IFERROR(__xludf.DUMMYFUNCTION("""COMPUTED_VALUE"""),"134924;INF204KA13G0;INF204KA14G8;NIPPON INDIA - US EQUITY OPPORTUNITES FUND - IDCW Option;25.1649;25-Aug-2023")</f>
        <v>134924;INF204KA13G0;INF204KA14G8;NIPPON INDIA - US EQUITY OPPORTUNITES FUND - IDCW Option;25.1649;25-Aug-2023</v>
      </c>
      <c r="B6463" s="1"/>
    </row>
    <row r="6464">
      <c r="A6464" s="1" t="str">
        <f>IFERROR(__xludf.DUMMYFUNCTION("""COMPUTED_VALUE"""),"134923;INF204KA15G5;-;Nippon India US Equity Opportunites Fund- Direct Plan- Growth Plan- Growth Option;27.4904;25-Aug-2023")</f>
        <v>134923;INF204KA15G5;-;Nippon India US Equity Opportunites Fund- Direct Plan- Growth Plan- Growth Option;27.4904;25-Aug-2023</v>
      </c>
      <c r="B6464" s="1"/>
    </row>
    <row r="6465">
      <c r="A6465" s="1" t="str">
        <f>IFERROR(__xludf.DUMMYFUNCTION("""COMPUTED_VALUE"""),"134922;INF204KA12G2;-;Nippon India US Equity Opportunites Fund- Growth Plan- Growth Option;25.1649;25-Aug-2023")</f>
        <v>134922;INF204KA12G2;-;Nippon India US Equity Opportunites Fund- Growth Plan- Growth Option;25.1649;25-Aug-2023</v>
      </c>
      <c r="B6465" s="1"/>
    </row>
    <row r="6466">
      <c r="A6466" s="1"/>
      <c r="B6466" s="1"/>
    </row>
    <row r="6467">
      <c r="A6467" s="1" t="str">
        <f>IFERROR(__xludf.DUMMYFUNCTION("""COMPUTED_VALUE"""),"quant Mutual Fund")</f>
        <v>quant Mutual Fund</v>
      </c>
      <c r="B6467" s="1"/>
    </row>
    <row r="6468">
      <c r="A6468" s="1"/>
      <c r="B6468" s="1"/>
    </row>
    <row r="6469">
      <c r="A6469" s="1" t="str">
        <f>IFERROR(__xludf.DUMMYFUNCTION("""COMPUTED_VALUE"""),"151791;INF966L01BX0;-;quant BFSI Fund - Growth Option - Direct Plan;11.3787;25-Aug-2023")</f>
        <v>151791;INF966L01BX0;-;quant BFSI Fund - Growth Option - Direct Plan;11.3787;25-Aug-2023</v>
      </c>
      <c r="B6469" s="1"/>
    </row>
    <row r="6470">
      <c r="A6470" s="1" t="str">
        <f>IFERROR(__xludf.DUMMYFUNCTION("""COMPUTED_VALUE"""),"151788;INF966L01CA6;-;quant BFSI Fund - Growth Option - Regular Plan;11.3418;25-Aug-2023")</f>
        <v>151788;INF966L01CA6;-;quant BFSI Fund - Growth Option - Regular Plan;11.3418;25-Aug-2023</v>
      </c>
      <c r="B6470" s="1"/>
    </row>
    <row r="6471">
      <c r="A6471" s="1" t="str">
        <f>IFERROR(__xludf.DUMMYFUNCTION("""COMPUTED_VALUE"""),"151790;INF966L01BY8;INF966L01BZ5;quant BFSI Fund - IDCW Option - Direct Plan;11.3783;25-Aug-2023")</f>
        <v>151790;INF966L01BY8;INF966L01BZ5;quant BFSI Fund - IDCW Option - Direct Plan;11.3783;25-Aug-2023</v>
      </c>
      <c r="B6471" s="1"/>
    </row>
    <row r="6472">
      <c r="A6472" s="1" t="str">
        <f>IFERROR(__xludf.DUMMYFUNCTION("""COMPUTED_VALUE"""),"151789;INF966L01CB4;INF966L01CC2;quant BFSI Fund - IDCW Option - Regular Plan;11.3389;25-Aug-2023")</f>
        <v>151789;INF966L01CB4;INF966L01CC2;quant BFSI Fund - IDCW Option - Regular Plan;11.3389;25-Aug-2023</v>
      </c>
      <c r="B6472" s="1"/>
    </row>
    <row r="6473">
      <c r="A6473" s="1" t="str">
        <f>IFERROR(__xludf.DUMMYFUNCTION("""COMPUTED_VALUE"""),"151757;INF966L01BR2;-;quant Business Cycle Fund - Growth Option - Direct Plan;11.4604;25-Aug-2023")</f>
        <v>151757;INF966L01BR2;-;quant Business Cycle Fund - Growth Option - Direct Plan;11.4604;25-Aug-2023</v>
      </c>
      <c r="B6473" s="1"/>
    </row>
    <row r="6474">
      <c r="A6474" s="1" t="str">
        <f>IFERROR(__xludf.DUMMYFUNCTION("""COMPUTED_VALUE"""),"151758;INF966L01BU6;-;quant Business Cycle Fund - Growth Option - Regular Plan;11.4125;25-Aug-2023")</f>
        <v>151758;INF966L01BU6;-;quant Business Cycle Fund - Growth Option - Regular Plan;11.4125;25-Aug-2023</v>
      </c>
      <c r="B6474" s="1"/>
    </row>
    <row r="6475">
      <c r="A6475" s="1" t="str">
        <f>IFERROR(__xludf.DUMMYFUNCTION("""COMPUTED_VALUE"""),"151759;INF966L01BS0;INF966L01BT8;quant Business Cycle Fund - IDCW Option - Direct Plan;11.46;25-Aug-2023")</f>
        <v>151759;INF966L01BS0;INF966L01BT8;quant Business Cycle Fund - IDCW Option - Direct Plan;11.46;25-Aug-2023</v>
      </c>
      <c r="B6475" s="1"/>
    </row>
    <row r="6476">
      <c r="A6476" s="1" t="str">
        <f>IFERROR(__xludf.DUMMYFUNCTION("""COMPUTED_VALUE"""),"151760;INF966L01BV4;INF966L01BW2;quant Business Cycle Fund - IDCW Option - Regular Plan;11.4131;25-Aug-2023")</f>
        <v>151760;INF966L01BV4;INF966L01BW2;quant Business Cycle Fund - IDCW Option - Regular Plan;11.4131;25-Aug-2023</v>
      </c>
      <c r="B6476" s="1"/>
    </row>
    <row r="6477">
      <c r="A6477" s="1" t="str">
        <f>IFERROR(__xludf.DUMMYFUNCTION("""COMPUTED_VALUE"""),"148564;INF966L01AD4;-;quant ESG Equity Fund - Growth Option - Direct Plan;25.3353;25-Aug-2023")</f>
        <v>148564;INF966L01AD4;-;quant ESG Equity Fund - Growth Option - Direct Plan;25.3353;25-Aug-2023</v>
      </c>
      <c r="B6477" s="1"/>
    </row>
    <row r="6478">
      <c r="A6478" s="1" t="str">
        <f>IFERROR(__xludf.DUMMYFUNCTION("""COMPUTED_VALUE"""),"148560;INF966L01AB8;-;quant ESG Equity Fund - Growth Option - Regular Plan;24.2762;25-Aug-2023")</f>
        <v>148560;INF966L01AB8;-;quant ESG Equity Fund - Growth Option - Regular Plan;24.2762;25-Aug-2023</v>
      </c>
      <c r="B6478" s="1"/>
    </row>
    <row r="6479">
      <c r="A6479" s="1" t="str">
        <f>IFERROR(__xludf.DUMMYFUNCTION("""COMPUTED_VALUE"""),"148563;INF966L01AE2;INF966L01AG7;quant ESG Equity Fund - IDCW Option - Direct Plan;25.3082;25-Aug-2023")</f>
        <v>148563;INF966L01AE2;INF966L01AG7;quant ESG Equity Fund - IDCW Option - Direct Plan;25.3082;25-Aug-2023</v>
      </c>
      <c r="B6479" s="1"/>
    </row>
    <row r="6480">
      <c r="A6480" s="1" t="str">
        <f>IFERROR(__xludf.DUMMYFUNCTION("""COMPUTED_VALUE"""),"148561;INF966L01AC6;INF966L01AF9;quant ESG Equity Fund - IDCW Option - Regular Plan;24.1617;25-Aug-2023")</f>
        <v>148561;INF966L01AC6;INF966L01AF9;quant ESG Equity Fund - IDCW Option - Regular Plan;24.1617;25-Aug-2023</v>
      </c>
      <c r="B6480" s="1"/>
    </row>
    <row r="6481">
      <c r="A6481" s="1" t="str">
        <f>IFERROR(__xludf.DUMMYFUNCTION("""COMPUTED_VALUE"""),"151853;INF966L01CD0;-;quant Healthcare Fund - Growth Option - Direct Plan;10.4933;25-Aug-2023")</f>
        <v>151853;INF966L01CD0;-;quant Healthcare Fund - Growth Option - Direct Plan;10.4933;25-Aug-2023</v>
      </c>
      <c r="B6481" s="1"/>
    </row>
    <row r="6482">
      <c r="A6482" s="1" t="str">
        <f>IFERROR(__xludf.DUMMYFUNCTION("""COMPUTED_VALUE"""),"151855;INF966L01CG3;-;quant Healthcare Fund - Growth Option - Regular Plan;10.4735;25-Aug-2023")</f>
        <v>151855;INF966L01CG3;-;quant Healthcare Fund - Growth Option - Regular Plan;10.4735;25-Aug-2023</v>
      </c>
      <c r="B6482" s="1"/>
    </row>
    <row r="6483">
      <c r="A6483" s="1" t="str">
        <f>IFERROR(__xludf.DUMMYFUNCTION("""COMPUTED_VALUE"""),"151854;INF966L01CE8;INF966L01CF5;quant Healthcare Fund - IDCW Option - Direct Plan;10.4937;25-Aug-2023")</f>
        <v>151854;INF966L01CE8;INF966L01CF5;quant Healthcare Fund - IDCW Option - Direct Plan;10.4937;25-Aug-2023</v>
      </c>
      <c r="B6483" s="1"/>
    </row>
    <row r="6484">
      <c r="A6484" s="1" t="str">
        <f>IFERROR(__xludf.DUMMYFUNCTION("""COMPUTED_VALUE"""),"151856;INF966L01CH1;INF966L01CI9;quant Healthcare Fund - IDCW Option - Regular Plan;10.4742;25-Aug-2023")</f>
        <v>151856;INF966L01CH1;INF966L01CI9;quant Healthcare Fund - IDCW Option - Regular Plan;10.4742;25-Aug-2023</v>
      </c>
      <c r="B6484" s="1"/>
    </row>
    <row r="6485">
      <c r="A6485" s="1" t="str">
        <f>IFERROR(__xludf.DUMMYFUNCTION("""COMPUTED_VALUE"""),"106170;INF966L01523;-;quant Infrastructure Fund - Growth Option;24.9003;25-Aug-2023")</f>
        <v>106170;INF966L01523;-;quant Infrastructure Fund - Growth Option;24.9003;25-Aug-2023</v>
      </c>
      <c r="B6485" s="1"/>
    </row>
    <row r="6486">
      <c r="A6486" s="1" t="str">
        <f>IFERROR(__xludf.DUMMYFUNCTION("""COMPUTED_VALUE"""),"120833;INF966L01721;-;quant Infrastructure Fund - Growth Option-Direct Plan;26.6771;25-Aug-2023")</f>
        <v>120833;INF966L01721;-;quant Infrastructure Fund - Growth Option-Direct Plan;26.6771;25-Aug-2023</v>
      </c>
      <c r="B6486" s="1"/>
    </row>
    <row r="6487">
      <c r="A6487" s="1" t="str">
        <f>IFERROR(__xludf.DUMMYFUNCTION("""COMPUTED_VALUE"""),"120832;INF966L01705;INF966L01713;quant Infrastructure Fund - IDCW Option - Direct Plan;26.6588;25-Aug-2023")</f>
        <v>120832;INF966L01705;INF966L01713;quant Infrastructure Fund - IDCW Option - Direct Plan;26.6588;25-Aug-2023</v>
      </c>
      <c r="B6487" s="1"/>
    </row>
    <row r="6488">
      <c r="A6488" s="1" t="str">
        <f>IFERROR(__xludf.DUMMYFUNCTION("""COMPUTED_VALUE"""),"106169;INF966L01507;INF966L01515;quant Infrastructure Fund - IDCW Option - Regular Plan;24.838;25-Aug-2023")</f>
        <v>106169;INF966L01507;INF966L01515;quant Infrastructure Fund - IDCW Option - Regular Plan;24.838;25-Aug-2023</v>
      </c>
      <c r="B6488" s="1"/>
    </row>
    <row r="6489">
      <c r="A6489" s="1" t="str">
        <f>IFERROR(__xludf.DUMMYFUNCTION("""COMPUTED_VALUE"""),"151916;INF966L01CJ7;-;quant Manufacturing Fund - Growth Option - Direct Plan;10.1663;25-Aug-2023")</f>
        <v>151916;INF966L01CJ7;-;quant Manufacturing Fund - Growth Option - Direct Plan;10.1663;25-Aug-2023</v>
      </c>
      <c r="B6489" s="1"/>
    </row>
    <row r="6490">
      <c r="A6490" s="1" t="str">
        <f>IFERROR(__xludf.DUMMYFUNCTION("""COMPUTED_VALUE"""),"151913;INF966L01CN9;-;quant Manufacturing Fund - Growth Option - Regular Plan;10.1603;25-Aug-2023")</f>
        <v>151913;INF966L01CN9;-;quant Manufacturing Fund - Growth Option - Regular Plan;10.1603;25-Aug-2023</v>
      </c>
      <c r="B6490" s="1"/>
    </row>
    <row r="6491">
      <c r="A6491" s="1" t="str">
        <f>IFERROR(__xludf.DUMMYFUNCTION("""COMPUTED_VALUE"""),"151914;INF966L01CK5;INF966L01CL3;quant Manufacturing Fund - IDCW Option - Direct Plan;10.1658;25-Aug-2023")</f>
        <v>151914;INF966L01CK5;INF966L01CL3;quant Manufacturing Fund - IDCW Option - Direct Plan;10.1658;25-Aug-2023</v>
      </c>
      <c r="B6491" s="1"/>
    </row>
    <row r="6492">
      <c r="A6492" s="1" t="str">
        <f>IFERROR(__xludf.DUMMYFUNCTION("""COMPUTED_VALUE"""),"151915;INF966L01CO7;INF966L01CP4;quant Manufacturing Fund - IDCW Option - Regular Plan;10.161;25-Aug-2023")</f>
        <v>151915;INF966L01CO7;INF966L01CP4;quant Manufacturing Fund - IDCW Option - Regular Plan;10.161;25-Aug-2023</v>
      </c>
      <c r="B6492" s="1"/>
    </row>
    <row r="6493">
      <c r="A6493" s="1" t="str">
        <f>IFERROR(__xludf.DUMMYFUNCTION("""COMPUTED_VALUE"""),"148925;INF966L01AK9;-;quant Quantamental Fund - Growth Option - Direct Plan;16.5571;25-Aug-2023")</f>
        <v>148925;INF966L01AK9;-;quant Quantamental Fund - Growth Option - Direct Plan;16.5571;25-Aug-2023</v>
      </c>
      <c r="B6493" s="1"/>
    </row>
    <row r="6494">
      <c r="A6494" s="1" t="str">
        <f>IFERROR(__xludf.DUMMYFUNCTION("""COMPUTED_VALUE"""),"148923;INF966L01AH5;-;quant Quantamental Fund - Growth Option - Regular Plan;15.9025;25-Aug-2023")</f>
        <v>148923;INF966L01AH5;-;quant Quantamental Fund - Growth Option - Regular Plan;15.9025;25-Aug-2023</v>
      </c>
      <c r="B6494" s="1"/>
    </row>
    <row r="6495">
      <c r="A6495" s="1" t="str">
        <f>IFERROR(__xludf.DUMMYFUNCTION("""COMPUTED_VALUE"""),"148924;INF966L01AL7;INF966L01AM5;quant Quantamental Fund - IDCW Option - Direct Plan;16.6438;25-Aug-2023")</f>
        <v>148924;INF966L01AL7;INF966L01AM5;quant Quantamental Fund - IDCW Option - Direct Plan;16.6438;25-Aug-2023</v>
      </c>
      <c r="B6495" s="1"/>
    </row>
    <row r="6496">
      <c r="A6496" s="1" t="str">
        <f>IFERROR(__xludf.DUMMYFUNCTION("""COMPUTED_VALUE"""),"148922;INF966L01AI3;INF966L01AJ1;quant Quantamental Fund - IDCW Option - Regular Plan;15.9197;25-Aug-2023")</f>
        <v>148922;INF966L01AI3;INF966L01AJ1;quant Quantamental Fund - IDCW Option - Regular Plan;15.9197;25-Aug-2023</v>
      </c>
      <c r="B6496" s="1"/>
    </row>
    <row r="6497">
      <c r="A6497" s="1"/>
      <c r="B6497" s="1"/>
    </row>
    <row r="6498">
      <c r="A6498" s="1" t="str">
        <f>IFERROR(__xludf.DUMMYFUNCTION("""COMPUTED_VALUE"""),"Quantum Mutual Fund")</f>
        <v>Quantum Mutual Fund</v>
      </c>
      <c r="B6498" s="1"/>
    </row>
    <row r="6499">
      <c r="A6499" s="1"/>
      <c r="B6499" s="1"/>
    </row>
    <row r="6500">
      <c r="A6500" s="1" t="str">
        <f>IFERROR(__xludf.DUMMYFUNCTION("""COMPUTED_VALUE"""),"147372;INF082J01382;-;QUANTUM INDIA ESG EQUITY FUND - DIRECT PLAN - GROWTH OPTION;18.87;25-Aug-2023")</f>
        <v>147372;INF082J01382;-;QUANTUM INDIA ESG EQUITY FUND - DIRECT PLAN - GROWTH OPTION;18.87;25-Aug-2023</v>
      </c>
      <c r="B6500" s="1"/>
    </row>
    <row r="6501">
      <c r="A6501" s="1" t="str">
        <f>IFERROR(__xludf.DUMMYFUNCTION("""COMPUTED_VALUE"""),"147371;INF082J01390;-;QUANTUM INDIA ESG EQUITY FUND - REGULAR PLAN - GROWTH OPTION;18.33;25-Aug-2023")</f>
        <v>147371;INF082J01390;-;QUANTUM INDIA ESG EQUITY FUND - REGULAR PLAN - GROWTH OPTION;18.33;25-Aug-2023</v>
      </c>
      <c r="B6501" s="1"/>
    </row>
    <row r="6502">
      <c r="A6502" s="1"/>
      <c r="B6502" s="1"/>
    </row>
    <row r="6503">
      <c r="A6503" s="1" t="str">
        <f>IFERROR(__xludf.DUMMYFUNCTION("""COMPUTED_VALUE"""),"Samco Mutual Fund")</f>
        <v>Samco Mutual Fund</v>
      </c>
      <c r="B6503" s="1"/>
    </row>
    <row r="6504">
      <c r="A6504" s="1"/>
      <c r="B6504" s="1"/>
    </row>
    <row r="6505">
      <c r="A6505" s="1" t="str">
        <f>IFERROR(__xludf.DUMMYFUNCTION("""COMPUTED_VALUE"""),"151753;INF0K1H01081;-;Samco Active Momentum Fund - Direct Plan - Growth Option;10.24;25-Aug-2023")</f>
        <v>151753;INF0K1H01081;-;Samco Active Momentum Fund - Direct Plan - Growth Option;10.24;25-Aug-2023</v>
      </c>
      <c r="B6505" s="1"/>
    </row>
    <row r="6506">
      <c r="A6506" s="1" t="str">
        <f>IFERROR(__xludf.DUMMYFUNCTION("""COMPUTED_VALUE"""),"151752;INF0K1H01073;-;Samco Active Momentum Fund - Regular Plan - Growth Option;10.22;25-Aug-2023")</f>
        <v>151752;INF0K1H01073;-;Samco Active Momentum Fund - Regular Plan - Growth Option;10.22;25-Aug-2023</v>
      </c>
      <c r="B6506" s="1"/>
    </row>
    <row r="6507">
      <c r="A6507" s="1"/>
      <c r="B6507" s="1"/>
    </row>
    <row r="6508">
      <c r="A6508" s="1" t="str">
        <f>IFERROR(__xludf.DUMMYFUNCTION("""COMPUTED_VALUE"""),"SBI Mutual Fund")</f>
        <v>SBI Mutual Fund</v>
      </c>
      <c r="B6508" s="1"/>
    </row>
    <row r="6509">
      <c r="A6509" s="1"/>
      <c r="B6509" s="1"/>
    </row>
    <row r="6510">
      <c r="A6510" s="1" t="str">
        <f>IFERROR(__xludf.DUMMYFUNCTION("""COMPUTED_VALUE"""),"133859;INF200KA1507;-;SBI BANKING &amp; FINANCIAL SERVICES FUND - DIRECT PLAN - GROWTH;30.5757;25-Aug-2023")</f>
        <v>133859;INF200KA1507;-;SBI BANKING &amp; FINANCIAL SERVICES FUND - DIRECT PLAN - GROWTH;30.5757;25-Aug-2023</v>
      </c>
      <c r="B6510" s="1"/>
    </row>
    <row r="6511">
      <c r="A6511" s="1" t="str">
        <f>IFERROR(__xludf.DUMMYFUNCTION("""COMPUTED_VALUE"""),"133857;INF200KA1515;INF200KA1523;SBI Banking &amp; Financial Services Fund - Direct Plan - Income Distribution cum Capital Withdrawal Option (IDCW);27.3308;25-Aug-2023")</f>
        <v>133857;INF200KA1515;INF200KA1523;SBI Banking &amp; Financial Services Fund - Direct Plan - Income Distribution cum Capital Withdrawal Option (IDCW);27.3308;25-Aug-2023</v>
      </c>
      <c r="B6511" s="1"/>
    </row>
    <row r="6512">
      <c r="A6512" s="1" t="str">
        <f>IFERROR(__xludf.DUMMYFUNCTION("""COMPUTED_VALUE"""),"133858;INF200KA1473;-;SBI BANKING &amp; FINANCIAL SERVICES FUND - REGULAR PLAN - GROWTH;27.9543;25-Aug-2023")</f>
        <v>133858;INF200KA1473;-;SBI BANKING &amp; FINANCIAL SERVICES FUND - REGULAR PLAN - GROWTH;27.9543;25-Aug-2023</v>
      </c>
      <c r="B6512" s="1"/>
    </row>
    <row r="6513">
      <c r="A6513" s="1" t="str">
        <f>IFERROR(__xludf.DUMMYFUNCTION("""COMPUTED_VALUE"""),"133860;INF200KA1481;INF200KA1499;SBI Banking &amp; Financial Services Fund - Regular Plan - Income Distribution cum Capital Withdrawal Option (IDCW);25.1037;25-Aug-2023")</f>
        <v>133860;INF200KA1481;INF200KA1499;SBI Banking &amp; Financial Services Fund - Regular Plan - Income Distribution cum Capital Withdrawal Option (IDCW);25.1037;25-Aug-2023</v>
      </c>
      <c r="B6513" s="1"/>
    </row>
    <row r="6514">
      <c r="A6514" s="1" t="str">
        <f>IFERROR(__xludf.DUMMYFUNCTION("""COMPUTED_VALUE"""),"120575;INF200K01RM5;-;SBI CONSUMPTION OPPORTUNITIES FUND - DIRECT PLAN - GROWTH;266.0849;25-Aug-2023")</f>
        <v>120575;INF200K01RM5;-;SBI CONSUMPTION OPPORTUNITIES FUND - DIRECT PLAN - GROWTH;266.0849;25-Aug-2023</v>
      </c>
      <c r="B6514" s="1"/>
    </row>
    <row r="6515">
      <c r="A6515" s="1" t="str">
        <f>IFERROR(__xludf.DUMMYFUNCTION("""COMPUTED_VALUE"""),"119730;INF200K01RK9;INF200K01RL7;SBI Consumption Opportunities Fund - Direct Plan - Income Distribution cum Capital Withdrawal Option (IDCW);187.3188;25-Aug-2023")</f>
        <v>119730;INF200K01RK9;INF200K01RL7;SBI Consumption Opportunities Fund - Direct Plan - Income Distribution cum Capital Withdrawal Option (IDCW);187.3188;25-Aug-2023</v>
      </c>
      <c r="B6515" s="1"/>
    </row>
    <row r="6516">
      <c r="A6516" s="1" t="str">
        <f>IFERROR(__xludf.DUMMYFUNCTION("""COMPUTED_VALUE"""),"120576;INF200K01VR6;-;SBI CONSUMPTION OPPORTUNITIES FUND - REGULAR - GROWTH;238.0239;25-Aug-2023")</f>
        <v>120576;INF200K01VR6;-;SBI CONSUMPTION OPPORTUNITIES FUND - REGULAR - GROWTH;238.0239;25-Aug-2023</v>
      </c>
      <c r="B6516" s="1"/>
    </row>
    <row r="6517">
      <c r="A6517" s="1" t="str">
        <f>IFERROR(__xludf.DUMMYFUNCTION("""COMPUTED_VALUE"""),"100645;INF200K01404;INF200K01412;SBI Consumption Opportunities Fund - Regular Plan - Income Distribution cum Capital Withdrawal Option (IDCW);143.3062;25-Aug-2023")</f>
        <v>100645;INF200K01404;INF200K01412;SBI Consumption Opportunities Fund - Regular Plan - Income Distribution cum Capital Withdrawal Option (IDCW);143.3062;25-Aug-2023</v>
      </c>
      <c r="B6517" s="1"/>
    </row>
    <row r="6518">
      <c r="A6518" s="1" t="str">
        <f>IFERROR(__xludf.DUMMYFUNCTION("""COMPUTED_VALUE"""),"146643;INF200KA1A71;-;SBI Equity Minimum Variance Fund - Direct Plan - Growth;18.9257;25-Aug-2023")</f>
        <v>146643;INF200KA1A71;-;SBI Equity Minimum Variance Fund - Direct Plan - Growth;18.9257;25-Aug-2023</v>
      </c>
      <c r="B6518" s="1"/>
    </row>
    <row r="6519">
      <c r="A6519" s="1" t="str">
        <f>IFERROR(__xludf.DUMMYFUNCTION("""COMPUTED_VALUE"""),"146642;INF200KA1A89;INF200KA1A97;SBI Equity Minimum Variance Fund - Direct Plan - Income Distribution cum Capital Withdrawal Option (IDCW);18.9245;25-Aug-2023")</f>
        <v>146642;INF200KA1A89;INF200KA1A97;SBI Equity Minimum Variance Fund - Direct Plan - Income Distribution cum Capital Withdrawal Option (IDCW);18.9245;25-Aug-2023</v>
      </c>
      <c r="B6519" s="1"/>
    </row>
    <row r="6520">
      <c r="A6520" s="1" t="str">
        <f>IFERROR(__xludf.DUMMYFUNCTION("""COMPUTED_VALUE"""),"146644;INF200KA1A48;-;SBI Equity Minimum Variance Fund - Regular Plan - Growth;18.6089;25-Aug-2023")</f>
        <v>146644;INF200KA1A48;-;SBI Equity Minimum Variance Fund - Regular Plan - Growth;18.6089;25-Aug-2023</v>
      </c>
      <c r="B6520" s="1"/>
    </row>
    <row r="6521">
      <c r="A6521" s="1" t="str">
        <f>IFERROR(__xludf.DUMMYFUNCTION("""COMPUTED_VALUE"""),"146641;INF200KA1A55;INF200KA1A63;SBI Equity Minimum Variance Fund - Regular Plan - Income Distribution cum Capital Withdrawal Option (IDCW);18.6134;25-Aug-2023")</f>
        <v>146641;INF200KA1A55;INF200KA1A63;SBI Equity Minimum Variance Fund - Regular Plan - Income Distribution cum Capital Withdrawal Option (IDCW);18.6134;25-Aug-2023</v>
      </c>
      <c r="B6521" s="1"/>
    </row>
    <row r="6522">
      <c r="A6522" s="1" t="str">
        <f>IFERROR(__xludf.DUMMYFUNCTION("""COMPUTED_VALUE"""),"119782;INF200K01UN7;INF200K01UO5;SBI Healthcare Opportunities Fund - Direct Plan - Income Distribution cum Capital Withdrawal Option (IDCW);214.7767;25-Aug-2023")</f>
        <v>119782;INF200K01UN7;INF200K01UO5;SBI Healthcare Opportunities Fund - Direct Plan - Income Distribution cum Capital Withdrawal Option (IDCW);214.7767;25-Aug-2023</v>
      </c>
      <c r="B6522" s="1"/>
    </row>
    <row r="6523">
      <c r="A6523" s="1" t="str">
        <f>IFERROR(__xludf.DUMMYFUNCTION("""COMPUTED_VALUE"""),"119783;INF200K01UP2;-;SBI HEALTHCARE OPPORTUNITIES FUND - DIRECT PLAN -GROWTH;309.1327;25-Aug-2023")</f>
        <v>119783;INF200K01UP2;-;SBI HEALTHCARE OPPORTUNITIES FUND - DIRECT PLAN -GROWTH;309.1327;25-Aug-2023</v>
      </c>
      <c r="B6523" s="1"/>
    </row>
    <row r="6524">
      <c r="A6524" s="1" t="str">
        <f>IFERROR(__xludf.DUMMYFUNCTION("""COMPUTED_VALUE"""),"100644;INF200K01453;INF200K01461;SBI Healthcare Opportunities Fund - Regular Plan - Income Distribution cum Capital Withdrawal Option (IDCW);173.4933;25-Aug-2023")</f>
        <v>100644;INF200K01453;INF200K01461;SBI Healthcare Opportunities Fund - Regular Plan - Income Distribution cum Capital Withdrawal Option (IDCW);173.4933;25-Aug-2023</v>
      </c>
      <c r="B6524" s="1"/>
    </row>
    <row r="6525">
      <c r="A6525" s="1" t="str">
        <f>IFERROR(__xludf.DUMMYFUNCTION("""COMPUTED_VALUE"""),"102823;INF200K01446;-;SBI HEALTHCARE OPPORTUNITIES FUND - REGULAR PLAN -GROWTH;275.4111;25-Aug-2023")</f>
        <v>102823;INF200K01446;-;SBI HEALTHCARE OPPORTUNITIES FUND - REGULAR PLAN -GROWTH;275.4111;25-Aug-2023</v>
      </c>
      <c r="B6525" s="1"/>
    </row>
    <row r="6526">
      <c r="A6526" s="1" t="str">
        <f>IFERROR(__xludf.DUMMYFUNCTION("""COMPUTED_VALUE"""),"119700;INF200K01RS2;-;SBI INFRASTRUCTURE FUND -  DIRECT PLAN - GROWTH;35.6313;25-Aug-2023")</f>
        <v>119700;INF200K01RS2;-;SBI INFRASTRUCTURE FUND -  DIRECT PLAN - GROWTH;35.6313;25-Aug-2023</v>
      </c>
      <c r="B6526" s="1"/>
    </row>
    <row r="6527">
      <c r="A6527" s="1" t="str">
        <f>IFERROR(__xludf.DUMMYFUNCTION("""COMPUTED_VALUE"""),"106096;INF200K01CT2;-;SBI INFRASTRUCTURE FUND -  REGULAR PLAN - GROWTH;33.4858;25-Aug-2023")</f>
        <v>106096;INF200K01CT2;-;SBI INFRASTRUCTURE FUND -  REGULAR PLAN - GROWTH;33.4858;25-Aug-2023</v>
      </c>
      <c r="B6527" s="1"/>
    </row>
    <row r="6528">
      <c r="A6528" s="1" t="str">
        <f>IFERROR(__xludf.DUMMYFUNCTION("""COMPUTED_VALUE"""),"119695;INF200K01RQ6;INF200K01RR4;SBI Infrastructure Fund - Direct Plan - Income Distribution cum Capital Withdrawal Option (IDCW);31.5344;25-Aug-2023")</f>
        <v>119695;INF200K01RQ6;INF200K01RR4;SBI Infrastructure Fund - Direct Plan - Income Distribution cum Capital Withdrawal Option (IDCW);31.5344;25-Aug-2023</v>
      </c>
      <c r="B6528" s="1"/>
    </row>
    <row r="6529">
      <c r="A6529" s="1" t="str">
        <f>IFERROR(__xludf.DUMMYFUNCTION("""COMPUTED_VALUE"""),"106095;INF200K01CU0;INF200K01CV8;SBI Infrastructure Fund - Regular Plan - Income Distribution cum Capital Withdrawal Option (IDCW);29.7881;25-Aug-2023")</f>
        <v>106095;INF200K01CU0;INF200K01CV8;SBI Infrastructure Fund - Regular Plan - Income Distribution cum Capital Withdrawal Option (IDCW);29.7881;25-Aug-2023</v>
      </c>
      <c r="B6529" s="1"/>
    </row>
    <row r="6530">
      <c r="A6530" s="1" t="str">
        <f>IFERROR(__xludf.DUMMYFUNCTION("""COMPUTED_VALUE"""),"119705;INF200K01SB6;-;SBI Magnum COMMA Fund - DIRECT PLAN - Growth;77.4720;25-Aug-2023")</f>
        <v>119705;INF200K01SB6;-;SBI Magnum COMMA Fund - DIRECT PLAN - Growth;77.4720;25-Aug-2023</v>
      </c>
      <c r="B6530" s="1"/>
    </row>
    <row r="6531">
      <c r="A6531" s="1" t="str">
        <f>IFERROR(__xludf.DUMMYFUNCTION("""COMPUTED_VALUE"""),"119613;INF200K01RZ7;INF200K01SA8;SBI Magnum Comma Fund - Direct Plan - Income Distribution cum Capital Withdrawal Option (IDCW);44.0855;25-Aug-2023")</f>
        <v>119613;INF200K01RZ7;INF200K01SA8;SBI Magnum Comma Fund - Direct Plan - Income Distribution cum Capital Withdrawal Option (IDCW);44.0855;25-Aug-2023</v>
      </c>
      <c r="B6531" s="1"/>
    </row>
    <row r="6532">
      <c r="A6532" s="1" t="str">
        <f>IFERROR(__xludf.DUMMYFUNCTION("""COMPUTED_VALUE"""),"103145;INF200K01339;-;SBI Magnum COMMA Fund - REGULAR PLAN - Growth;72.4593;25-Aug-2023")</f>
        <v>103145;INF200K01339;-;SBI Magnum COMMA Fund - REGULAR PLAN - Growth;72.4593;25-Aug-2023</v>
      </c>
      <c r="B6532" s="1"/>
    </row>
    <row r="6533">
      <c r="A6533" s="1" t="str">
        <f>IFERROR(__xludf.DUMMYFUNCTION("""COMPUTED_VALUE"""),"103146;INF200K01313;INF200K01321;SBI Magnum Comma Fund - Regular Plan - Income Distribution cum Capital Withdrawal Option (IDCW);41.1285;25-Aug-2023")</f>
        <v>103146;INF200K01313;INF200K01321;SBI Magnum Comma Fund - Regular Plan - Income Distribution cum Capital Withdrawal Option (IDCW);41.1285;25-Aug-2023</v>
      </c>
      <c r="B6533" s="1"/>
    </row>
    <row r="6534">
      <c r="A6534" s="1" t="str">
        <f>IFERROR(__xludf.DUMMYFUNCTION("""COMPUTED_VALUE"""),"119708;INF200K01SC4;INF200K01SD2;SBI Magnum Equity ESG Fund - Direct Plan - Income Distribution cum Capital Withdrawal Option (IDCW);69.8376;25-Aug-2023")</f>
        <v>119708;INF200K01SC4;INF200K01SD2;SBI Magnum Equity ESG Fund - Direct Plan - Income Distribution cum Capital Withdrawal Option (IDCW);69.8376;25-Aug-2023</v>
      </c>
      <c r="B6534" s="1"/>
    </row>
    <row r="6535">
      <c r="A6535" s="1" t="str">
        <f>IFERROR(__xludf.DUMMYFUNCTION("""COMPUTED_VALUE"""),"119709;INF200K01SE0;-;SBI Magnum Equity ESG Fund - DIRECT PLAN -GROWTH;194.5335;25-Aug-2023")</f>
        <v>119709;INF200K01SE0;-;SBI Magnum Equity ESG Fund - DIRECT PLAN -GROWTH;194.5335;25-Aug-2023</v>
      </c>
      <c r="B6535" s="1"/>
    </row>
    <row r="6536">
      <c r="A6536" s="1" t="str">
        <f>IFERROR(__xludf.DUMMYFUNCTION("""COMPUTED_VALUE"""),"101295;INF200K01198;INF200K01206;SBI Magnum Equity ESG Fund - Regular Plan - Income Distribution cum Capital Withdrawal Option (IDCW);56.1793;25-Aug-2023")</f>
        <v>101295;INF200K01198;INF200K01206;SBI Magnum Equity ESG Fund - Regular Plan - Income Distribution cum Capital Withdrawal Option (IDCW);56.1793;25-Aug-2023</v>
      </c>
      <c r="B6536" s="1"/>
    </row>
    <row r="6537">
      <c r="A6537" s="1" t="str">
        <f>IFERROR(__xludf.DUMMYFUNCTION("""COMPUTED_VALUE"""),"104523;INF200K01214;-;SBI Magnum Equity ESG Fund- REGULAR PLAN - Growth;179.6305;25-Aug-2023")</f>
        <v>104523;INF200K01214;-;SBI Magnum Equity ESG Fund- REGULAR PLAN - Growth;179.6305;25-Aug-2023</v>
      </c>
      <c r="B6537" s="1"/>
    </row>
    <row r="6538">
      <c r="A6538" s="1" t="str">
        <f>IFERROR(__xludf.DUMMYFUNCTION("""COMPUTED_VALUE"""),"119710;INF200K01SL5;INF200K01SM3;SBI Magnum Global Fund - Direct Plan - Income Distribution cum Capital Withdrawal Option (IDCW);126.4947;25-Aug-2023")</f>
        <v>119710;INF200K01SL5;INF200K01SM3;SBI Magnum Global Fund - Direct Plan - Income Distribution cum Capital Withdrawal Option (IDCW);126.4947;25-Aug-2023</v>
      </c>
      <c r="B6538" s="1"/>
    </row>
    <row r="6539">
      <c r="A6539" s="1" t="str">
        <f>IFERROR(__xludf.DUMMYFUNCTION("""COMPUTED_VALUE"""),"119711;INF200K01SN1;-;SBI MAGNUM GLOBAL FUND - DIRECT PLAN -GROWTH;354.3609;25-Aug-2023")</f>
        <v>119711;INF200K01SN1;-;SBI MAGNUM GLOBAL FUND - DIRECT PLAN -GROWTH;354.3609;25-Aug-2023</v>
      </c>
      <c r="B6539" s="1"/>
    </row>
    <row r="6540">
      <c r="A6540" s="1" t="str">
        <f>IFERROR(__xludf.DUMMYFUNCTION("""COMPUTED_VALUE"""),"103114;INF200K01255;INF200K01263;SBI Magnum Global Fund - Regular Plan - Income Distribution cum Capital Withdrawal Option (IDCW);99.5351;25-Aug-2023")</f>
        <v>103114;INF200K01255;INF200K01263;SBI Magnum Global Fund - Regular Plan - Income Distribution cum Capital Withdrawal Option (IDCW);99.5351;25-Aug-2023</v>
      </c>
      <c r="B6540" s="1"/>
    </row>
    <row r="6541">
      <c r="A6541" s="1" t="str">
        <f>IFERROR(__xludf.DUMMYFUNCTION("""COMPUTED_VALUE"""),"103034;INF200K01271;-;SBI MAGNUM GLOBAL FUND - REGULAR PLAN -GROWTH;325.8195;25-Aug-2023")</f>
        <v>103034;INF200K01271;-;SBI MAGNUM GLOBAL FUND - REGULAR PLAN -GROWTH;325.8195;25-Aug-2023</v>
      </c>
      <c r="B6541" s="1"/>
    </row>
    <row r="6542">
      <c r="A6542" s="1" t="str">
        <f>IFERROR(__xludf.DUMMYFUNCTION("""COMPUTED_VALUE"""),"119732;INF200K01UY4;-;SBI PSU Fund - DIRECT PLAN - GROWTH;20.0010;25-Aug-2023")</f>
        <v>119732;INF200K01UY4;-;SBI PSU Fund - DIRECT PLAN - GROWTH;20.0010;25-Aug-2023</v>
      </c>
      <c r="B6542" s="1"/>
    </row>
    <row r="6543">
      <c r="A6543" s="1" t="str">
        <f>IFERROR(__xludf.DUMMYFUNCTION("""COMPUTED_VALUE"""),"119733;INF200K01UW8;INF200K01UX6;SBI PSU Fund - Direct Plan - Income Distribution cum Capital Withdrawal Option (IDCW);19.9733;25-Aug-2023")</f>
        <v>119733;INF200K01UW8;INF200K01UX6;SBI PSU Fund - Direct Plan - Income Distribution cum Capital Withdrawal Option (IDCW);19.9733;25-Aug-2023</v>
      </c>
      <c r="B6543" s="1"/>
    </row>
    <row r="6544">
      <c r="A6544" s="1" t="str">
        <f>IFERROR(__xludf.DUMMYFUNCTION("""COMPUTED_VALUE"""),"112923;INF200K01BD8;INF200K01BE6;SBI PSU Fund - Regular Plan - Income Distribution cum Capital Withdrawal Option (IDCW);18.5478;25-Aug-2023")</f>
        <v>112923;INF200K01BD8;INF200K01BE6;SBI PSU Fund - Regular Plan - Income Distribution cum Capital Withdrawal Option (IDCW);18.5478;25-Aug-2023</v>
      </c>
      <c r="B6544" s="1"/>
    </row>
    <row r="6545">
      <c r="A6545" s="1" t="str">
        <f>IFERROR(__xludf.DUMMYFUNCTION("""COMPUTED_VALUE"""),"113099;INF200K01BC0;-;SBI PSU Fund - REGULAR PLAN -Growth;18.5500;25-Aug-2023")</f>
        <v>113099;INF200K01BC0;-;SBI PSU Fund - REGULAR PLAN -Growth;18.5500;25-Aug-2023</v>
      </c>
      <c r="B6545" s="1"/>
    </row>
    <row r="6546">
      <c r="A6546" s="1" t="str">
        <f>IFERROR(__xludf.DUMMYFUNCTION("""COMPUTED_VALUE"""),"120578;INF200K01RV6;-;SBI TECHNOLOGY OPPORTUNITIES FUND - DIRECT PLAN - GROWTH;173.4891;25-Aug-2023")</f>
        <v>120578;INF200K01RV6;-;SBI TECHNOLOGY OPPORTUNITIES FUND - DIRECT PLAN - GROWTH;173.4891;25-Aug-2023</v>
      </c>
      <c r="B6546" s="1"/>
    </row>
    <row r="6547">
      <c r="A6547" s="1" t="str">
        <f>IFERROR(__xludf.DUMMYFUNCTION("""COMPUTED_VALUE"""),"119731;INF200K01RT0;INF200K01RU8;SBI Technology Opportunities Fund - Direct Plan - Income Distribution cum Capital Withdrawal Option (IDCW);123.2237;25-Aug-2023")</f>
        <v>119731;INF200K01RT0;INF200K01RU8;SBI Technology Opportunities Fund - Direct Plan - Income Distribution cum Capital Withdrawal Option (IDCW);123.2237;25-Aug-2023</v>
      </c>
      <c r="B6547" s="1"/>
    </row>
    <row r="6548">
      <c r="A6548" s="1" t="str">
        <f>IFERROR(__xludf.DUMMYFUNCTION("""COMPUTED_VALUE"""),"120577;INF200K01VS4;-;SBI TECHNOLOGY OPPORTUNITIES FUND - REGULAR PLAN - GROWTH;155.4274;25-Aug-2023")</f>
        <v>120577;INF200K01VS4;-;SBI TECHNOLOGY OPPORTUNITIES FUND - REGULAR PLAN - GROWTH;155.4274;25-Aug-2023</v>
      </c>
      <c r="B6548" s="1"/>
    </row>
    <row r="6549">
      <c r="A6549" s="1" t="str">
        <f>IFERROR(__xludf.DUMMYFUNCTION("""COMPUTED_VALUE"""),"100643;INF200K01420;INF200K01438;SBI Technology Opportunities Fund - Regular Plan - Income Distribution cum Capital Withdrawal Option (IDCW);93.5961;25-Aug-2023")</f>
        <v>100643;INF200K01420;INF200K01438;SBI Technology Opportunities Fund - Regular Plan - Income Distribution cum Capital Withdrawal Option (IDCW);93.5961;25-Aug-2023</v>
      </c>
      <c r="B6549" s="1"/>
    </row>
    <row r="6550">
      <c r="A6550" s="1"/>
      <c r="B6550" s="1"/>
    </row>
    <row r="6551">
      <c r="A6551" s="1" t="str">
        <f>IFERROR(__xludf.DUMMYFUNCTION("""COMPUTED_VALUE"""),"Sundaram Mutual Fund")</f>
        <v>Sundaram Mutual Fund</v>
      </c>
      <c r="B6551" s="1"/>
    </row>
    <row r="6552">
      <c r="A6552" s="1"/>
      <c r="B6552" s="1"/>
    </row>
    <row r="6553">
      <c r="A6553" s="1" t="str">
        <f>IFERROR(__xludf.DUMMYFUNCTION("""COMPUTED_VALUE"""),"119595;INF903J01NH5;-;Sundaram Consumption Fund (Formerly Known as Sundaram Rural and Consumption Fund Direct Plan - Growth);77.2736;25-Aug-2023")</f>
        <v>119595;INF903J01NH5;-;Sundaram Consumption Fund (Formerly Known as Sundaram Rural and Consumption Fund Direct Plan - Growth);77.2736;25-Aug-2023</v>
      </c>
      <c r="B6553" s="1"/>
    </row>
    <row r="6554">
      <c r="A6554" s="1" t="str">
        <f>IFERROR(__xludf.DUMMYFUNCTION("""COMPUTED_VALUE"""),"113373;INF903J01579;INF903J01587;Sundaram Consumption Fund (Formerly Known as Sundaram Rural and Consumption Fund Institutional Plan - Income Distribution cum Capital Withdrawal (IDCW);31.9314;30-Nov-2018")</f>
        <v>113373;INF903J01579;INF903J01587;Sundaram Consumption Fund (Formerly Known as Sundaram Rural and Consumption Fund Institutional Plan - Income Distribution cum Capital Withdrawal (IDCW);31.9314;30-Nov-2018</v>
      </c>
      <c r="B6554" s="1"/>
    </row>
    <row r="6555">
      <c r="A6555" s="1" t="str">
        <f>IFERROR(__xludf.DUMMYFUNCTION("""COMPUTED_VALUE"""),"103743;INF903J01546;INF903J01553;Sundaram Consumption Fund (Formerly Known as Sundaram Rural and Consumption Fund Regular Plan - Income Distribution cum Capital Withdrawal (IDCW);25.2316;25-Aug-2023")</f>
        <v>103743;INF903J01546;INF903J01553;Sundaram Consumption Fund (Formerly Known as Sundaram Rural and Consumption Fund Regular Plan - Income Distribution cum Capital Withdrawal (IDCW);25.2316;25-Aug-2023</v>
      </c>
      <c r="B6555" s="1"/>
    </row>
    <row r="6556">
      <c r="A6556" s="1" t="str">
        <f>IFERROR(__xludf.DUMMYFUNCTION("""COMPUTED_VALUE"""),"119594;INF903J01NF9;INF903J01NG7;Sundaram Consumption Fund (Formerly Known asSundaram Rural and Consumption Fund Direct Plan - Income Distribution cum Capital Withdrawal (IDCW);27.6646;25-Aug-2023")</f>
        <v>119594;INF903J01NF9;INF903J01NG7;Sundaram Consumption Fund (Formerly Known asSundaram Rural and Consumption Fund Direct Plan - Income Distribution cum Capital Withdrawal (IDCW);27.6646;25-Aug-2023</v>
      </c>
      <c r="B6556" s="1"/>
    </row>
    <row r="6557">
      <c r="A6557" s="1" t="str">
        <f>IFERROR(__xludf.DUMMYFUNCTION("""COMPUTED_VALUE"""),"102142;INF903J01561;-;Sundaram Consumption Fund(Formerly Known as Sundaram Rural and Consumption Fund Regular Plan - Growth);71.6619;25-Aug-2023")</f>
        <v>102142;INF903J01561;-;Sundaram Consumption Fund(Formerly Known as Sundaram Rural and Consumption Fund Regular Plan - Growth);71.6619;25-Aug-2023</v>
      </c>
      <c r="B6557" s="1"/>
    </row>
    <row r="6558">
      <c r="A6558" s="1" t="str">
        <f>IFERROR(__xludf.DUMMYFUNCTION("""COMPUTED_VALUE"""),"119597;INF903J01NB8;-;Sundaram Financial Services Opportunities Fund Direct Plan - Growth;82.7523;25-Aug-2023")</f>
        <v>119597;INF903J01NB8;-;Sundaram Financial Services Opportunities Fund Direct Plan - Growth;82.7523;25-Aug-2023</v>
      </c>
      <c r="B6558" s="1"/>
    </row>
    <row r="6559">
      <c r="A6559" s="1" t="str">
        <f>IFERROR(__xludf.DUMMYFUNCTION("""COMPUTED_VALUE"""),"119596;INF903J01MZ9;INF903J01NA0;Sundaram Financial Services Opportunities Fund Direct Plan - Income Distribution cum Capital Withdrawal (IDCW);30.2408;25-Aug-2023")</f>
        <v>119596;INF903J01MZ9;INF903J01NA0;Sundaram Financial Services Opportunities Fund Direct Plan - Income Distribution cum Capital Withdrawal (IDCW);30.2408;25-Aug-2023</v>
      </c>
      <c r="B6559" s="1"/>
    </row>
    <row r="6560">
      <c r="A6560" s="1" t="str">
        <f>IFERROR(__xludf.DUMMYFUNCTION("""COMPUTED_VALUE"""),"109061;INF903J01652;-;Sundaram Financial Services Opportunities Fund Institutional Plan - Growth;85.0847;25-Aug-2023")</f>
        <v>109061;INF903J01652;-;Sundaram Financial Services Opportunities Fund Institutional Plan - Growth;85.0847;25-Aug-2023</v>
      </c>
      <c r="B6560" s="1"/>
    </row>
    <row r="6561">
      <c r="A6561" s="1" t="str">
        <f>IFERROR(__xludf.DUMMYFUNCTION("""COMPUTED_VALUE"""),"109060;INF903J01637;INF903J01645;Sundaram Financial Services Opportunities Fund Institutional Plan - Income Distribution cum Capital Withdrawal (IDCW);30.7654;25-Aug-2023")</f>
        <v>109060;INF903J01637;INF903J01645;Sundaram Financial Services Opportunities Fund Institutional Plan - Income Distribution cum Capital Withdrawal (IDCW);30.7654;25-Aug-2023</v>
      </c>
      <c r="B6561" s="1"/>
    </row>
    <row r="6562">
      <c r="A6562" s="1" t="str">
        <f>IFERROR(__xludf.DUMMYFUNCTION("""COMPUTED_VALUE"""),"109059;INF903J01629;-;Sundaram Financial Services Opportunities Fund Regular Plan - Growth;75.2326;25-Aug-2023")</f>
        <v>109059;INF903J01629;-;Sundaram Financial Services Opportunities Fund Regular Plan - Growth;75.2326;25-Aug-2023</v>
      </c>
      <c r="B6562" s="1"/>
    </row>
    <row r="6563">
      <c r="A6563" s="1" t="str">
        <f>IFERROR(__xludf.DUMMYFUNCTION("""COMPUTED_VALUE"""),"109058;INF903J01603;INF903J01611;Sundaram Financial Services Opportunities Fund Regular Plan - Income Distribution cum Capital Withdrawal (IDCW);27.0456;25-Aug-2023")</f>
        <v>109058;INF903J01603;INF903J01611;Sundaram Financial Services Opportunities Fund Regular Plan - Income Distribution cum Capital Withdrawal (IDCW);27.0456;25-Aug-2023</v>
      </c>
      <c r="B6563" s="1"/>
    </row>
    <row r="6564">
      <c r="A6564" s="1" t="str">
        <f>IFERROR(__xludf.DUMMYFUNCTION("""COMPUTED_VALUE"""),"129212;INF903J01F92;-;Sundaram Infrastructure Advantage Fund Direct Plan - Growth;66.5148;25-Aug-2023")</f>
        <v>129212;INF903J01F92;-;Sundaram Infrastructure Advantage Fund Direct Plan - Growth;66.5148;25-Aug-2023</v>
      </c>
      <c r="B6564" s="1"/>
    </row>
    <row r="6565">
      <c r="A6565" s="1" t="str">
        <f>IFERROR(__xludf.DUMMYFUNCTION("""COMPUTED_VALUE"""),"129211;INF903J01G00;INF903J01G18;Sundaram Infrastructure Advantage Fund Direct Plan - Income Distribution cum Capital Withdrawal (IDCW);47.7100;25-Aug-2023")</f>
        <v>129211;INF903J01G00;INF903J01G18;Sundaram Infrastructure Advantage Fund Direct Plan - Income Distribution cum Capital Withdrawal (IDCW);47.7100;25-Aug-2023</v>
      </c>
      <c r="B6565" s="1"/>
    </row>
    <row r="6566">
      <c r="A6566" s="1" t="str">
        <f>IFERROR(__xludf.DUMMYFUNCTION("""COMPUTED_VALUE"""),"129213;INF903J01F68;-;Sundaram Infrastructure Advantage Fund Regular Plan - Growth;62.9111;25-Aug-2023")</f>
        <v>129213;INF903J01F68;-;Sundaram Infrastructure Advantage Fund Regular Plan - Growth;62.9111;25-Aug-2023</v>
      </c>
      <c r="B6566" s="1"/>
    </row>
    <row r="6567">
      <c r="A6567" s="1" t="str">
        <f>IFERROR(__xludf.DUMMYFUNCTION("""COMPUTED_VALUE"""),"129210;INF903J01F76;INF903J01F84;Sundaram Infrastructure Advantage Fund Regular Plan - Income Distribution cum Capital Withdrawal (IDCW);44.8973;25-Aug-2023")</f>
        <v>129210;INF903J01F76;INF903J01F84;Sundaram Infrastructure Advantage Fund Regular Plan - Income Distribution cum Capital Withdrawal (IDCW);44.8973;25-Aug-2023</v>
      </c>
      <c r="B6567" s="1"/>
    </row>
    <row r="6568">
      <c r="A6568" s="1" t="str">
        <f>IFERROR(__xludf.DUMMYFUNCTION("""COMPUTED_VALUE"""),"144835;INF903JA1FA2;-;Sundaram Services Fund Direct Plan - Growth;25.7701;25-Aug-2023")</f>
        <v>144835;INF903JA1FA2;-;Sundaram Services Fund Direct Plan - Growth;25.7701;25-Aug-2023</v>
      </c>
      <c r="B6568" s="1"/>
    </row>
    <row r="6569">
      <c r="A6569" s="1" t="str">
        <f>IFERROR(__xludf.DUMMYFUNCTION("""COMPUTED_VALUE"""),"144836;INF903JA1FB0;-;Sundaram Services Fund Direct Plan - Payout of Income Distribution cum Capital Withdrawal (IDCW) ;20.4980;25-Aug-2023")</f>
        <v>144836;INF903JA1FB0;-;Sundaram Services Fund Direct Plan - Payout of Income Distribution cum Capital Withdrawal (IDCW) ;20.4980;25-Aug-2023</v>
      </c>
      <c r="B6569" s="1"/>
    </row>
    <row r="6570">
      <c r="A6570" s="1" t="str">
        <f>IFERROR(__xludf.DUMMYFUNCTION("""COMPUTED_VALUE"""),"144837;INF903JA1FC8;-;Sundaram Services Fund Direct Plan - Reinvestment of Income Distribution cum Capital Withdrawal (IDCW) ;20.4980;25-Aug-2023")</f>
        <v>144837;INF903JA1FC8;-;Sundaram Services Fund Direct Plan - Reinvestment of Income Distribution cum Capital Withdrawal (IDCW) ;20.4980;25-Aug-2023</v>
      </c>
      <c r="B6570" s="1"/>
    </row>
    <row r="6571">
      <c r="A6571" s="1" t="str">
        <f>IFERROR(__xludf.DUMMYFUNCTION("""COMPUTED_VALUE"""),"144838;INF903JA1EX7;-;Sundaram Services Fund Regular Plan - Growth;24.3325;25-Aug-2023")</f>
        <v>144838;INF903JA1EX7;-;Sundaram Services Fund Regular Plan - Growth;24.3325;25-Aug-2023</v>
      </c>
      <c r="B6571" s="1"/>
    </row>
    <row r="6572">
      <c r="A6572" s="1" t="str">
        <f>IFERROR(__xludf.DUMMYFUNCTION("""COMPUTED_VALUE"""),"144839;INF903JA1EY5;-;Sundaram Services Fund Regular Plan - Payout of Income Distribution cum Capital Withdrawal (IDCW) ;19.3351;25-Aug-2023")</f>
        <v>144839;INF903JA1EY5;-;Sundaram Services Fund Regular Plan - Payout of Income Distribution cum Capital Withdrawal (IDCW) ;19.3351;25-Aug-2023</v>
      </c>
      <c r="B6572" s="1"/>
    </row>
    <row r="6573">
      <c r="A6573" s="1" t="str">
        <f>IFERROR(__xludf.DUMMYFUNCTION("""COMPUTED_VALUE"""),"144834;INF903JA1EZ2;-;Sundaram Services Fund Regular Plan - Reinvestment of Income Distribution cum Capital Withdrawal (IDCW) ;19.3351;25-Aug-2023")</f>
        <v>144834;INF903JA1EZ2;-;Sundaram Services Fund Regular Plan - Reinvestment of Income Distribution cum Capital Withdrawal (IDCW) ;19.3351;25-Aug-2023</v>
      </c>
      <c r="B6573" s="1"/>
    </row>
    <row r="6574">
      <c r="A6574" s="1"/>
      <c r="B6574" s="1"/>
    </row>
    <row r="6575">
      <c r="A6575" s="1" t="str">
        <f>IFERROR(__xludf.DUMMYFUNCTION("""COMPUTED_VALUE"""),"Tata Mutual Fund")</f>
        <v>Tata Mutual Fund</v>
      </c>
      <c r="B6575" s="1"/>
    </row>
    <row r="6576">
      <c r="A6576" s="1"/>
      <c r="B6576" s="1"/>
    </row>
    <row r="6577">
      <c r="A6577" s="1" t="str">
        <f>IFERROR(__xludf.DUMMYFUNCTION("""COMPUTED_VALUE"""),"135789;INF277K01Z28;-;TATA Banking &amp; Financial Services Fund Direct Plan - Payout of Income Distribution cum capital withdrawal option ;36.1562;25-Aug-2023")</f>
        <v>135789;INF277K01Z28;-;TATA Banking &amp; Financial Services Fund Direct Plan - Payout of Income Distribution cum capital withdrawal option ;36.1562;25-Aug-2023</v>
      </c>
      <c r="B6577" s="1"/>
    </row>
    <row r="6578">
      <c r="A6578" s="1" t="str">
        <f>IFERROR(__xludf.DUMMYFUNCTION("""COMPUTED_VALUE"""),"135792;-;INF277K01Z36;TATA Banking &amp; Financial Services Fund Direct Plan - Reinvestment of Income Distribution cum capital withdrawal option ;36.1562;25-Aug-2023")</f>
        <v>135792;-;INF277K01Z36;TATA Banking &amp; Financial Services Fund Direct Plan - Reinvestment of Income Distribution cum capital withdrawal option ;36.1562;25-Aug-2023</v>
      </c>
      <c r="B6578" s="1"/>
    </row>
    <row r="6579">
      <c r="A6579" s="1" t="str">
        <f>IFERROR(__xludf.DUMMYFUNCTION("""COMPUTED_VALUE"""),"135790;INF277K01Y94;-;TATA Banking &amp; Financial Services Fund Regular Plan - Payout of Income Distribution cum capital withdrawal option ;29.3676;25-Aug-2023")</f>
        <v>135790;INF277K01Y94;-;TATA Banking &amp; Financial Services Fund Regular Plan - Payout of Income Distribution cum capital withdrawal option ;29.3676;25-Aug-2023</v>
      </c>
      <c r="B6579" s="1"/>
    </row>
    <row r="6580">
      <c r="A6580" s="1" t="str">
        <f>IFERROR(__xludf.DUMMYFUNCTION("""COMPUTED_VALUE"""),"135791;-;INF277K01Z02;TATA Banking &amp; Financial Services Fund Regular Plan - Reinvestment of Income Distribution cum capital withdrawal option ;29.3676;25-Aug-2023")</f>
        <v>135791;-;INF277K01Z02;TATA Banking &amp; Financial Services Fund Regular Plan - Reinvestment of Income Distribution cum capital withdrawal option ;29.3676;25-Aug-2023</v>
      </c>
      <c r="B6580" s="1"/>
    </row>
    <row r="6581">
      <c r="A6581" s="1" t="str">
        <f>IFERROR(__xludf.DUMMYFUNCTION("""COMPUTED_VALUE"""),"135793;INF277K01Z10;-;Tata Banking And Financial Services Fund-Direct Plan-Growth;36.1562;25-Aug-2023")</f>
        <v>135793;INF277K01Z10;-;Tata Banking And Financial Services Fund-Direct Plan-Growth;36.1562;25-Aug-2023</v>
      </c>
      <c r="B6581" s="1"/>
    </row>
    <row r="6582">
      <c r="A6582" s="1" t="str">
        <f>IFERROR(__xludf.DUMMYFUNCTION("""COMPUTED_VALUE"""),"135794;INF277K01Y86;-;Tata Banking And Financial Services Fund-Regular Plan-Growth;31.9275;25-Aug-2023")</f>
        <v>135794;INF277K01Y86;-;Tata Banking And Financial Services Fund-Regular Plan-Growth;31.9275;25-Aug-2023</v>
      </c>
      <c r="B6582" s="1"/>
    </row>
    <row r="6583">
      <c r="A6583" s="1" t="str">
        <f>IFERROR(__xludf.DUMMYFUNCTION("""COMPUTED_VALUE"""),"149071;INF277KA1166;-;Tata Business Cycle Fund-Direct Plan-Growth;13.9673;25-Aug-2023")</f>
        <v>149071;INF277KA1166;-;Tata Business Cycle Fund-Direct Plan-Growth;13.9673;25-Aug-2023</v>
      </c>
      <c r="B6583" s="1"/>
    </row>
    <row r="6584">
      <c r="A6584" s="1" t="str">
        <f>IFERROR(__xludf.DUMMYFUNCTION("""COMPUTED_VALUE"""),"149066;INF277KA1174;-;Tata Business Cycle Fund-Direct Plan-IDCW Payout;13.9673;25-Aug-2023")</f>
        <v>149066;INF277KA1174;-;Tata Business Cycle Fund-Direct Plan-IDCW Payout;13.9673;25-Aug-2023</v>
      </c>
      <c r="B6584" s="1"/>
    </row>
    <row r="6585">
      <c r="A6585" s="1" t="str">
        <f>IFERROR(__xludf.DUMMYFUNCTION("""COMPUTED_VALUE"""),"149067;-;INF277KA1182;Tata Business Cycle Fund-Direct Plan-IDCW Reinvestment;13.9673;25-Aug-2023")</f>
        <v>149067;-;INF277KA1182;Tata Business Cycle Fund-Direct Plan-IDCW Reinvestment;13.9673;25-Aug-2023</v>
      </c>
      <c r="B6585" s="1"/>
    </row>
    <row r="6586">
      <c r="A6586" s="1" t="str">
        <f>IFERROR(__xludf.DUMMYFUNCTION("""COMPUTED_VALUE"""),"149068;INF277KA1190;-;Tata Business Cycle Fund-Regular Plan-Growth;13.4857;25-Aug-2023")</f>
        <v>149068;INF277KA1190;-;Tata Business Cycle Fund-Regular Plan-Growth;13.4857;25-Aug-2023</v>
      </c>
      <c r="B6586" s="1"/>
    </row>
    <row r="6587">
      <c r="A6587" s="1" t="str">
        <f>IFERROR(__xludf.DUMMYFUNCTION("""COMPUTED_VALUE"""),"149070;INF277KA1208;-;Tata Business Cycle Fund-Regular Plan-IDCW Payout;13.4857;25-Aug-2023")</f>
        <v>149070;INF277KA1208;-;Tata Business Cycle Fund-Regular Plan-IDCW Payout;13.4857;25-Aug-2023</v>
      </c>
      <c r="B6587" s="1"/>
    </row>
    <row r="6588">
      <c r="A6588" s="1" t="str">
        <f>IFERROR(__xludf.DUMMYFUNCTION("""COMPUTED_VALUE"""),"149069;-;INF277KA1216;Tata Business Cycle Fund-Regular Plan-IDCW Reinvestment;13.4857;25-Aug-2023")</f>
        <v>149069;-;INF277KA1216;Tata Business Cycle Fund-Regular Plan-IDCW Reinvestment;13.4857;25-Aug-2023</v>
      </c>
      <c r="B6588" s="1"/>
    </row>
    <row r="6589">
      <c r="A6589" s="1" t="str">
        <f>IFERROR(__xludf.DUMMYFUNCTION("""COMPUTED_VALUE"""),"135795;INF277K01Z85;-;TATA Digital India Fund Direct Plan - Payout of Income Distribution cum capital withdrawal option ;39.8746;25-Aug-2023")</f>
        <v>135795;INF277K01Z85;-;TATA Digital India Fund Direct Plan - Payout of Income Distribution cum capital withdrawal option ;39.8746;25-Aug-2023</v>
      </c>
      <c r="B6589" s="1"/>
    </row>
    <row r="6590">
      <c r="A6590" s="1" t="str">
        <f>IFERROR(__xludf.DUMMYFUNCTION("""COMPUTED_VALUE"""),"135798;-;INF277K01Z93;TATA Digital India Fund Direct Plan - Reinvestment of Income Distribution cum capital withdrawal option ;39.8746;25-Aug-2023")</f>
        <v>135798;-;INF277K01Z93;TATA Digital India Fund Direct Plan - Reinvestment of Income Distribution cum capital withdrawal option ;39.8746;25-Aug-2023</v>
      </c>
      <c r="B6590" s="1"/>
    </row>
    <row r="6591">
      <c r="A6591" s="1" t="str">
        <f>IFERROR(__xludf.DUMMYFUNCTION("""COMPUTED_VALUE"""),"135796;INF277K01Z51;-;TATA Digital India Fund Regular Plan - Payout of Income Distribution cum capital withdrawal option ;35.0850;25-Aug-2023")</f>
        <v>135796;INF277K01Z51;-;TATA Digital India Fund Regular Plan - Payout of Income Distribution cum capital withdrawal option ;35.0850;25-Aug-2023</v>
      </c>
      <c r="B6591" s="1"/>
    </row>
    <row r="6592">
      <c r="A6592" s="1" t="str">
        <f>IFERROR(__xludf.DUMMYFUNCTION("""COMPUTED_VALUE"""),"135799;-;INF277K01Z69;TATA Digital India Fund Regular Plan - Reinvestment of Income Distribution cum capital withdrawal option ;35.0850;25-Aug-2023")</f>
        <v>135799;-;INF277K01Z69;TATA Digital India Fund Regular Plan - Reinvestment of Income Distribution cum capital withdrawal option ;35.0850;25-Aug-2023</v>
      </c>
      <c r="B6592" s="1"/>
    </row>
    <row r="6593">
      <c r="A6593" s="1" t="str">
        <f>IFERROR(__xludf.DUMMYFUNCTION("""COMPUTED_VALUE"""),"135800;INF277K01Z77;-;Tata Digital India Fund-Direct Plan-Growth;39.8746;25-Aug-2023")</f>
        <v>135800;INF277K01Z77;-;Tata Digital India Fund-Direct Plan-Growth;39.8746;25-Aug-2023</v>
      </c>
      <c r="B6593" s="1"/>
    </row>
    <row r="6594">
      <c r="A6594" s="1" t="str">
        <f>IFERROR(__xludf.DUMMYFUNCTION("""COMPUTED_VALUE"""),"135797;INF277K01Z44;-;Tata Digital India Fund-Regular Plan-Growth;35.0850;25-Aug-2023")</f>
        <v>135797;INF277K01Z44;-;Tata Digital India Fund-Regular Plan-Growth;35.0850;25-Aug-2023</v>
      </c>
      <c r="B6594" s="1"/>
    </row>
    <row r="6595">
      <c r="A6595" s="1" t="str">
        <f>IFERROR(__xludf.DUMMYFUNCTION("""COMPUTED_VALUE"""),"119172;INF277K01NG4;-;Tata Ethical Fund -Direct Plan- Growth Option;351.4180;25-Aug-2023")</f>
        <v>119172;INF277K01NG4;-;Tata Ethical Fund -Direct Plan- Growth Option;351.4180;25-Aug-2023</v>
      </c>
      <c r="B6595" s="1"/>
    </row>
    <row r="6596">
      <c r="A6596" s="1" t="str">
        <f>IFERROR(__xludf.DUMMYFUNCTION("""COMPUTED_VALUE"""),"119171;INF277K01NE9;INF277K01NF6;Tata Ethical Fund- Direct Plan - Payout of IDCW Option;192.9123;25-Aug-2023")</f>
        <v>119171;INF277K01NE9;INF277K01NF6;Tata Ethical Fund- Direct Plan - Payout of IDCW Option;192.9123;25-Aug-2023</v>
      </c>
      <c r="B6596" s="1"/>
    </row>
    <row r="6597">
      <c r="A6597" s="1" t="str">
        <f>IFERROR(__xludf.DUMMYFUNCTION("""COMPUTED_VALUE"""),"101833;INF277K01EH1;INF277K01949;Tata Ethical Fund- Regular Plan - Payout of IDCW Option;128.4314;25-Aug-2023")</f>
        <v>101833;INF277K01EH1;INF277K01949;Tata Ethical Fund- Regular Plan - Payout of IDCW Option;128.4314;25-Aug-2023</v>
      </c>
      <c r="B6597" s="1"/>
    </row>
    <row r="6598">
      <c r="A6598" s="1" t="str">
        <f>IFERROR(__xludf.DUMMYFUNCTION("""COMPUTED_VALUE"""),"100415;INF277K01956;-;Tata Ethical Fund-Regular Plan - Growth Option;315.1155;25-Aug-2023")</f>
        <v>100415;INF277K01956;-;Tata Ethical Fund-Regular Plan - Growth Option;315.1155;25-Aug-2023</v>
      </c>
      <c r="B6598" s="1"/>
    </row>
    <row r="6599">
      <c r="A6599" s="1" t="str">
        <f>IFERROR(__xludf.DUMMYFUNCTION("""COMPUTED_VALUE"""),"150532;INF277KA1497;-;Tata Housing Opportunities Fund - Direct Plan - Growth;12.2200;25-Aug-2023")</f>
        <v>150532;INF277KA1497;-;Tata Housing Opportunities Fund - Direct Plan - Growth;12.2200;25-Aug-2023</v>
      </c>
      <c r="B6599" s="1"/>
    </row>
    <row r="6600">
      <c r="A6600" s="1" t="str">
        <f>IFERROR(__xludf.DUMMYFUNCTION("""COMPUTED_VALUE"""),"150534;INF277KA1513;-;Tata Housing Opportunities Fund - Direct Plan - IDCW Payout;12.2200;25-Aug-2023")</f>
        <v>150534;INF277KA1513;-;Tata Housing Opportunities Fund - Direct Plan - IDCW Payout;12.2200;25-Aug-2023</v>
      </c>
      <c r="B6600" s="1"/>
    </row>
    <row r="6601">
      <c r="A6601" s="1" t="str">
        <f>IFERROR(__xludf.DUMMYFUNCTION("""COMPUTED_VALUE"""),"150533;-;INF277KA1505;Tata Housing Opportunities Fund - Direct Plan - IDCW Reinvestment;12.2200;25-Aug-2023")</f>
        <v>150533;-;INF277KA1505;Tata Housing Opportunities Fund - Direct Plan - IDCW Reinvestment;12.2200;25-Aug-2023</v>
      </c>
      <c r="B6601" s="1"/>
    </row>
    <row r="6602">
      <c r="A6602" s="1" t="str">
        <f>IFERROR(__xludf.DUMMYFUNCTION("""COMPUTED_VALUE"""),"150537;INF277KA1521;-;Tata Housing Opportunities Fund - Regular Plan - Growth;11.9987;25-Aug-2023")</f>
        <v>150537;INF277KA1521;-;Tata Housing Opportunities Fund - Regular Plan - Growth;11.9987;25-Aug-2023</v>
      </c>
      <c r="B6602" s="1"/>
    </row>
    <row r="6603">
      <c r="A6603" s="1" t="str">
        <f>IFERROR(__xludf.DUMMYFUNCTION("""COMPUTED_VALUE"""),"150535;INF277KA1547;-;Tata Housing Opportunities Fund - Regular Plan - IDCW Payout;11.9987;25-Aug-2023")</f>
        <v>150535;INF277KA1547;-;Tata Housing Opportunities Fund - Regular Plan - IDCW Payout;11.9987;25-Aug-2023</v>
      </c>
      <c r="B6603" s="1"/>
    </row>
    <row r="6604">
      <c r="A6604" s="1" t="str">
        <f>IFERROR(__xludf.DUMMYFUNCTION("""COMPUTED_VALUE"""),"150536;-;INF277KA1539;Tata Housing Opportunities Fund - Regular Plan - IDCW Reinvestment;11.9987;25-Aug-2023")</f>
        <v>150536;-;INF277KA1539;Tata Housing Opportunities Fund - Regular Plan - IDCW Reinvestment;11.9987;25-Aug-2023</v>
      </c>
      <c r="B6604" s="1"/>
    </row>
    <row r="6605">
      <c r="A6605" s="1" t="str">
        <f>IFERROR(__xludf.DUMMYFUNCTION("""COMPUTED_VALUE"""),"135806;INF277K014A4;-;TATA India Consumer Fund Direct Plan - Payout of Income Distribution cum capital withdrawal option ;35.4595;25-Aug-2023")</f>
        <v>135806;INF277K014A4;-;TATA India Consumer Fund Direct Plan - Payout of Income Distribution cum capital withdrawal option ;35.4595;25-Aug-2023</v>
      </c>
      <c r="B6605" s="1"/>
    </row>
    <row r="6606">
      <c r="A6606" s="1" t="str">
        <f>IFERROR(__xludf.DUMMYFUNCTION("""COMPUTED_VALUE"""),"135801;-;INF277K015A1;TATA India Consumer Fund Direct Plan - Reinvestment of Income Distribution cum capital withdrawal option ;35.4595;25-Aug-2023")</f>
        <v>135801;-;INF277K015A1;TATA India Consumer Fund Direct Plan - Reinvestment of Income Distribution cum capital withdrawal option ;35.4595;25-Aug-2023</v>
      </c>
      <c r="B6606" s="1"/>
    </row>
    <row r="6607">
      <c r="A6607" s="1" t="str">
        <f>IFERROR(__xludf.DUMMYFUNCTION("""COMPUTED_VALUE"""),"135802;INF277K011A0;-;TATA India Consumer Fund Regular Plan - Payout of Income Distribution cum capital withdrawal option;29.1077;25-Aug-2023")</f>
        <v>135802;INF277K011A0;-;TATA India Consumer Fund Regular Plan - Payout of Income Distribution cum capital withdrawal option;29.1077;25-Aug-2023</v>
      </c>
      <c r="B6607" s="1"/>
    </row>
    <row r="6608">
      <c r="A6608" s="1" t="str">
        <f>IFERROR(__xludf.DUMMYFUNCTION("""COMPUTED_VALUE"""),"135803;-;INF277K012A8;TATA India Consumer Fund Regular Plan - Reinvestment of Income Distribution cum capital withdrawal option ;29.1077;25-Aug-2023")</f>
        <v>135803;-;INF277K012A8;TATA India Consumer Fund Regular Plan - Reinvestment of Income Distribution cum capital withdrawal option ;29.1077;25-Aug-2023</v>
      </c>
      <c r="B6608" s="1"/>
    </row>
    <row r="6609">
      <c r="A6609" s="1" t="str">
        <f>IFERROR(__xludf.DUMMYFUNCTION("""COMPUTED_VALUE"""),"135805;INF277K013A6;-;Tata India Consumer Fund-Direct Plan-Growth;35.4595;25-Aug-2023")</f>
        <v>135805;INF277K013A6;-;Tata India Consumer Fund-Direct Plan-Growth;35.4595;25-Aug-2023</v>
      </c>
      <c r="B6609" s="1"/>
    </row>
    <row r="6610">
      <c r="A6610" s="1" t="str">
        <f>IFERROR(__xludf.DUMMYFUNCTION("""COMPUTED_VALUE"""),"135804;INF277K010A2;-;Tata India Consumer Fund-Regular Plan-Growth;31.5652;25-Aug-2023")</f>
        <v>135804;INF277K010A2;-;Tata India Consumer Fund-Regular Plan-Growth;31.5652;25-Aug-2023</v>
      </c>
      <c r="B6610" s="1"/>
    </row>
    <row r="6611">
      <c r="A6611" s="1" t="str">
        <f>IFERROR(__xludf.DUMMYFUNCTION("""COMPUTED_VALUE"""),"135807;INF277K010B0;-;TATA India Pharma &amp; Health Care Fund Direct Plan - Payout of Income Distribution cum capital withdrawal option ;22.4600;25-Aug-2023")</f>
        <v>135807;INF277K010B0;-;TATA India Pharma &amp; Health Care Fund Direct Plan - Payout of Income Distribution cum capital withdrawal option ;22.4600;25-Aug-2023</v>
      </c>
      <c r="B6611" s="1"/>
    </row>
    <row r="6612">
      <c r="A6612" s="1" t="str">
        <f>IFERROR(__xludf.DUMMYFUNCTION("""COMPUTED_VALUE"""),"135809;INF277K017A7;-;TATA India Pharma &amp; Health Care Fund Regular Plan - Payout of Income Distribution cum capital withdrawal option ;19.8600;25-Aug-2023")</f>
        <v>135809;INF277K017A7;-;TATA India Pharma &amp; Health Care Fund Regular Plan - Payout of Income Distribution cum capital withdrawal option ;19.8600;25-Aug-2023</v>
      </c>
      <c r="B6612" s="1"/>
    </row>
    <row r="6613">
      <c r="A6613" s="1" t="str">
        <f>IFERROR(__xludf.DUMMYFUNCTION("""COMPUTED_VALUE"""),"135808;-;INF277K011B8;TATA India Pharma &amp; Healthcare Fund Direct Plan - Reinvestment of Income Distribution cum capital withdrawal option;22.4600;25-Aug-2023")</f>
        <v>135808;-;INF277K011B8;TATA India Pharma &amp; Healthcare Fund Direct Plan - Reinvestment of Income Distribution cum capital withdrawal option;22.4600;25-Aug-2023</v>
      </c>
      <c r="B6613" s="1"/>
    </row>
    <row r="6614">
      <c r="A6614" s="1" t="str">
        <f>IFERROR(__xludf.DUMMYFUNCTION("""COMPUTED_VALUE"""),"135811;-;INF277K018A5;TATA India Pharma &amp; Healthcare Fund Regular Plan - Reinvestment of Income Distribution cum capital withdrawal option ;19.8600;25-Aug-2023")</f>
        <v>135811;-;INF277K018A5;TATA India Pharma &amp; Healthcare Fund Regular Plan - Reinvestment of Income Distribution cum capital withdrawal option ;19.8600;25-Aug-2023</v>
      </c>
      <c r="B6614" s="1"/>
    </row>
    <row r="6615">
      <c r="A6615" s="1" t="str">
        <f>IFERROR(__xludf.DUMMYFUNCTION("""COMPUTED_VALUE"""),"135810;INF277K019A3;-;Tata India Pharma &amp; Healthcare Fund-Direct Plan-Growth;22.4600;25-Aug-2023")</f>
        <v>135810;INF277K019A3;-;Tata India Pharma &amp; Healthcare Fund-Direct Plan-Growth;22.4600;25-Aug-2023</v>
      </c>
      <c r="B6615" s="1"/>
    </row>
    <row r="6616">
      <c r="A6616" s="1" t="str">
        <f>IFERROR(__xludf.DUMMYFUNCTION("""COMPUTED_VALUE"""),"135812;INF277K016A9;-;Tata India Pharma &amp; Healthcare Fund-Regular Plan-Growth;19.8600;25-Aug-2023")</f>
        <v>135812;INF277K016A9;-;Tata India Pharma &amp; Healthcare Fund-Regular Plan-Growth;19.8600;25-Aug-2023</v>
      </c>
      <c r="B6616" s="1"/>
    </row>
    <row r="6617">
      <c r="A6617" s="1" t="str">
        <f>IFERROR(__xludf.DUMMYFUNCTION("""COMPUTED_VALUE"""),"119243;INF277K01PQ8;-;Tata Infrastructure Fund -Direct Plan -Growth Option;132.0832;25-Aug-2023")</f>
        <v>119243;INF277K01PQ8;-;Tata Infrastructure Fund -Direct Plan -Growth Option;132.0832;25-Aug-2023</v>
      </c>
      <c r="B6617" s="1"/>
    </row>
    <row r="6618">
      <c r="A6618" s="1" t="str">
        <f>IFERROR(__xludf.DUMMYFUNCTION("""COMPUTED_VALUE"""),"101852;INF277K01DY8;INF277K01774;TATA Infrastructure Fund Regular Plan - Payout of IDCW Option;58.6129;25-Aug-2023")</f>
        <v>101852;INF277K01DY8;INF277K01774;TATA Infrastructure Fund Regular Plan - Payout of IDCW Option;58.6129;25-Aug-2023</v>
      </c>
      <c r="B6618" s="1"/>
    </row>
    <row r="6619">
      <c r="A6619" s="1" t="str">
        <f>IFERROR(__xludf.DUMMYFUNCTION("""COMPUTED_VALUE"""),"119244;INF277K01PO3;INF277K01PP0;Tata Infrastructure Fund- Direct Plan - Payout of IDCW Option;69.2126;25-Aug-2023")</f>
        <v>119244;INF277K01PO3;INF277K01PP0;Tata Infrastructure Fund- Direct Plan - Payout of IDCW Option;69.2126;25-Aug-2023</v>
      </c>
      <c r="B6619" s="1"/>
    </row>
    <row r="6620">
      <c r="A6620" s="1" t="str">
        <f>IFERROR(__xludf.DUMMYFUNCTION("""COMPUTED_VALUE"""),"101766;INF277K01782;-;Tata Infrastructure Fund-Regular Plan- Growth Option;123.6560;25-Aug-2023")</f>
        <v>101766;INF277K01782;-;Tata Infrastructure Fund-Regular Plan- Growth Option;123.6560;25-Aug-2023</v>
      </c>
      <c r="B6620" s="1"/>
    </row>
    <row r="6621">
      <c r="A6621" s="1" t="str">
        <f>IFERROR(__xludf.DUMMYFUNCTION("""COMPUTED_VALUE"""),"147869;INF277K015Y1;-;TATA Quant Equity Fund Direct Plan - Payout of Income Distribution cum capital withdrawal option ;12.8797;25-Aug-2023")</f>
        <v>147869;INF277K015Y1;-;TATA Quant Equity Fund Direct Plan - Payout of Income Distribution cum capital withdrawal option ;12.8797;25-Aug-2023</v>
      </c>
      <c r="B6621" s="1"/>
    </row>
    <row r="6622">
      <c r="A6622" s="1" t="str">
        <f>IFERROR(__xludf.DUMMYFUNCTION("""COMPUTED_VALUE"""),"147868;INF277K018Y5;-;TATA Quant Equity Fund Regular Plan - Payout of Income Distribution cum capital withdrawal option ;12.1229;25-Aug-2023")</f>
        <v>147868;INF277K018Y5;-;TATA Quant Equity Fund Regular Plan - Payout of Income Distribution cum capital withdrawal option ;12.1229;25-Aug-2023</v>
      </c>
      <c r="B6622" s="1"/>
    </row>
    <row r="6623">
      <c r="A6623" s="1" t="str">
        <f>IFERROR(__xludf.DUMMYFUNCTION("""COMPUTED_VALUE"""),"147865;-;INF277K014Y4;TATA Quant Fund Direct Plan - Reinvestment of Income Distribution cum capital withdrawal option ;12.8797;25-Aug-2023")</f>
        <v>147865;-;INF277K014Y4;TATA Quant Fund Direct Plan - Reinvestment of Income Distribution cum capital withdrawal option ;12.8797;25-Aug-2023</v>
      </c>
      <c r="B6623" s="1"/>
    </row>
    <row r="6624">
      <c r="A6624" s="1" t="str">
        <f>IFERROR(__xludf.DUMMYFUNCTION("""COMPUTED_VALUE"""),"147866;-;INF277K017Y7;TATA Quant Fund Regular Plan - Reinvestment of Income Distribution cum capital withdrawal option ;12.1229;25-Aug-2023")</f>
        <v>147866;-;INF277K017Y7;TATA Quant Fund Regular Plan - Reinvestment of Income Distribution cum capital withdrawal option ;12.1229;25-Aug-2023</v>
      </c>
      <c r="B6624" s="1"/>
    </row>
    <row r="6625">
      <c r="A6625" s="1" t="str">
        <f>IFERROR(__xludf.DUMMYFUNCTION("""COMPUTED_VALUE"""),"147864;INF277K013Y6;-;Tata Quant Fund-Direct Plan-Growth;12.8797;25-Aug-2023")</f>
        <v>147864;INF277K013Y6;-;Tata Quant Fund-Direct Plan-Growth;12.8797;25-Aug-2023</v>
      </c>
      <c r="B6625" s="1"/>
    </row>
    <row r="6626">
      <c r="A6626" s="1" t="str">
        <f>IFERROR(__xludf.DUMMYFUNCTION("""COMPUTED_VALUE"""),"147867;INF277K016Y9;-;Tata Quant Fund-Regular Plan-Growth;12.1229;25-Aug-2023")</f>
        <v>147867;INF277K016Y9;-;Tata Quant Fund-Regular Plan-Growth;12.1229;25-Aug-2023</v>
      </c>
      <c r="B6626" s="1"/>
    </row>
    <row r="6627">
      <c r="A6627" s="1" t="str">
        <f>IFERROR(__xludf.DUMMYFUNCTION("""COMPUTED_VALUE"""),"135817;INF277K016B7;-;TATA Resources &amp; Energy Fund Direct Plan - Payout of Income Distribution cum capital withdrawal option ;35.7091;25-Aug-2023")</f>
        <v>135817;INF277K016B7;-;TATA Resources &amp; Energy Fund Direct Plan - Payout of Income Distribution cum capital withdrawal option ;35.7091;25-Aug-2023</v>
      </c>
      <c r="B6627" s="1"/>
    </row>
    <row r="6628">
      <c r="A6628" s="1" t="str">
        <f>IFERROR(__xludf.DUMMYFUNCTION("""COMPUTED_VALUE"""),"135816;-;INF277K017B5;TATA Resources &amp; Energy Fund Direct Plan - Reinvestment of Income Distribution cum capital withdrawal option ;35.7091;25-Aug-2023")</f>
        <v>135816;-;INF277K017B5;TATA Resources &amp; Energy Fund Direct Plan - Reinvestment of Income Distribution cum capital withdrawal option ;35.7091;25-Aug-2023</v>
      </c>
      <c r="B6628" s="1"/>
    </row>
    <row r="6629">
      <c r="A6629" s="1" t="str">
        <f>IFERROR(__xludf.DUMMYFUNCTION("""COMPUTED_VALUE"""),"135814;INF277K013B4;-;TATA Resources &amp; Energy Fund Regular Plan - Payout of Income Distribution cum capital withdrawal option ;28.6925;25-Aug-2023")</f>
        <v>135814;INF277K013B4;-;TATA Resources &amp; Energy Fund Regular Plan - Payout of Income Distribution cum capital withdrawal option ;28.6925;25-Aug-2023</v>
      </c>
      <c r="B6629" s="1"/>
    </row>
    <row r="6630">
      <c r="A6630" s="1" t="str">
        <f>IFERROR(__xludf.DUMMYFUNCTION("""COMPUTED_VALUE"""),"135818;-;INF277K014B2;TATA Resources &amp; Energy Fund Regular Plan - Reinvestment of Income Distribution cum capital withdrawal option ;28.6925;25-Aug-2023")</f>
        <v>135818;-;INF277K014B2;TATA Resources &amp; Energy Fund Regular Plan - Reinvestment of Income Distribution cum capital withdrawal option ;28.6925;25-Aug-2023</v>
      </c>
      <c r="B6630" s="1"/>
    </row>
    <row r="6631">
      <c r="A6631" s="1" t="str">
        <f>IFERROR(__xludf.DUMMYFUNCTION("""COMPUTED_VALUE"""),"135813;INF277K015B9;-;Tata Resources &amp; Energy Fund-Direct Plan-Growth;35.7091;25-Aug-2023")</f>
        <v>135813;INF277K015B9;-;Tata Resources &amp; Energy Fund-Direct Plan-Growth;35.7091;25-Aug-2023</v>
      </c>
      <c r="B6631" s="1"/>
    </row>
    <row r="6632">
      <c r="A6632" s="1" t="str">
        <f>IFERROR(__xludf.DUMMYFUNCTION("""COMPUTED_VALUE"""),"135815;INF277K012B6;-;Tata Resources &amp; Energy Fund-Regular Plan-Growth;31.3707;25-Aug-2023")</f>
        <v>135815;INF277K012B6;-;Tata Resources &amp; Energy Fund-Regular Plan-Growth;31.3707;25-Aug-2023</v>
      </c>
      <c r="B6632" s="1"/>
    </row>
    <row r="6633">
      <c r="A6633" s="1"/>
      <c r="B6633" s="1"/>
    </row>
    <row r="6634">
      <c r="A6634" s="1" t="str">
        <f>IFERROR(__xludf.DUMMYFUNCTION("""COMPUTED_VALUE"""),"Taurus Mutual Fund")</f>
        <v>Taurus Mutual Fund</v>
      </c>
      <c r="B6634" s="1"/>
    </row>
    <row r="6635">
      <c r="A6635" s="1"/>
      <c r="B6635" s="1"/>
    </row>
    <row r="6636">
      <c r="A6636" s="1" t="str">
        <f>IFERROR(__xludf.DUMMYFUNCTION("""COMPUTED_VALUE"""),"118868;INF044D01CN2;-;Taurus Banking &amp; Financial Services Fund - Direct Plan - Growth;45.39;25-Aug-2023")</f>
        <v>118868;INF044D01CN2;-;Taurus Banking &amp; Financial Services Fund - Direct Plan - Growth;45.39;25-Aug-2023</v>
      </c>
      <c r="B6636" s="1"/>
    </row>
    <row r="6637">
      <c r="A6637" s="1" t="str">
        <f>IFERROR(__xludf.DUMMYFUNCTION("""COMPUTED_VALUE"""),"118869;INF044D01CO0;INF044D01CP7;Taurus Banking &amp; Financial Services Fund - Direct Plan - Payout of Income Distribution cum Capital Withdrawal option;44.87;25-Aug-2023")</f>
        <v>118869;INF044D01CO0;INF044D01CP7;Taurus Banking &amp; Financial Services Fund - Direct Plan - Payout of Income Distribution cum Capital Withdrawal option;44.87;25-Aug-2023</v>
      </c>
      <c r="B6637" s="1"/>
    </row>
    <row r="6638">
      <c r="A6638" s="1" t="str">
        <f>IFERROR(__xludf.DUMMYFUNCTION("""COMPUTED_VALUE"""),"117312;INF044D01BI4;-;Taurus Banking &amp; Financial Services Fund - Regular Plan - Growth;41.20;25-Aug-2023")</f>
        <v>117312;INF044D01BI4;-;Taurus Banking &amp; Financial Services Fund - Regular Plan - Growth;41.20;25-Aug-2023</v>
      </c>
      <c r="B6638" s="1"/>
    </row>
    <row r="6639">
      <c r="A6639" s="1" t="str">
        <f>IFERROR(__xludf.DUMMYFUNCTION("""COMPUTED_VALUE"""),"117313;INF044D01BJ2;INF044D01BK0;Taurus Banking &amp; Financial Services Fund - Regular Plan - Payout of Income Distribution cum Capital Withdrawal option;36.89;25-Aug-2023")</f>
        <v>117313;INF044D01BJ2;INF044D01BK0;Taurus Banking &amp; Financial Services Fund - Regular Plan - Payout of Income Distribution cum Capital Withdrawal option;36.89;25-Aug-2023</v>
      </c>
      <c r="B6639" s="1"/>
    </row>
    <row r="6640">
      <c r="A6640" s="1" t="str">
        <f>IFERROR(__xludf.DUMMYFUNCTION("""COMPUTED_VALUE"""),"111903;INF044D01823;-;Taurus Ethical Fund -  Regular Plan - Bonus Option;95.16;25-Aug-2023")</f>
        <v>111903;INF044D01823;-;Taurus Ethical Fund -  Regular Plan - Bonus Option;95.16;25-Aug-2023</v>
      </c>
      <c r="B6640" s="1"/>
    </row>
    <row r="6641">
      <c r="A6641" s="1" t="str">
        <f>IFERROR(__xludf.DUMMYFUNCTION("""COMPUTED_VALUE"""),"118876;INF044D01CJ0;-;Taurus Ethical Fund - Direct Plan - Growth;104.66;25-Aug-2023")</f>
        <v>118876;INF044D01CJ0;-;Taurus Ethical Fund - Direct Plan - Growth;104.66;25-Aug-2023</v>
      </c>
      <c r="B6641" s="1"/>
    </row>
    <row r="6642">
      <c r="A6642" s="1" t="str">
        <f>IFERROR(__xludf.DUMMYFUNCTION("""COMPUTED_VALUE"""),"118877;INF044D01CK8;INF044D01CL6;Taurus Ethical Fund - Direct Plan - Payout of Income Distribution cum Capital Withdrawal option;70.25;25-Aug-2023")</f>
        <v>118877;INF044D01CK8;INF044D01CL6;Taurus Ethical Fund - Direct Plan - Payout of Income Distribution cum Capital Withdrawal option;70.25;25-Aug-2023</v>
      </c>
      <c r="B6642" s="1"/>
    </row>
    <row r="6643">
      <c r="A6643" s="1" t="str">
        <f>IFERROR(__xludf.DUMMYFUNCTION("""COMPUTED_VALUE"""),"111787;INF044D01864;-;Taurus Ethical Fund - Regular Plan - Growth;95.18;25-Aug-2023")</f>
        <v>111787;INF044D01864;-;Taurus Ethical Fund - Regular Plan - Growth;95.18;25-Aug-2023</v>
      </c>
      <c r="B6643" s="1"/>
    </row>
    <row r="6644">
      <c r="A6644" s="1" t="str">
        <f>IFERROR(__xludf.DUMMYFUNCTION("""COMPUTED_VALUE"""),"111788;INF044D01831;INF044D01849;Taurus Ethical Fund - Regular Plan - Payout of Income Distribution cum Capital Withdrawal option;64.34;25-Aug-2023")</f>
        <v>111788;INF044D01831;INF044D01849;Taurus Ethical Fund - Regular Plan - Payout of Income Distribution cum Capital Withdrawal option;64.34;25-Aug-2023</v>
      </c>
      <c r="B6644" s="1"/>
    </row>
    <row r="6645">
      <c r="A6645" s="1" t="str">
        <f>IFERROR(__xludf.DUMMYFUNCTION("""COMPUTED_VALUE"""),"118878;INF044D01CM4;-;Taurus Ethical Fund-Direct Plan-Bonus Option #;34.29;25-Aug-2023")</f>
        <v>118878;INF044D01CM4;-;Taurus Ethical Fund-Direct Plan-Bonus Option #;34.29;25-Aug-2023</v>
      </c>
      <c r="B6645" s="1"/>
    </row>
    <row r="6646">
      <c r="A6646" s="1" t="str">
        <f>IFERROR(__xludf.DUMMYFUNCTION("""COMPUTED_VALUE"""),"118879;INF044D01CD3;-;Taurus Infrastructure Fund - Direct Plan - Growth ;50.23;25-Aug-2023")</f>
        <v>118879;INF044D01CD3;-;Taurus Infrastructure Fund - Direct Plan - Growth ;50.23;25-Aug-2023</v>
      </c>
      <c r="B6646" s="1"/>
    </row>
    <row r="6647">
      <c r="A6647" s="1" t="str">
        <f>IFERROR(__xludf.DUMMYFUNCTION("""COMPUTED_VALUE"""),"118880;INF044D01CE1;INF044D01CF8;Taurus Infrastructure Fund - Direct Plan - Payout of Income Distribution cum Capital Withdrawal option;46.77;25-Aug-2023")</f>
        <v>118880;INF044D01CE1;INF044D01CF8;Taurus Infrastructure Fund - Direct Plan - Payout of Income Distribution cum Capital Withdrawal option;46.77;25-Aug-2023</v>
      </c>
      <c r="B6647" s="1"/>
    </row>
    <row r="6648">
      <c r="A6648" s="1" t="str">
        <f>IFERROR(__xludf.DUMMYFUNCTION("""COMPUTED_VALUE"""),"105417;INF044D01906;-;Taurus Infrastructure Fund - Regular Plan - Growth;47.21;25-Aug-2023")</f>
        <v>105417;INF044D01906;-;Taurus Infrastructure Fund - Regular Plan - Growth;47.21;25-Aug-2023</v>
      </c>
      <c r="B6648" s="1"/>
    </row>
    <row r="6649">
      <c r="A6649" s="1" t="str">
        <f>IFERROR(__xludf.DUMMYFUNCTION("""COMPUTED_VALUE"""),"105418;INF044D01872;INF044D01880;Taurus Infrastructure Fund - Regular Plan - Payout of Income Distribution cum Capital Withdrawal option;44.34;25-Aug-2023")</f>
        <v>105418;INF044D01872;INF044D01880;Taurus Infrastructure Fund - Regular Plan - Payout of Income Distribution cum Capital Withdrawal option;44.34;25-Aug-2023</v>
      </c>
      <c r="B6649" s="1"/>
    </row>
    <row r="6650">
      <c r="A6650" s="1"/>
      <c r="B6650" s="1"/>
    </row>
    <row r="6651">
      <c r="A6651" s="1" t="str">
        <f>IFERROR(__xludf.DUMMYFUNCTION("""COMPUTED_VALUE"""),"UTI Mutual Fund")</f>
        <v>UTI Mutual Fund</v>
      </c>
      <c r="B6651" s="1"/>
    </row>
    <row r="6652">
      <c r="A6652" s="1"/>
      <c r="B6652" s="1"/>
    </row>
    <row r="6653">
      <c r="A6653" s="1" t="str">
        <f>IFERROR(__xludf.DUMMYFUNCTION("""COMPUTED_VALUE"""),"120733;INF789F01SN3;-;UTI Banking and Financial Services Fund - Direct Plan - Growth Option;152.413;25-Aug-2023")</f>
        <v>120733;INF789F01SN3;-;UTI Banking and Financial Services Fund - Direct Plan - Growth Option;152.413;25-Aug-2023</v>
      </c>
      <c r="B6653" s="1"/>
    </row>
    <row r="6654">
      <c r="A6654" s="1" t="str">
        <f>IFERROR(__xludf.DUMMYFUNCTION("""COMPUTED_VALUE"""),"120732;INF789F01SL7;INF789F01SM5;UTI Banking and Financial Services Fund - Direct Plan - IDCW;59.6517;25-Aug-2023")</f>
        <v>120732;INF789F01SL7;INF789F01SM5;UTI Banking and Financial Services Fund - Direct Plan - IDCW;59.6517;25-Aug-2023</v>
      </c>
      <c r="B6654" s="1"/>
    </row>
    <row r="6655">
      <c r="A6655" s="1" t="str">
        <f>IFERROR(__xludf.DUMMYFUNCTION("""COMPUTED_VALUE"""),"102401;INF789F01372;-;UTI Banking and Financial Services Fund - Regular Plan - Growth Option;136.4234;25-Aug-2023")</f>
        <v>102401;INF789F01372;-;UTI Banking and Financial Services Fund - Regular Plan - Growth Option;136.4234;25-Aug-2023</v>
      </c>
      <c r="B6655" s="1"/>
    </row>
    <row r="6656">
      <c r="A6656" s="1" t="str">
        <f>IFERROR(__xludf.DUMMYFUNCTION("""COMPUTED_VALUE"""),"102402;INF789F01356;INF789F01364;UTI Banking and Financial Services Fund - Regular Plan - IDCW;53.0953;25-Aug-2023")</f>
        <v>102402;INF789F01356;INF789F01364;UTI Banking and Financial Services Fund - Regular Plan - IDCW;53.0953;25-Aug-2023</v>
      </c>
      <c r="B6656" s="1"/>
    </row>
    <row r="6657">
      <c r="A6657" s="1" t="str">
        <f>IFERROR(__xludf.DUMMYFUNCTION("""COMPUTED_VALUE"""),"120782;INF789F01TO9;-;UTI Healthcare Fund - Direct Plan - Growth Option;199.2376;25-Aug-2023")</f>
        <v>120782;INF789F01TO9;-;UTI Healthcare Fund - Direct Plan - Growth Option;199.2376;25-Aug-2023</v>
      </c>
      <c r="B6657" s="1"/>
    </row>
    <row r="6658">
      <c r="A6658" s="1" t="str">
        <f>IFERROR(__xludf.DUMMYFUNCTION("""COMPUTED_VALUE"""),"120783;INF789F01TM3;INF789F01TN1;UTI Healthcare Fund - Direct Plan - IDCW;153.9975;25-Aug-2023")</f>
        <v>120783;INF789F01TM3;INF789F01TN1;UTI Healthcare Fund - Direct Plan - IDCW;153.9975;25-Aug-2023</v>
      </c>
      <c r="B6658" s="1"/>
    </row>
    <row r="6659">
      <c r="A6659" s="1" t="str">
        <f>IFERROR(__xludf.DUMMYFUNCTION("""COMPUTED_VALUE"""),"100807;INF789F01695;-;UTI Healthcare Fund - Regular Plan - Growth Option;180.0445;25-Aug-2023")</f>
        <v>100807;INF789F01695;-;UTI Healthcare Fund - Regular Plan - Growth Option;180.0445;25-Aug-2023</v>
      </c>
      <c r="B6659" s="1"/>
    </row>
    <row r="6660">
      <c r="A6660" s="1" t="str">
        <f>IFERROR(__xludf.DUMMYFUNCTION("""COMPUTED_VALUE"""),"100806;INF789F01679;INF789F01687;UTI Healthcare Fund - Regular Plan - IDCW;139.1492;25-Aug-2023")</f>
        <v>100806;INF789F01679;INF789F01687;UTI Healthcare Fund - Regular Plan - IDCW;139.1492;25-Aug-2023</v>
      </c>
      <c r="B6660" s="1"/>
    </row>
    <row r="6661">
      <c r="A6661" s="1" t="str">
        <f>IFERROR(__xludf.DUMMYFUNCTION("""COMPUTED_VALUE"""),"120780;INF789F01VF3;-;UTI India Consumer Fund - Direct Plan - Growth Option;44.9385;25-Aug-2023")</f>
        <v>120780;INF789F01VF3;-;UTI India Consumer Fund - Direct Plan - Growth Option;44.9385;25-Aug-2023</v>
      </c>
      <c r="B6661" s="1"/>
    </row>
    <row r="6662">
      <c r="A6662" s="1" t="str">
        <f>IFERROR(__xludf.DUMMYFUNCTION("""COMPUTED_VALUE"""),"120781;INF789F01VG1;INF789F01VH9;UTI India Consumer Fund - Direct Plan - IDCW;39.4509;25-Aug-2023")</f>
        <v>120781;INF789F01VG1;INF789F01VH9;UTI India Consumer Fund - Direct Plan - IDCW;39.4509;25-Aug-2023</v>
      </c>
      <c r="B6662" s="1"/>
    </row>
    <row r="6663">
      <c r="A6663" s="1" t="str">
        <f>IFERROR(__xludf.DUMMYFUNCTION("""COMPUTED_VALUE"""),"106425;INF789F01CE6;-;UTI India Consumer Fund - Regular Plan - Growth Option;42.2616;25-Aug-2023")</f>
        <v>106425;INF789F01CE6;-;UTI India Consumer Fund - Regular Plan - Growth Option;42.2616;25-Aug-2023</v>
      </c>
      <c r="B6663" s="1"/>
    </row>
    <row r="6664">
      <c r="A6664" s="1" t="str">
        <f>IFERROR(__xludf.DUMMYFUNCTION("""COMPUTED_VALUE"""),"106426;INF789F01CF3;INF789F01CG1;UTI India Consumer Fund - Regular Plan - IDCW;36.9425;25-Aug-2023")</f>
        <v>106426;INF789F01CF3;INF789F01CG1;UTI India Consumer Fund - Regular Plan - IDCW;36.9425;25-Aug-2023</v>
      </c>
      <c r="B6664" s="1"/>
    </row>
    <row r="6665">
      <c r="A6665" s="1" t="str">
        <f>IFERROR(__xludf.DUMMYFUNCTION("""COMPUTED_VALUE"""),"120729;INF789F01TS0;INF789F01TT8;UTI Infrastructure Fund - Direct Plan - IDCW;52.3912;25-Aug-2023")</f>
        <v>120729;INF789F01TS0;INF789F01TT8;UTI Infrastructure Fund - Direct Plan - IDCW;52.3912;25-Aug-2023</v>
      </c>
      <c r="B6665" s="1"/>
    </row>
    <row r="6666">
      <c r="A6666" s="1" t="str">
        <f>IFERROR(__xludf.DUMMYFUNCTION("""COMPUTED_VALUE"""),"102396;INF789F01737;INF789F01745;UTI Infrastructure Fund - Regular Plan - IDCW;50.133;25-Aug-2023")</f>
        <v>102396;INF789F01737;INF789F01745;UTI Infrastructure Fund - Regular Plan - IDCW;50.133;25-Aug-2023</v>
      </c>
      <c r="B6666" s="1"/>
    </row>
    <row r="6667">
      <c r="A6667" s="1" t="str">
        <f>IFERROR(__xludf.DUMMYFUNCTION("""COMPUTED_VALUE"""),"102395;INF789F01752;-;UTI Infrastructure Fund-Growth Option;95.9219;25-Aug-2023")</f>
        <v>102395;INF789F01752;-;UTI Infrastructure Fund-Growth Option;95.9219;25-Aug-2023</v>
      </c>
      <c r="B6667" s="1"/>
    </row>
    <row r="6668">
      <c r="A6668" s="1" t="str">
        <f>IFERROR(__xludf.DUMMYFUNCTION("""COMPUTED_VALUE"""),"120728;INF789F01TU6;-;UTI Infrastructure Fund-Growth Option- Direct;100.1163;25-Aug-2023")</f>
        <v>120728;INF789F01TU6;-;UTI Infrastructure Fund-Growth Option- Direct;100.1163;25-Aug-2023</v>
      </c>
      <c r="B6668" s="1"/>
    </row>
    <row r="6669">
      <c r="A6669" s="1" t="str">
        <f>IFERROR(__xludf.DUMMYFUNCTION("""COMPUTED_VALUE"""),"120682;INF789F01UD0;-;UTI - MNC Fund - Growth Option - Direct;334.0883;25-Aug-2023")</f>
        <v>120682;INF789F01UD0;-;UTI - MNC Fund - Growth Option - Direct;334.0883;25-Aug-2023</v>
      </c>
      <c r="B6669" s="1"/>
    </row>
    <row r="6670">
      <c r="A6670" s="1" t="str">
        <f>IFERROR(__xludf.DUMMYFUNCTION("""COMPUTED_VALUE"""),"100740;INF789F01844;-;UTI - MNC Fund - Regular Plan - Growth Option;304.8259;25-Aug-2023")</f>
        <v>100740;INF789F01844;-;UTI - MNC Fund - Regular Plan - Growth Option;304.8259;25-Aug-2023</v>
      </c>
      <c r="B6670" s="1"/>
    </row>
    <row r="6671">
      <c r="A6671" s="1" t="str">
        <f>IFERROR(__xludf.DUMMYFUNCTION("""COMPUTED_VALUE"""),"120681;INF789F01UB4;INF789F01UC2;UTI MNC Fund - Direct Plan - IDCW;173.3026;25-Aug-2023")</f>
        <v>120681;INF789F01UB4;INF789F01UC2;UTI MNC Fund - Direct Plan - IDCW;173.3026;25-Aug-2023</v>
      </c>
      <c r="B6671" s="1"/>
    </row>
    <row r="6672">
      <c r="A6672" s="1" t="str">
        <f>IFERROR(__xludf.DUMMYFUNCTION("""COMPUTED_VALUE"""),"100739;INF789F01828;INF789F01836;UTI MNC Fund - Regular Plan - IDCW;157.1636;25-Aug-2023")</f>
        <v>100739;INF789F01828;INF789F01836;UTI MNC Fund - Regular Plan - IDCW;157.1636;25-Aug-2023</v>
      </c>
      <c r="B6672" s="1"/>
    </row>
    <row r="6673">
      <c r="A6673" s="1" t="str">
        <f>IFERROR(__xludf.DUMMYFUNCTION("""COMPUTED_VALUE"""),"120730;INF789F01SF9;INF789F01SG7;UTI Transportation and Logistics Fund - Direct Plan - IDCW;91.4044;25-Aug-2023")</f>
        <v>120730;INF789F01SF9;INF789F01SG7;UTI Transportation and Logistics Fund - Direct Plan - IDCW;91.4044;25-Aug-2023</v>
      </c>
      <c r="B6673" s="1"/>
    </row>
    <row r="6674">
      <c r="A6674" s="1" t="str">
        <f>IFERROR(__xludf.DUMMYFUNCTION("""COMPUTED_VALUE"""),"102397;INF789F01273;INF789F01281;UTI Transportation and Logistics Fund - Regular Plan - IDCW;81.2251;25-Aug-2023")</f>
        <v>102397;INF789F01273;INF789F01281;UTI Transportation and Logistics Fund - Regular Plan - IDCW;81.2251;25-Aug-2023</v>
      </c>
      <c r="B6674" s="1"/>
    </row>
    <row r="6675">
      <c r="A6675" s="1" t="str">
        <f>IFERROR(__xludf.DUMMYFUNCTION("""COMPUTED_VALUE"""),"102398;INF789F01299;-;UTI-Transpotation and Logistics  Fund-Growth Option;176.1515;25-Aug-2023")</f>
        <v>102398;INF789F01299;-;UTI-Transpotation and Logistics  Fund-Growth Option;176.1515;25-Aug-2023</v>
      </c>
      <c r="B6675" s="1"/>
    </row>
    <row r="6676">
      <c r="A6676" s="1" t="str">
        <f>IFERROR(__xludf.DUMMYFUNCTION("""COMPUTED_VALUE"""),"120731;INF789F01SH5;-;UTI-Transpotation and Logistics  Fund-Growth Option- Direct;197.6318;25-Aug-2023")</f>
        <v>120731;INF789F01SH5;-;UTI-Transpotation and Logistics  Fund-Growth Option- Direct;197.6318;25-Aug-2023</v>
      </c>
      <c r="B6676" s="1"/>
    </row>
    <row r="6677">
      <c r="A6677" s="1"/>
      <c r="B6677" s="1"/>
    </row>
    <row r="6678">
      <c r="A6678" s="1" t="str">
        <f>IFERROR(__xludf.DUMMYFUNCTION("""COMPUTED_VALUE"""),"Open Ended Schemes(Equity Scheme - Small Cap Fund)")</f>
        <v>Open Ended Schemes(Equity Scheme - Small Cap Fund)</v>
      </c>
      <c r="B6678" s="1"/>
    </row>
    <row r="6679">
      <c r="A6679" s="1"/>
      <c r="B6679" s="1"/>
    </row>
    <row r="6680">
      <c r="A6680" s="1" t="str">
        <f>IFERROR(__xludf.DUMMYFUNCTION("""COMPUTED_VALUE"""),"Aditya Birla Sun Life Mutual Fund")</f>
        <v>Aditya Birla Sun Life Mutual Fund</v>
      </c>
      <c r="B6680" s="1"/>
    </row>
    <row r="6681">
      <c r="A6681" s="1"/>
      <c r="B6681" s="1"/>
    </row>
    <row r="6682">
      <c r="A6682" s="1" t="str">
        <f>IFERROR(__xludf.DUMMYFUNCTION("""COMPUTED_VALUE"""),"105804;INF209K01EN2;-;Aditya Birla Sun Life Small Cap Fund - GROWTH;64.582;25-Aug-2023")</f>
        <v>105804;INF209K01EN2;-;Aditya Birla Sun Life Small Cap Fund - GROWTH;64.582;25-Aug-2023</v>
      </c>
      <c r="B6682" s="1"/>
    </row>
    <row r="6683">
      <c r="A6683" s="1" t="str">
        <f>IFERROR(__xludf.DUMMYFUNCTION("""COMPUTED_VALUE"""),"119556;INF209K01WN4;-;Aditya Birla Sun Life Small Cap Fund - Growth - Direct Plan;71.9313;25-Aug-2023")</f>
        <v>119556;INF209K01WN4;-;Aditya Birla Sun Life Small Cap Fund - Growth - Direct Plan;71.9313;25-Aug-2023</v>
      </c>
      <c r="B6683" s="1"/>
    </row>
    <row r="6684">
      <c r="A6684" s="1" t="str">
        <f>IFERROR(__xludf.DUMMYFUNCTION("""COMPUTED_VALUE"""),"119557;INF209K01WM6;-;Aditya Birla Sun Life Small Cap Fund -Direct - IDCW;57.6637;25-Aug-2023")</f>
        <v>119557;INF209K01WM6;-;Aditya Birla Sun Life Small Cap Fund -Direct - IDCW;57.6637;25-Aug-2023</v>
      </c>
      <c r="B6684" s="1"/>
    </row>
    <row r="6685">
      <c r="A6685" s="1" t="str">
        <f>IFERROR(__xludf.DUMMYFUNCTION("""COMPUTED_VALUE"""),"105805;INF209K01EO0;INF209K01EP7;Aditya Birla Sun Life Small Cap Fund -Regular - IDCW;30.5273;25-Aug-2023")</f>
        <v>105805;INF209K01EO0;INF209K01EP7;Aditya Birla Sun Life Small Cap Fund -Regular - IDCW;30.5273;25-Aug-2023</v>
      </c>
      <c r="B6685" s="1"/>
    </row>
    <row r="6686">
      <c r="A6686" s="1"/>
      <c r="B6686" s="1"/>
    </row>
    <row r="6687">
      <c r="A6687" s="1" t="str">
        <f>IFERROR(__xludf.DUMMYFUNCTION("""COMPUTED_VALUE"""),"Axis Mutual Fund")</f>
        <v>Axis Mutual Fund</v>
      </c>
      <c r="B6687" s="1"/>
    </row>
    <row r="6688">
      <c r="A6688" s="1"/>
      <c r="B6688" s="1"/>
    </row>
    <row r="6689">
      <c r="A6689" s="1" t="str">
        <f>IFERROR(__xludf.DUMMYFUNCTION("""COMPUTED_VALUE"""),"125354;INF846K01K35;-;Axis Small Cap Fund - Direct Plan - Growth;85.30;25-Aug-2023")</f>
        <v>125354;INF846K01K35;-;Axis Small Cap Fund - Direct Plan - Growth;85.30;25-Aug-2023</v>
      </c>
      <c r="B6689" s="1"/>
    </row>
    <row r="6690">
      <c r="A6690" s="1" t="str">
        <f>IFERROR(__xludf.DUMMYFUNCTION("""COMPUTED_VALUE"""),"125351;INF846K01K43;INF846K01K50;Axis Small Cap Fund - Direct Plan - IDCW;44.62;25-Aug-2023")</f>
        <v>125351;INF846K01K43;INF846K01K50;Axis Small Cap Fund - Direct Plan - IDCW;44.62;25-Aug-2023</v>
      </c>
      <c r="B6690" s="1"/>
    </row>
    <row r="6691">
      <c r="A6691" s="1" t="str">
        <f>IFERROR(__xludf.DUMMYFUNCTION("""COMPUTED_VALUE"""),"125350;INF846K01K01;-;Axis Small Cap Fund - Regular Plan - Growth;75.35;25-Aug-2023")</f>
        <v>125350;INF846K01K01;-;Axis Small Cap Fund - Regular Plan - Growth;75.35;25-Aug-2023</v>
      </c>
      <c r="B6691" s="1"/>
    </row>
    <row r="6692">
      <c r="A6692" s="1" t="str">
        <f>IFERROR(__xludf.DUMMYFUNCTION("""COMPUTED_VALUE"""),"125352;INF846K01K19;INF846K01K27;Axis Small Cap Fund - Regular Plan - IDCW;38.92;25-Aug-2023")</f>
        <v>125352;INF846K01K19;INF846K01K27;Axis Small Cap Fund - Regular Plan - IDCW;38.92;25-Aug-2023</v>
      </c>
      <c r="B6692" s="1"/>
    </row>
    <row r="6693">
      <c r="A6693" s="1"/>
      <c r="B6693" s="1"/>
    </row>
    <row r="6694">
      <c r="A6694" s="1" t="str">
        <f>IFERROR(__xludf.DUMMYFUNCTION("""COMPUTED_VALUE"""),"Bandhan Mutual Fund")</f>
        <v>Bandhan Mutual Fund</v>
      </c>
      <c r="B6694" s="1"/>
    </row>
    <row r="6695">
      <c r="A6695" s="1"/>
      <c r="B6695" s="1"/>
    </row>
    <row r="6696">
      <c r="A6696" s="1" t="str">
        <f>IFERROR(__xludf.DUMMYFUNCTION("""COMPUTED_VALUE"""),"147946;INF194KB1AL4;-;BANDHAN EMERGING BUSINESSES FUND - DIRECT PLAN GROWTH;28.285;25-Aug-2023")</f>
        <v>147946;INF194KB1AL4;-;BANDHAN EMERGING BUSINESSES FUND - DIRECT PLAN GROWTH;28.285;25-Aug-2023</v>
      </c>
      <c r="B6696" s="1"/>
    </row>
    <row r="6697">
      <c r="A6697" s="1" t="str">
        <f>IFERROR(__xludf.DUMMYFUNCTION("""COMPUTED_VALUE"""),"147943;INF194KB1AM2;-;BANDHAN EMERGING BUSINESSES FUND - DIRECT PLAN IDCW;24.246;25-Aug-2023")</f>
        <v>147943;INF194KB1AM2;-;BANDHAN EMERGING BUSINESSES FUND - DIRECT PLAN IDCW;24.246;25-Aug-2023</v>
      </c>
      <c r="B6697" s="1"/>
    </row>
    <row r="6698">
      <c r="A6698" s="1" t="str">
        <f>IFERROR(__xludf.DUMMYFUNCTION("""COMPUTED_VALUE"""),"147944;INF194KB1AJ8;-;BANDHAN EMERGING BUSINESSES FUND - REGULAR PLAN GROWTH;26.619;25-Aug-2023")</f>
        <v>147944;INF194KB1AJ8;-;BANDHAN EMERGING BUSINESSES FUND - REGULAR PLAN GROWTH;26.619;25-Aug-2023</v>
      </c>
      <c r="B6698" s="1"/>
    </row>
    <row r="6699">
      <c r="A6699" s="1" t="str">
        <f>IFERROR(__xludf.DUMMYFUNCTION("""COMPUTED_VALUE"""),"147945;INF194KB1AK6;-;BANDHAN EMERGING BUSINESSES FUND - REGULAR PLAN IDCW;22.823;25-Aug-2023")</f>
        <v>147945;INF194KB1AK6;-;BANDHAN EMERGING BUSINESSES FUND - REGULAR PLAN IDCW;22.823;25-Aug-2023</v>
      </c>
      <c r="B6699" s="1"/>
    </row>
    <row r="6700">
      <c r="A6700" s="1"/>
      <c r="B6700" s="1"/>
    </row>
    <row r="6701">
      <c r="A6701" s="1" t="str">
        <f>IFERROR(__xludf.DUMMYFUNCTION("""COMPUTED_VALUE"""),"Bank of India Mutual Fund")</f>
        <v>Bank of India Mutual Fund</v>
      </c>
      <c r="B6701" s="1"/>
    </row>
    <row r="6702">
      <c r="A6702" s="1"/>
      <c r="B6702" s="1"/>
    </row>
    <row r="6703">
      <c r="A6703" s="1" t="str">
        <f>IFERROR(__xludf.DUMMYFUNCTION("""COMPUTED_VALUE"""),"145678;INF761K01EP7;-;BANK OF INDIA Small Cap Fund Direct Plan Growth;34.72;25-Aug-2023")</f>
        <v>145678;INF761K01EP7;-;BANK OF INDIA Small Cap Fund Direct Plan Growth;34.72;25-Aug-2023</v>
      </c>
      <c r="B6703" s="1"/>
    </row>
    <row r="6704">
      <c r="A6704" s="1" t="str">
        <f>IFERROR(__xludf.DUMMYFUNCTION("""COMPUTED_VALUE"""),"145675;INF761K01EO0;INF761K01ES1;BANK OF INDIA Small Cap Fund Direct Plan IDCW;26.00;25-Aug-2023")</f>
        <v>145675;INF761K01EO0;INF761K01ES1;BANK OF INDIA Small Cap Fund Direct Plan IDCW;26.00;25-Aug-2023</v>
      </c>
      <c r="B6704" s="1"/>
    </row>
    <row r="6705">
      <c r="A6705" s="1" t="str">
        <f>IFERROR(__xludf.DUMMYFUNCTION("""COMPUTED_VALUE"""),"145677;INF761K01ER3;-;BANK OF INDIA Small Cap Fund Regular Plan Growth;32.01;25-Aug-2023")</f>
        <v>145677;INF761K01ER3;-;BANK OF INDIA Small Cap Fund Regular Plan Growth;32.01;25-Aug-2023</v>
      </c>
      <c r="B6705" s="1"/>
    </row>
    <row r="6706">
      <c r="A6706" s="1" t="str">
        <f>IFERROR(__xludf.DUMMYFUNCTION("""COMPUTED_VALUE"""),"145676;INF761K01EQ5;INF761K01ET9;BANK OF INDIA Small Cap Fund Regular Plan IDCW;23.34;25-Aug-2023")</f>
        <v>145676;INF761K01EQ5;INF761K01ET9;BANK OF INDIA Small Cap Fund Regular Plan IDCW;23.34;25-Aug-2023</v>
      </c>
      <c r="B6706" s="1"/>
    </row>
    <row r="6707">
      <c r="A6707" s="1"/>
      <c r="B6707" s="1"/>
    </row>
    <row r="6708">
      <c r="A6708" s="1" t="str">
        <f>IFERROR(__xludf.DUMMYFUNCTION("""COMPUTED_VALUE"""),"Canara Robeco Mutual Fund")</f>
        <v>Canara Robeco Mutual Fund</v>
      </c>
      <c r="B6708" s="1"/>
    </row>
    <row r="6709">
      <c r="A6709" s="1"/>
      <c r="B6709" s="1"/>
    </row>
    <row r="6710">
      <c r="A6710" s="1" t="str">
        <f>IFERROR(__xludf.DUMMYFUNCTION("""COMPUTED_VALUE"""),"146130;INF760K01JC6;-;CANARA ROBECO SMALL CAP FUND - DIRECT PLAN - GROWTH OPTION;30.8400;25-Aug-2023")</f>
        <v>146130;INF760K01JC6;-;CANARA ROBECO SMALL CAP FUND - DIRECT PLAN - GROWTH OPTION;30.8400;25-Aug-2023</v>
      </c>
      <c r="B6710" s="1"/>
    </row>
    <row r="6711">
      <c r="A6711" s="1" t="str">
        <f>IFERROR(__xludf.DUMMYFUNCTION("""COMPUTED_VALUE"""),"146131;INF760K01JD4;INF760K01JE2;CANARA ROBECO SMALL CAP FUND - DIRECT PLAN - IDCW (Payout/Reinvestment);28.9900;25-Aug-2023")</f>
        <v>146131;INF760K01JD4;INF760K01JE2;CANARA ROBECO SMALL CAP FUND - DIRECT PLAN - IDCW (Payout/Reinvestment);28.9900;25-Aug-2023</v>
      </c>
      <c r="B6711" s="1"/>
    </row>
    <row r="6712">
      <c r="A6712" s="1" t="str">
        <f>IFERROR(__xludf.DUMMYFUNCTION("""COMPUTED_VALUE"""),"146127;INF760K01JF9;-;CANARA ROBECO SMALL CAP FUND - REGULAR PLAN - GROWTH OPTION;28.5800;25-Aug-2023")</f>
        <v>146127;INF760K01JF9;-;CANARA ROBECO SMALL CAP FUND - REGULAR PLAN - GROWTH OPTION;28.5800;25-Aug-2023</v>
      </c>
      <c r="B6712" s="1"/>
    </row>
    <row r="6713">
      <c r="A6713" s="1" t="str">
        <f>IFERROR(__xludf.DUMMYFUNCTION("""COMPUTED_VALUE"""),"146128;INF760K01JG7;INF760K01JH5;CANARA ROBECO SMALL CAP FUND - REGULAR PLAN - IDCW (Payout/Reinvestment);26.5400;25-Aug-2023")</f>
        <v>146128;INF760K01JG7;INF760K01JH5;CANARA ROBECO SMALL CAP FUND - REGULAR PLAN - IDCW (Payout/Reinvestment);26.5400;25-Aug-2023</v>
      </c>
      <c r="B6713" s="1"/>
    </row>
    <row r="6714">
      <c r="A6714" s="1"/>
      <c r="B6714" s="1"/>
    </row>
    <row r="6715">
      <c r="A6715" s="1" t="str">
        <f>IFERROR(__xludf.DUMMYFUNCTION("""COMPUTED_VALUE"""),"DSP Mutual Fund")</f>
        <v>DSP Mutual Fund</v>
      </c>
      <c r="B6715" s="1"/>
    </row>
    <row r="6716">
      <c r="A6716" s="1"/>
      <c r="B6716" s="1"/>
    </row>
    <row r="6717">
      <c r="A6717" s="1" t="str">
        <f>IFERROR(__xludf.DUMMYFUNCTION("""COMPUTED_VALUE"""),"119212;INF740K01QD1;-;DSP Small Cap Fund - Direct Plan - Growth;151.621;25-Aug-2023")</f>
        <v>119212;INF740K01QD1;-;DSP Small Cap Fund - Direct Plan - Growth;151.621;25-Aug-2023</v>
      </c>
      <c r="B6717" s="1"/>
    </row>
    <row r="6718">
      <c r="A6718" s="1" t="str">
        <f>IFERROR(__xludf.DUMMYFUNCTION("""COMPUTED_VALUE"""),"119213;INF740K01QE9;INF740K01QF6;DSP Small Cap Fund - Direct Plan - IDCW;53.705;25-Aug-2023")</f>
        <v>119213;INF740K01QE9;INF740K01QF6;DSP Small Cap Fund - Direct Plan - IDCW;53.705;25-Aug-2023</v>
      </c>
      <c r="B6718" s="1"/>
    </row>
    <row r="6719">
      <c r="A6719" s="1" t="str">
        <f>IFERROR(__xludf.DUMMYFUNCTION("""COMPUTED_VALUE"""),"105989;INF740K01797;-;DSP Small Cap Fund - Regular - Growth;140.323;25-Aug-2023")</f>
        <v>105989;INF740K01797;-;DSP Small Cap Fund - Regular - Growth;140.323;25-Aug-2023</v>
      </c>
      <c r="B6719" s="1"/>
    </row>
    <row r="6720">
      <c r="A6720" s="1" t="str">
        <f>IFERROR(__xludf.DUMMYFUNCTION("""COMPUTED_VALUE"""),"113153;INF740K01805;INF740K01AM6;DSP Small Cap Fund - Regular - IDCW;49.569;25-Aug-2023")</f>
        <v>113153;INF740K01805;INF740K01AM6;DSP Small Cap Fund - Regular - IDCW;49.569;25-Aug-2023</v>
      </c>
      <c r="B6720" s="1"/>
    </row>
    <row r="6721">
      <c r="A6721" s="1"/>
      <c r="B6721" s="1"/>
    </row>
    <row r="6722">
      <c r="A6722" s="1" t="str">
        <f>IFERROR(__xludf.DUMMYFUNCTION("""COMPUTED_VALUE"""),"Edelweiss Mutual Fund")</f>
        <v>Edelweiss Mutual Fund</v>
      </c>
      <c r="B6722" s="1"/>
    </row>
    <row r="6723">
      <c r="A6723" s="1"/>
      <c r="B6723" s="1"/>
    </row>
    <row r="6724">
      <c r="A6724" s="1" t="str">
        <f>IFERROR(__xludf.DUMMYFUNCTION("""COMPUTED_VALUE"""),"146196;INF754K01JN6;-;Edelweiss Small Cap Fund - Direct Plan - Growth;33.374;25-Aug-2023")</f>
        <v>146196;INF754K01JN6;-;Edelweiss Small Cap Fund - Direct Plan - Growth;33.374;25-Aug-2023</v>
      </c>
      <c r="B6724" s="1"/>
    </row>
    <row r="6725">
      <c r="A6725" s="1" t="str">
        <f>IFERROR(__xludf.DUMMYFUNCTION("""COMPUTED_VALUE"""),"146197;INF754K01JO4;INF754K01JP1;Edelweiss Small Cap Fund - Direct Plan - IDCW Option;29.197;25-Aug-2023")</f>
        <v>146197;INF754K01JO4;INF754K01JP1;Edelweiss Small Cap Fund - Direct Plan - IDCW Option;29.197;25-Aug-2023</v>
      </c>
      <c r="B6725" s="1"/>
    </row>
    <row r="6726">
      <c r="A6726" s="1" t="str">
        <f>IFERROR(__xludf.DUMMYFUNCTION("""COMPUTED_VALUE"""),"146193;INF754K01JJ4;-;Edelweiss Small Cap Fund - Regular Plan - Growth;31.035;25-Aug-2023")</f>
        <v>146193;INF754K01JJ4;-;Edelweiss Small Cap Fund - Regular Plan - Growth;31.035;25-Aug-2023</v>
      </c>
      <c r="B6726" s="1"/>
    </row>
    <row r="6727">
      <c r="A6727" s="1" t="str">
        <f>IFERROR(__xludf.DUMMYFUNCTION("""COMPUTED_VALUE"""),"146194;INF754K01JK2;INF754K01JL0;Edelweiss Small Cap Fund - Regular Plan - IDCW Option;26.969;25-Aug-2023")</f>
        <v>146194;INF754K01JK2;INF754K01JL0;Edelweiss Small Cap Fund - Regular Plan - IDCW Option;26.969;25-Aug-2023</v>
      </c>
      <c r="B6727" s="1"/>
    </row>
    <row r="6728">
      <c r="A6728" s="1"/>
      <c r="B6728" s="1"/>
    </row>
    <row r="6729">
      <c r="A6729" s="1" t="str">
        <f>IFERROR(__xludf.DUMMYFUNCTION("""COMPUTED_VALUE"""),"Franklin Templeton Mutual Fund")</f>
        <v>Franklin Templeton Mutual Fund</v>
      </c>
      <c r="B6729" s="1"/>
    </row>
    <row r="6730">
      <c r="A6730" s="1"/>
      <c r="B6730" s="1"/>
    </row>
    <row r="6731">
      <c r="A6731" s="1" t="str">
        <f>IFERROR(__xludf.DUMMYFUNCTION("""COMPUTED_VALUE"""),"118525;INF090I01IQ4;-;Franklin India Smaller Companies Fund - Direct - Growth;135.1138;25-Aug-2023")</f>
        <v>118525;INF090I01IQ4;-;Franklin India Smaller Companies Fund - Direct - Growth;135.1138;25-Aug-2023</v>
      </c>
      <c r="B6731" s="1"/>
    </row>
    <row r="6732">
      <c r="A6732" s="1" t="str">
        <f>IFERROR(__xludf.DUMMYFUNCTION("""COMPUTED_VALUE"""),"118524;INF090I01IO9;INF090I01IP6;Franklin India Smaller Companies Fund - Direct - IDCW ;47.5391;25-Aug-2023")</f>
        <v>118524;INF090I01IO9;INF090I01IP6;Franklin India Smaller Companies Fund - Direct - IDCW ;47.5391;25-Aug-2023</v>
      </c>
      <c r="B6732" s="1"/>
    </row>
    <row r="6733">
      <c r="A6733" s="1" t="str">
        <f>IFERROR(__xludf.DUMMYFUNCTION("""COMPUTED_VALUE"""),"103361;INF090I01544;INF090I01551;Franklin India Smaller Companies Fund - IDCW ;40.7276;25-Aug-2023")</f>
        <v>103361;INF090I01544;INF090I01551;Franklin India Smaller Companies Fund - IDCW ;40.7276;25-Aug-2023</v>
      </c>
      <c r="B6733" s="1"/>
    </row>
    <row r="6734">
      <c r="A6734" s="1" t="str">
        <f>IFERROR(__xludf.DUMMYFUNCTION("""COMPUTED_VALUE"""),"103360;INF090I01569;-;Franklin India Smaller Companies Fund-Growth;121.2653;25-Aug-2023")</f>
        <v>103360;INF090I01569;-;Franklin India Smaller Companies Fund-Growth;121.2653;25-Aug-2023</v>
      </c>
      <c r="B6734" s="1"/>
    </row>
    <row r="6735">
      <c r="A6735" s="1"/>
      <c r="B6735" s="1"/>
    </row>
    <row r="6736">
      <c r="A6736" s="1" t="str">
        <f>IFERROR(__xludf.DUMMYFUNCTION("""COMPUTED_VALUE"""),"HDFC Mutual Fund")</f>
        <v>HDFC Mutual Fund</v>
      </c>
      <c r="B6736" s="1"/>
    </row>
    <row r="6737">
      <c r="A6737" s="1"/>
      <c r="B6737" s="1"/>
    </row>
    <row r="6738">
      <c r="A6738" s="1" t="str">
        <f>IFERROR(__xludf.DUMMYFUNCTION("""COMPUTED_VALUE"""),"130502;INF179KA1RZ8;-;HDFC Small Cap Fund - Growth Option;102.014;25-Aug-2023")</f>
        <v>130502;INF179KA1RZ8;-;HDFC Small Cap Fund - Growth Option;102.014;25-Aug-2023</v>
      </c>
      <c r="B6738" s="1"/>
    </row>
    <row r="6739">
      <c r="A6739" s="1" t="str">
        <f>IFERROR(__xludf.DUMMYFUNCTION("""COMPUTED_VALUE"""),"130503;INF179KA1RW5;-;HDFC Small Cap Fund - Growth Option - Direct Plan;114.052;25-Aug-2023")</f>
        <v>130503;INF179KA1RW5;-;HDFC Small Cap Fund - Growth Option - Direct Plan;114.052;25-Aug-2023</v>
      </c>
      <c r="B6739" s="1"/>
    </row>
    <row r="6740">
      <c r="A6740" s="1" t="str">
        <f>IFERROR(__xludf.DUMMYFUNCTION("""COMPUTED_VALUE"""),"130501;INF179KA1SA9;INF179KA1SB7;HDFC Small Cap Fund - IDCW Option;39.926;25-Aug-2023")</f>
        <v>130501;INF179KA1SA9;INF179KA1SB7;HDFC Small Cap Fund - IDCW Option;39.926;25-Aug-2023</v>
      </c>
      <c r="B6740" s="1"/>
    </row>
    <row r="6741">
      <c r="A6741" s="1" t="str">
        <f>IFERROR(__xludf.DUMMYFUNCTION("""COMPUTED_VALUE"""),"130504;INF179KA1RX3;INF179KA1RY1;HDFC Small Cap Fund - IDCW Option - Direct Plan;56.355;25-Aug-2023")</f>
        <v>130504;INF179KA1RX3;INF179KA1RY1;HDFC Small Cap Fund - IDCW Option - Direct Plan;56.355;25-Aug-2023</v>
      </c>
      <c r="B6741" s="1"/>
    </row>
    <row r="6742">
      <c r="A6742" s="1"/>
      <c r="B6742" s="1"/>
    </row>
    <row r="6743">
      <c r="A6743" s="1" t="str">
        <f>IFERROR(__xludf.DUMMYFUNCTION("""COMPUTED_VALUE"""),"HSBC Mutual Fund")</f>
        <v>HSBC Mutual Fund</v>
      </c>
      <c r="B6743" s="1"/>
    </row>
    <row r="6744">
      <c r="A6744" s="1"/>
      <c r="B6744" s="1"/>
    </row>
    <row r="6745">
      <c r="A6745" s="1" t="str">
        <f>IFERROR(__xludf.DUMMYFUNCTION("""COMPUTED_VALUE"""),"151130;INF917K01QA1;-;HSBC Small Cap Fund - Direct Growth;65.1851;25-Aug-2023")</f>
        <v>151130;INF917K01QA1;-;HSBC Small Cap Fund - Direct Growth;65.1851;25-Aug-2023</v>
      </c>
      <c r="B6745" s="1"/>
    </row>
    <row r="6746">
      <c r="A6746" s="1" t="str">
        <f>IFERROR(__xludf.DUMMYFUNCTION("""COMPUTED_VALUE"""),"151132;INF917K01PZ0;INF917K01XP5;HSBC Small Cap Fund - Direct IDCW;39.6436;25-Aug-2023")</f>
        <v>151132;INF917K01PZ0;INF917K01XP5;HSBC Small Cap Fund - Direct IDCW;39.6436;25-Aug-2023</v>
      </c>
      <c r="B6746" s="1"/>
    </row>
    <row r="6747">
      <c r="A6747" s="1" t="str">
        <f>IFERROR(__xludf.DUMMYFUNCTION("""COMPUTED_VALUE"""),"151133;INF917K01QC7;-;HSBC Small Cap Fund - Regular Growth;59.8118;25-Aug-2023")</f>
        <v>151133;INF917K01QC7;-;HSBC Small Cap Fund - Regular Growth;59.8118;25-Aug-2023</v>
      </c>
      <c r="B6747" s="1"/>
    </row>
    <row r="6748">
      <c r="A6748" s="1" t="str">
        <f>IFERROR(__xludf.DUMMYFUNCTION("""COMPUTED_VALUE"""),"151131;INF917K01QB9;INF917K01XQ3;HSBC Small Cap Fund - Regular IDCW;35.5019;25-Aug-2023")</f>
        <v>151131;INF917K01QB9;INF917K01XQ3;HSBC Small Cap Fund - Regular IDCW;35.5019;25-Aug-2023</v>
      </c>
      <c r="B6748" s="1"/>
    </row>
    <row r="6749">
      <c r="A6749" s="1"/>
      <c r="B6749" s="1"/>
    </row>
    <row r="6750">
      <c r="A6750" s="1" t="str">
        <f>IFERROR(__xludf.DUMMYFUNCTION("""COMPUTED_VALUE"""),"ICICI Prudential Mutual Fund")</f>
        <v>ICICI Prudential Mutual Fund</v>
      </c>
      <c r="B6750" s="1"/>
    </row>
    <row r="6751">
      <c r="A6751" s="1"/>
      <c r="B6751" s="1"/>
    </row>
    <row r="6752">
      <c r="A6752" s="1" t="str">
        <f>IFERROR(__xludf.DUMMYFUNCTION("""COMPUTED_VALUE"""),"120591;INF109K015M0;-;ICICI Prudential Smallcap Fund - Direct Plan - Growth;71.76;25-Aug-2023")</f>
        <v>120591;INF109K015M0;-;ICICI Prudential Smallcap Fund - Direct Plan - Growth;71.76;25-Aug-2023</v>
      </c>
      <c r="B6752" s="1"/>
    </row>
    <row r="6753">
      <c r="A6753" s="1" t="str">
        <f>IFERROR(__xludf.DUMMYFUNCTION("""COMPUTED_VALUE"""),"120870;INF109K013M5;INF109K014M3;ICICI Prudential Smallcap Fund - Direct Plan - IDCW;57.04;25-Aug-2023")</f>
        <v>120870;INF109K013M5;INF109K014M3;ICICI Prudential Smallcap Fund - Direct Plan - IDCW;57.04;25-Aug-2023</v>
      </c>
      <c r="B6753" s="1"/>
    </row>
    <row r="6754">
      <c r="A6754" s="1" t="str">
        <f>IFERROR(__xludf.DUMMYFUNCTION("""COMPUTED_VALUE"""),"106823;INF109K01BI0;-;ICICI Prudential Smallcap Fund - Growth;65.25;25-Aug-2023")</f>
        <v>106823;INF109K01BI0;-;ICICI Prudential Smallcap Fund - Growth;65.25;25-Aug-2023</v>
      </c>
      <c r="B6754" s="1"/>
    </row>
    <row r="6755">
      <c r="A6755" s="1" t="str">
        <f>IFERROR(__xludf.DUMMYFUNCTION("""COMPUTED_VALUE"""),"106822;INF109K01FA8;INF109K01BJ8;ICICI Prudential Smallcap Fund - IDCW;31.70;25-Aug-2023")</f>
        <v>106822;INF109K01FA8;INF109K01BJ8;ICICI Prudential Smallcap Fund - IDCW;31.70;25-Aug-2023</v>
      </c>
      <c r="B6755" s="1"/>
    </row>
    <row r="6756">
      <c r="A6756" s="1" t="str">
        <f>IFERROR(__xludf.DUMMYFUNCTION("""COMPUTED_VALUE"""),"106821;INF109K01BK6;-;ICICI Prudential Smallcap Fund - Institutional Growth;18.65;24-Apr-2020")</f>
        <v>106821;INF109K01BK6;-;ICICI Prudential Smallcap Fund - Institutional Growth;18.65;24-Apr-2020</v>
      </c>
      <c r="B6756" s="1"/>
    </row>
    <row r="6757">
      <c r="A6757" s="1"/>
      <c r="B6757" s="1"/>
    </row>
    <row r="6758">
      <c r="A6758" s="1" t="str">
        <f>IFERROR(__xludf.DUMMYFUNCTION("""COMPUTED_VALUE"""),"Invesco Mutual Fund")</f>
        <v>Invesco Mutual Fund</v>
      </c>
      <c r="B6758" s="1"/>
    </row>
    <row r="6759">
      <c r="A6759" s="1"/>
      <c r="B6759" s="1"/>
    </row>
    <row r="6760">
      <c r="A6760" s="1" t="str">
        <f>IFERROR(__xludf.DUMMYFUNCTION("""COMPUTED_VALUE"""),"145137;INF205K013T3;-;Invesco India Smallcap Fund - Direct Plan - Growth;28.04;25-Aug-2023")</f>
        <v>145137;INF205K013T3;-;Invesco India Smallcap Fund - Direct Plan - Growth;28.04;25-Aug-2023</v>
      </c>
      <c r="B6760" s="1"/>
    </row>
    <row r="6761">
      <c r="A6761" s="1" t="str">
        <f>IFERROR(__xludf.DUMMYFUNCTION("""COMPUTED_VALUE"""),"145138;INF205K012T5;INF205K015T8;Invesco India Smallcap Fund - Direct Plan - IDCW (Payout / Reinvestment);28.1;25-Aug-2023")</f>
        <v>145138;INF205K012T5;INF205K015T8;Invesco India Smallcap Fund - Direct Plan - IDCW (Payout / Reinvestment);28.1;25-Aug-2023</v>
      </c>
      <c r="B6761" s="1"/>
    </row>
    <row r="6762">
      <c r="A6762" s="1" t="str">
        <f>IFERROR(__xludf.DUMMYFUNCTION("""COMPUTED_VALUE"""),"145139;INF205K011T7;-;Invesco India Smallcap Fund - Regular Plan - Growth;25.99;25-Aug-2023")</f>
        <v>145139;INF205K011T7;-;Invesco India Smallcap Fund - Regular Plan - Growth;25.99;25-Aug-2023</v>
      </c>
      <c r="B6762" s="1"/>
    </row>
    <row r="6763">
      <c r="A6763" s="1" t="str">
        <f>IFERROR(__xludf.DUMMYFUNCTION("""COMPUTED_VALUE"""),"145140;INF205K010T9;INF205K014T1;Invesco India Smallcap Fund - Regular Plan - IDCW (Payout / Reinvestment);26;25-Aug-2023")</f>
        <v>145140;INF205K010T9;INF205K014T1;Invesco India Smallcap Fund - Regular Plan - IDCW (Payout / Reinvestment);26;25-Aug-2023</v>
      </c>
      <c r="B6763" s="1"/>
    </row>
    <row r="6764">
      <c r="A6764" s="1"/>
      <c r="B6764" s="1"/>
    </row>
    <row r="6765">
      <c r="A6765" s="1" t="str">
        <f>IFERROR(__xludf.DUMMYFUNCTION("""COMPUTED_VALUE"""),"ITI Mutual Fund")</f>
        <v>ITI Mutual Fund</v>
      </c>
      <c r="B6765" s="1"/>
    </row>
    <row r="6766">
      <c r="A6766" s="1"/>
      <c r="B6766" s="1"/>
    </row>
    <row r="6767">
      <c r="A6767" s="1" t="str">
        <f>IFERROR(__xludf.DUMMYFUNCTION("""COMPUTED_VALUE"""),"147919;INF00XX01747;-;ITI Small Cap Fund - Direct Plan - Growth Option;18.9160;25-Aug-2023")</f>
        <v>147919;INF00XX01747;-;ITI Small Cap Fund - Direct Plan - Growth Option;18.9160;25-Aug-2023</v>
      </c>
      <c r="B6767" s="1"/>
    </row>
    <row r="6768">
      <c r="A6768" s="1" t="str">
        <f>IFERROR(__xludf.DUMMYFUNCTION("""COMPUTED_VALUE"""),"147917;INF00XX01754;INF00XX01762;ITI Small Cap Fund - Direct Plan - IDCW Option;18.9160;25-Aug-2023")</f>
        <v>147917;INF00XX01754;INF00XX01762;ITI Small Cap Fund - Direct Plan - IDCW Option;18.9160;25-Aug-2023</v>
      </c>
      <c r="B6768" s="1"/>
    </row>
    <row r="6769">
      <c r="A6769" s="1" t="str">
        <f>IFERROR(__xludf.DUMMYFUNCTION("""COMPUTED_VALUE"""),"147920;INF00XX01713;-;ITI Small Cap Fund - Regular Plan - Growth Option;17.5762;25-Aug-2023")</f>
        <v>147920;INF00XX01713;-;ITI Small Cap Fund - Regular Plan - Growth Option;17.5762;25-Aug-2023</v>
      </c>
      <c r="B6769" s="1"/>
    </row>
    <row r="6770">
      <c r="A6770" s="1" t="str">
        <f>IFERROR(__xludf.DUMMYFUNCTION("""COMPUTED_VALUE"""),"147918;INF00XX01721;INF00XX01739;ITI Small Cap Fund - Regular Plan - IDCW Option;17.5762;25-Aug-2023")</f>
        <v>147918;INF00XX01721;INF00XX01739;ITI Small Cap Fund - Regular Plan - IDCW Option;17.5762;25-Aug-2023</v>
      </c>
      <c r="B6770" s="1"/>
    </row>
    <row r="6771">
      <c r="A6771" s="1"/>
      <c r="B6771" s="1"/>
    </row>
    <row r="6772">
      <c r="A6772" s="1" t="str">
        <f>IFERROR(__xludf.DUMMYFUNCTION("""COMPUTED_VALUE"""),"Kotak Mahindra Mutual Fund")</f>
        <v>Kotak Mahindra Mutual Fund</v>
      </c>
      <c r="B6772" s="1"/>
    </row>
    <row r="6773">
      <c r="A6773" s="1"/>
      <c r="B6773" s="1"/>
    </row>
    <row r="6774">
      <c r="A6774" s="1" t="str">
        <f>IFERROR(__xludf.DUMMYFUNCTION("""COMPUTED_VALUE"""),"102875;INF174K01211;-;Kotak-Small Cap Fund - Growth;194.38;25-Aug-2023")</f>
        <v>102875;INF174K01211;-;Kotak-Small Cap Fund - Growth;194.38;25-Aug-2023</v>
      </c>
      <c r="B6774" s="1"/>
    </row>
    <row r="6775">
      <c r="A6775" s="1" t="str">
        <f>IFERROR(__xludf.DUMMYFUNCTION("""COMPUTED_VALUE"""),"120164;INF174K01KT2;-;Kotak-Small Cap Fund - Growth - Direct;223.065;25-Aug-2023")</f>
        <v>120164;INF174K01KT2;-;Kotak-Small Cap Fund - Growth - Direct;223.065;25-Aug-2023</v>
      </c>
      <c r="B6775" s="1"/>
    </row>
    <row r="6776">
      <c r="A6776" s="1" t="str">
        <f>IFERROR(__xludf.DUMMYFUNCTION("""COMPUTED_VALUE"""),"102874;INF174K01237;INF174K01229;Kotak-Small Cap Fund - Payout of Income Distribution cum capital withdrawal option;84.801;25-Aug-2023")</f>
        <v>102874;INF174K01237;INF174K01229;Kotak-Small Cap Fund - Payout of Income Distribution cum capital withdrawal option;84.801;25-Aug-2023</v>
      </c>
      <c r="B6776" s="1"/>
    </row>
    <row r="6777">
      <c r="A6777" s="1" t="str">
        <f>IFERROR(__xludf.DUMMYFUNCTION("""COMPUTED_VALUE"""),"120163;INF174K01KU0;-;Kotak-Small Cap Fund - Payout of Income Distribution cum capital withdrawal option - Direct;97.977;25-Aug-2023")</f>
        <v>120163;INF174K01KU0;-;Kotak-Small Cap Fund - Payout of Income Distribution cum capital withdrawal option - Direct;97.977;25-Aug-2023</v>
      </c>
      <c r="B6777" s="1"/>
    </row>
    <row r="6778">
      <c r="A6778" s="1"/>
      <c r="B6778" s="1"/>
    </row>
    <row r="6779">
      <c r="A6779" s="1" t="str">
        <f>IFERROR(__xludf.DUMMYFUNCTION("""COMPUTED_VALUE"""),"LIC Mutual Fund")</f>
        <v>LIC Mutual Fund</v>
      </c>
      <c r="B6779" s="1"/>
    </row>
    <row r="6780">
      <c r="A6780" s="1"/>
      <c r="B6780" s="1"/>
    </row>
    <row r="6781">
      <c r="A6781" s="1" t="str">
        <f>IFERROR(__xludf.DUMMYFUNCTION("""COMPUTED_VALUE"""),"152004;INF397L01JS1;-;LIC MF Small Cap Fund-Direct Plan-Growth;23.12;25-Aug-2023")</f>
        <v>152004;INF397L01JS1;-;LIC MF Small Cap Fund-Direct Plan-Growth;23.12;25-Aug-2023</v>
      </c>
      <c r="B6781" s="1"/>
    </row>
    <row r="6782">
      <c r="A6782" s="1" t="str">
        <f>IFERROR(__xludf.DUMMYFUNCTION("""COMPUTED_VALUE"""),"152005;INF397L01JP7;INF397L01JQ5;LIC MF Small Cap Fund-Direct Plan-IDCW;23.13;25-Aug-2023")</f>
        <v>152005;INF397L01JP7;INF397L01JQ5;LIC MF Small Cap Fund-Direct Plan-IDCW;23.13;25-Aug-2023</v>
      </c>
      <c r="B6782" s="1"/>
    </row>
    <row r="6783">
      <c r="A6783" s="1" t="str">
        <f>IFERROR(__xludf.DUMMYFUNCTION("""COMPUTED_VALUE"""),"152003;INF397L01JW3;-;LIC MF Small Cap Fund-Regular Plan-Growth;21.11;25-Aug-2023")</f>
        <v>152003;INF397L01JW3;-;LIC MF Small Cap Fund-Regular Plan-Growth;21.11;25-Aug-2023</v>
      </c>
      <c r="B6783" s="1"/>
    </row>
    <row r="6784">
      <c r="A6784" s="1" t="str">
        <f>IFERROR(__xludf.DUMMYFUNCTION("""COMPUTED_VALUE"""),"152006;INF397L01JT9;INF397L01JU7;LIC MF Small Cap Fund-Regular Plan-IDCW;21.11;25-Aug-2023")</f>
        <v>152006;INF397L01JT9;INF397L01JU7;LIC MF Small Cap Fund-Regular Plan-IDCW;21.11;25-Aug-2023</v>
      </c>
      <c r="B6784" s="1"/>
    </row>
    <row r="6785">
      <c r="A6785" s="1"/>
      <c r="B6785" s="1"/>
    </row>
    <row r="6786">
      <c r="A6786" s="1" t="str">
        <f>IFERROR(__xludf.DUMMYFUNCTION("""COMPUTED_VALUE"""),"Mahindra Manulife Mutual Fund")</f>
        <v>Mahindra Manulife Mutual Fund</v>
      </c>
      <c r="B6786" s="1"/>
    </row>
    <row r="6787">
      <c r="A6787" s="1"/>
      <c r="B6787" s="1"/>
    </row>
    <row r="6788">
      <c r="A6788" s="1" t="str">
        <f>IFERROR(__xludf.DUMMYFUNCTION("""COMPUTED_VALUE"""),"150915;INF174V01BK7;-;Mahindra Manulife Small Cap Fund - Direct Plan - Growth;13.0886;25-Aug-2023")</f>
        <v>150915;INF174V01BK7;-;Mahindra Manulife Small Cap Fund - Direct Plan - Growth;13.0886;25-Aug-2023</v>
      </c>
      <c r="B6788" s="1"/>
    </row>
    <row r="6789">
      <c r="A6789" s="1" t="str">
        <f>IFERROR(__xludf.DUMMYFUNCTION("""COMPUTED_VALUE"""),"150913;INF174V01BL5;INF174V01BM3;Mahindra Manulife Small Cap Fund - Direct Plan - IDCW;13.0888;25-Aug-2023")</f>
        <v>150913;INF174V01BL5;INF174V01BM3;Mahindra Manulife Small Cap Fund - Direct Plan - IDCW;13.0888;25-Aug-2023</v>
      </c>
      <c r="B6789" s="1"/>
    </row>
    <row r="6790">
      <c r="A6790" s="1" t="str">
        <f>IFERROR(__xludf.DUMMYFUNCTION("""COMPUTED_VALUE"""),"150912;INF174V01BH3;-;Mahindra Manulife Small Cap Fund - Regular Plan - Growth;12.9193;25-Aug-2023")</f>
        <v>150912;INF174V01BH3;-;Mahindra Manulife Small Cap Fund - Regular Plan - Growth;12.9193;25-Aug-2023</v>
      </c>
      <c r="B6790" s="1"/>
    </row>
    <row r="6791">
      <c r="A6791" s="1" t="str">
        <f>IFERROR(__xludf.DUMMYFUNCTION("""COMPUTED_VALUE"""),"150914;INF174V01BI1;INF174V01BJ9;Mahindra Manulife Small Cap Fund - Regular Plan - IDCW;12.9166;25-Aug-2023")</f>
        <v>150914;INF174V01BI1;INF174V01BJ9;Mahindra Manulife Small Cap Fund - Regular Plan - IDCW;12.9166;25-Aug-2023</v>
      </c>
      <c r="B6791" s="1"/>
    </row>
    <row r="6792">
      <c r="A6792" s="1"/>
      <c r="B6792" s="1"/>
    </row>
    <row r="6793">
      <c r="A6793" s="1" t="str">
        <f>IFERROR(__xludf.DUMMYFUNCTION("""COMPUTED_VALUE"""),"Nippon India Mutual Fund")</f>
        <v>Nippon India Mutual Fund</v>
      </c>
      <c r="B6793" s="1"/>
    </row>
    <row r="6794">
      <c r="A6794" s="1"/>
      <c r="B6794" s="1"/>
    </row>
    <row r="6795">
      <c r="A6795" s="1" t="str">
        <f>IFERROR(__xludf.DUMMYFUNCTION("""COMPUTED_VALUE"""),"118775;INF204K01J91;INF204K01K07;NIPPON INDIA SMALL CAP FUND - Direct Plan - IDCW Option;84.0284;25-Aug-2023")</f>
        <v>118775;INF204K01J91;INF204K01K07;NIPPON INDIA SMALL CAP FUND - Direct Plan - IDCW Option;84.0284;25-Aug-2023</v>
      </c>
      <c r="B6795" s="1"/>
    </row>
    <row r="6796">
      <c r="A6796" s="1" t="str">
        <f>IFERROR(__xludf.DUMMYFUNCTION("""COMPUTED_VALUE"""),"118777;INF204K01J83;-;Nippon India Small Cap Fund - Direct Plan Growth Plan - Bonus Option;130.3601;25-Aug-2023")</f>
        <v>118777;INF204K01J83;-;Nippon India Small Cap Fund - Direct Plan Growth Plan - Bonus Option;130.3601;25-Aug-2023</v>
      </c>
      <c r="B6796" s="1"/>
    </row>
    <row r="6797">
      <c r="A6797" s="1" t="str">
        <f>IFERROR(__xludf.DUMMYFUNCTION("""COMPUTED_VALUE"""),"118778;INF204K01K15;-;Nippon India Small Cap Fund - Direct Plan Growth Plan - Growth Option;130.3601;25-Aug-2023")</f>
        <v>118778;INF204K01K15;-;Nippon India Small Cap Fund - Direct Plan Growth Plan - Growth Option;130.3601;25-Aug-2023</v>
      </c>
      <c r="B6797" s="1"/>
    </row>
    <row r="6798">
      <c r="A6798" s="1" t="str">
        <f>IFERROR(__xludf.DUMMYFUNCTION("""COMPUTED_VALUE"""),"113178;INF204K01HZ0;-;Nippon India Small Cap Fund - Growth Plan - Bonus Option;118.0735;25-Aug-2023")</f>
        <v>113178;INF204K01HZ0;-;Nippon India Small Cap Fund - Growth Plan - Bonus Option;118.0735;25-Aug-2023</v>
      </c>
      <c r="B6798" s="1"/>
    </row>
    <row r="6799">
      <c r="A6799" s="1" t="str">
        <f>IFERROR(__xludf.DUMMYFUNCTION("""COMPUTED_VALUE"""),"113177;INF204K01HY3;-;Nippon India Small Cap Fund - Growth Plan - Growth Option;118.0735;25-Aug-2023")</f>
        <v>113177;INF204K01HY3;-;Nippon India Small Cap Fund - Growth Plan - Growth Option;118.0735;25-Aug-2023</v>
      </c>
      <c r="B6799" s="1"/>
    </row>
    <row r="6800">
      <c r="A6800" s="1" t="str">
        <f>IFERROR(__xludf.DUMMYFUNCTION("""COMPUTED_VALUE"""),"113179;INF204K01IA1;INF204K01IB9;NIPPON INDIA SMALL CAP FUND - IDCW Option;74.3916;25-Aug-2023")</f>
        <v>113179;INF204K01IA1;INF204K01IB9;NIPPON INDIA SMALL CAP FUND - IDCW Option;74.3916;25-Aug-2023</v>
      </c>
      <c r="B6800" s="1"/>
    </row>
    <row r="6801">
      <c r="A6801" s="1"/>
      <c r="B6801" s="1"/>
    </row>
    <row r="6802">
      <c r="A6802" s="1" t="str">
        <f>IFERROR(__xludf.DUMMYFUNCTION("""COMPUTED_VALUE"""),"PGIM India Mutual Fund")</f>
        <v>PGIM India Mutual Fund</v>
      </c>
      <c r="B6802" s="1"/>
    </row>
    <row r="6803">
      <c r="A6803" s="1"/>
      <c r="B6803" s="1"/>
    </row>
    <row r="6804">
      <c r="A6804" s="1" t="str">
        <f>IFERROR(__xludf.DUMMYFUNCTION("""COMPUTED_VALUE"""),"149031;INF663L01W14;INF663L01W22;PGIM India Small Cap Fund - Direct Plan - IDCW Option;11.88;25-Aug-2023")</f>
        <v>149031;INF663L01W14;INF663L01W22;PGIM India Small Cap Fund - Direct Plan - IDCW Option;11.88;25-Aug-2023</v>
      </c>
      <c r="B6804" s="1"/>
    </row>
    <row r="6805">
      <c r="A6805" s="1" t="str">
        <f>IFERROR(__xludf.DUMMYFUNCTION("""COMPUTED_VALUE"""),"149019;INF663L01W06;-;PGIM India Small Cap Fund - Direct Plan- Growth Option;12.3;25-Aug-2023")</f>
        <v>149019;INF663L01W06;-;PGIM India Small Cap Fund - Direct Plan- Growth Option;12.3;25-Aug-2023</v>
      </c>
      <c r="B6805" s="1"/>
    </row>
    <row r="6806">
      <c r="A6806" s="1" t="str">
        <f>IFERROR(__xludf.DUMMYFUNCTION("""COMPUTED_VALUE"""),"149020;INF663L01W30;-;PGIM India Small Cap Fund - Regular Plan - Growth Option;11.83;25-Aug-2023")</f>
        <v>149020;INF663L01W30;-;PGIM India Small Cap Fund - Regular Plan - Growth Option;11.83;25-Aug-2023</v>
      </c>
      <c r="B6806" s="1"/>
    </row>
    <row r="6807">
      <c r="A6807" s="1" t="str">
        <f>IFERROR(__xludf.DUMMYFUNCTION("""COMPUTED_VALUE"""),"149032;INF663L01W48;INF663L01W55;PGIM India Small Cap Fund - Regular Plan - IDCW Option;11.83;25-Aug-2023")</f>
        <v>149032;INF663L01W48;INF663L01W55;PGIM India Small Cap Fund - Regular Plan - IDCW Option;11.83;25-Aug-2023</v>
      </c>
      <c r="B6807" s="1"/>
    </row>
    <row r="6808">
      <c r="A6808" s="1"/>
      <c r="B6808" s="1"/>
    </row>
    <row r="6809">
      <c r="A6809" s="1" t="str">
        <f>IFERROR(__xludf.DUMMYFUNCTION("""COMPUTED_VALUE"""),"quant Mutual Fund")</f>
        <v>quant Mutual Fund</v>
      </c>
      <c r="B6809" s="1"/>
    </row>
    <row r="6810">
      <c r="A6810" s="1"/>
      <c r="B6810" s="1"/>
    </row>
    <row r="6811">
      <c r="A6811" s="1" t="str">
        <f>IFERROR(__xludf.DUMMYFUNCTION("""COMPUTED_VALUE"""),"100177;INF966L01AA0;-;quant Small Cap Fund - Growth - Regular Plan;176.4799;25-Aug-2023")</f>
        <v>100177;INF966L01AA0;-;quant Small Cap Fund - Growth - Regular Plan;176.4799;25-Aug-2023</v>
      </c>
      <c r="B6811" s="1"/>
    </row>
    <row r="6812">
      <c r="A6812" s="1" t="str">
        <f>IFERROR(__xludf.DUMMYFUNCTION("""COMPUTED_VALUE"""),"120828;INF966L01689;-;quant Small Cap Fund - Growth Option - Direct Plan;188.327;25-Aug-2023")</f>
        <v>120828;INF966L01689;-;quant Small Cap Fund - Growth Option - Direct Plan;188.327;25-Aug-2023</v>
      </c>
      <c r="B6812" s="1"/>
    </row>
    <row r="6813">
      <c r="A6813" s="1" t="str">
        <f>IFERROR(__xludf.DUMMYFUNCTION("""COMPUTED_VALUE"""),"120827;INF966L01663;INF966L01671;quant Small Cap Fund - IDCW Option - Direct Plan;147.2169;25-Aug-2023")</f>
        <v>120827;INF966L01663;INF966L01671;quant Small Cap Fund - IDCW Option - Direct Plan;147.2169;25-Aug-2023</v>
      </c>
      <c r="B6813" s="1"/>
    </row>
    <row r="6814">
      <c r="A6814" s="1" t="str">
        <f>IFERROR(__xludf.DUMMYFUNCTION("""COMPUTED_VALUE"""),"100176;INF966L01036;INF966L01044;quant Small Cap Fund - IDCW Option - Regular Plan;140.3298;25-Aug-2023")</f>
        <v>100176;INF966L01036;INF966L01044;quant Small Cap Fund - IDCW Option - Regular Plan;140.3298;25-Aug-2023</v>
      </c>
      <c r="B6814" s="1"/>
    </row>
    <row r="6815">
      <c r="A6815" s="1"/>
      <c r="B6815" s="1"/>
    </row>
    <row r="6816">
      <c r="A6816" s="1" t="str">
        <f>IFERROR(__xludf.DUMMYFUNCTION("""COMPUTED_VALUE"""),"SBI Mutual Fund")</f>
        <v>SBI Mutual Fund</v>
      </c>
      <c r="B6816" s="1"/>
    </row>
    <row r="6817">
      <c r="A6817" s="1"/>
      <c r="B6817" s="1"/>
    </row>
    <row r="6818">
      <c r="A6818" s="1" t="str">
        <f>IFERROR(__xludf.DUMMYFUNCTION("""COMPUTED_VALUE"""),"125497;INF200K01T51;-;SBI Small Cap Fund - Direct Plan - Growth;147.0885;25-Aug-2023")</f>
        <v>125497;INF200K01T51;-;SBI Small Cap Fund - Direct Plan - Growth;147.0885;25-Aug-2023</v>
      </c>
      <c r="B6818" s="1"/>
    </row>
    <row r="6819">
      <c r="A6819" s="1" t="str">
        <f>IFERROR(__xludf.DUMMYFUNCTION("""COMPUTED_VALUE"""),"125496;INF200K01T69;INF200K01T77;SBI Small Cap Fund - Direct Plan - Income Distribution cum Capital Withdrawal Option (IDCW);100.3919;25-Aug-2023")</f>
        <v>125496;INF200K01T69;INF200K01T77;SBI Small Cap Fund - Direct Plan - Income Distribution cum Capital Withdrawal Option (IDCW);100.3919;25-Aug-2023</v>
      </c>
      <c r="B6819" s="1"/>
    </row>
    <row r="6820">
      <c r="A6820" s="1" t="str">
        <f>IFERROR(__xludf.DUMMYFUNCTION("""COMPUTED_VALUE"""),"125494;INF200K01T28;-;SBI Small Cap Fund - Regular Plan - Growth;130.7900;25-Aug-2023")</f>
        <v>125494;INF200K01T28;-;SBI Small Cap Fund - Regular Plan - Growth;130.7900;25-Aug-2023</v>
      </c>
      <c r="B6820" s="1"/>
    </row>
    <row r="6821">
      <c r="A6821" s="1" t="str">
        <f>IFERROR(__xludf.DUMMYFUNCTION("""COMPUTED_VALUE"""),"125495;INF200K01T36;INF200K01T44;SBI Small Cap Fund - Regular Plan - Income Distribution cum Capital Withdrawal Option (IDCW);77.2677;25-Aug-2023")</f>
        <v>125495;INF200K01T36;INF200K01T44;SBI Small Cap Fund - Regular Plan - Income Distribution cum Capital Withdrawal Option (IDCW);77.2677;25-Aug-2023</v>
      </c>
      <c r="B6821" s="1"/>
    </row>
    <row r="6822">
      <c r="A6822" s="1"/>
      <c r="B6822" s="1"/>
    </row>
    <row r="6823">
      <c r="A6823" s="1" t="str">
        <f>IFERROR(__xludf.DUMMYFUNCTION("""COMPUTED_VALUE"""),"Sundaram Mutual Fund")</f>
        <v>Sundaram Mutual Fund</v>
      </c>
      <c r="B6823" s="1"/>
    </row>
    <row r="6824">
      <c r="A6824" s="1"/>
      <c r="B6824" s="1"/>
    </row>
    <row r="6825">
      <c r="A6825" s="1" t="str">
        <f>IFERROR(__xludf.DUMMYFUNCTION("""COMPUTED_VALUE"""),"119589;INF903J01NK9;-;Sundaram Small Cap Fund Direct Plan - Growth;199.2563;25-Aug-2023")</f>
        <v>119589;INF903J01NK9;-;Sundaram Small Cap Fund Direct Plan - Growth;199.2563;25-Aug-2023</v>
      </c>
      <c r="B6825" s="1"/>
    </row>
    <row r="6826">
      <c r="A6826" s="1" t="str">
        <f>IFERROR(__xludf.DUMMYFUNCTION("""COMPUTED_VALUE"""),"119588;INF903J01NI3;INF903J01NJ1;Sundaram Small Cap Fund Direct Plan - Income Distribution cum Capital Withdrawal (IDCW);32.5018;25-Aug-2023")</f>
        <v>119588;INF903J01NI3;INF903J01NJ1;Sundaram Small Cap Fund Direct Plan - Income Distribution cum Capital Withdrawal (IDCW);32.5018;25-Aug-2023</v>
      </c>
      <c r="B6826" s="1"/>
    </row>
    <row r="6827">
      <c r="A6827" s="1" t="str">
        <f>IFERROR(__xludf.DUMMYFUNCTION("""COMPUTED_VALUE"""),"100795;INF903J01470;-;Sundaram Small Cap Fund Regular Plan - Growth;183.7755;25-Aug-2023")</f>
        <v>100795;INF903J01470;-;Sundaram Small Cap Fund Regular Plan - Growth;183.7755;25-Aug-2023</v>
      </c>
      <c r="B6827" s="1"/>
    </row>
    <row r="6828">
      <c r="A6828" s="1" t="str">
        <f>IFERROR(__xludf.DUMMYFUNCTION("""COMPUTED_VALUE"""),"100794;INF903J01454;INF903J01462;Sundaram Small Cap Fund Regular Plan - Income Distribution cum Capital Withdrawal (IDCW);29.1739;25-Aug-2023")</f>
        <v>100794;INF903J01454;INF903J01462;Sundaram Small Cap Fund Regular Plan - Income Distribution cum Capital Withdrawal (IDCW);29.1739;25-Aug-2023</v>
      </c>
      <c r="B6828" s="1"/>
    </row>
    <row r="6829">
      <c r="A6829" s="1"/>
      <c r="B6829" s="1"/>
    </row>
    <row r="6830">
      <c r="A6830" s="1" t="str">
        <f>IFERROR(__xludf.DUMMYFUNCTION("""COMPUTED_VALUE"""),"Tata Mutual Fund")</f>
        <v>Tata Mutual Fund</v>
      </c>
      <c r="B6830" s="1"/>
    </row>
    <row r="6831">
      <c r="A6831" s="1"/>
      <c r="B6831" s="1"/>
    </row>
    <row r="6832">
      <c r="A6832" s="1" t="str">
        <f>IFERROR(__xludf.DUMMYFUNCTION("""COMPUTED_VALUE"""),"145209;-;INF277K012O9;TATA Small Cap Fund Direct Plan - Reinvestment of Income Distribution cum capital withdrawal option ;30.9699;25-Aug-2023")</f>
        <v>145209;-;INF277K012O9;TATA Small Cap Fund Direct Plan - Reinvestment of Income Distribution cum capital withdrawal option ;30.9699;25-Aug-2023</v>
      </c>
      <c r="B6832" s="1"/>
    </row>
    <row r="6833">
      <c r="A6833" s="1" t="str">
        <f>IFERROR(__xludf.DUMMYFUNCTION("""COMPUTED_VALUE"""),"145210;-;INF277K016O0;TATA Small Cap Fund Regular Plan - Reinvestment of Income Distribution cum capital withdrawal option ;28.3220;25-Aug-2023")</f>
        <v>145210;-;INF277K016O0;TATA Small Cap Fund Regular Plan - Reinvestment of Income Distribution cum capital withdrawal option ;28.3220;25-Aug-2023</v>
      </c>
      <c r="B6833" s="1"/>
    </row>
    <row r="6834">
      <c r="A6834" s="1" t="str">
        <f>IFERROR(__xludf.DUMMYFUNCTION("""COMPUTED_VALUE"""),"145206;INF277K011O1;-;Tata Small Cap Fund-Direct Plan-Growth;30.9699;25-Aug-2023")</f>
        <v>145206;INF277K011O1;-;Tata Small Cap Fund-Direct Plan-Growth;30.9699;25-Aug-2023</v>
      </c>
      <c r="B6834" s="1"/>
    </row>
    <row r="6835">
      <c r="A6835" s="1" t="str">
        <f>IFERROR(__xludf.DUMMYFUNCTION("""COMPUTED_VALUE"""),"145208;INF277K015O2;-;Tata Small Cap Fund-Regular Plan-Growth;28.3220;25-Aug-2023")</f>
        <v>145208;INF277K015O2;-;Tata Small Cap Fund-Regular Plan-Growth;28.3220;25-Aug-2023</v>
      </c>
      <c r="B6835" s="1"/>
    </row>
    <row r="6836">
      <c r="A6836" s="1" t="str">
        <f>IFERROR(__xludf.DUMMYFUNCTION("""COMPUTED_VALUE"""),"145207;INF277K013O7;-;TATA SmallCap Fund - Direct Plan - Payout of Income Distribution cum capital withdrawal option ;30.9699;25-Aug-2023")</f>
        <v>145207;INF277K013O7;-;TATA SmallCap Fund - Direct Plan - Payout of Income Distribution cum capital withdrawal option ;30.9699;25-Aug-2023</v>
      </c>
      <c r="B6836" s="1"/>
    </row>
    <row r="6837">
      <c r="A6837" s="1" t="str">
        <f>IFERROR(__xludf.DUMMYFUNCTION("""COMPUTED_VALUE"""),"145205;INF277K017O8;-;TATA SmallCap Fund Regular Plan - Payout of Income Distribution cum capital withdrawal option ;28.3220;25-Aug-2023")</f>
        <v>145205;INF277K017O8;-;TATA SmallCap Fund Regular Plan - Payout of Income Distribution cum capital withdrawal option ;28.3220;25-Aug-2023</v>
      </c>
      <c r="B6837" s="1"/>
    </row>
    <row r="6838">
      <c r="A6838" s="1"/>
      <c r="B6838" s="1"/>
    </row>
    <row r="6839">
      <c r="A6839" s="1" t="str">
        <f>IFERROR(__xludf.DUMMYFUNCTION("""COMPUTED_VALUE"""),"Union Mutual Fund")</f>
        <v>Union Mutual Fund</v>
      </c>
      <c r="B6839" s="1"/>
    </row>
    <row r="6840">
      <c r="A6840" s="1"/>
      <c r="B6840" s="1"/>
    </row>
    <row r="6841">
      <c r="A6841" s="1" t="str">
        <f>IFERROR(__xludf.DUMMYFUNCTION("""COMPUTED_VALUE"""),"129649;INF582M01BU9;-;Union Small Cap Fund - Direct Plan - Growth Option;40.06;25-Aug-2023")</f>
        <v>129649;INF582M01BU9;-;Union Small Cap Fund - Direct Plan - Growth Option;40.06;25-Aug-2023</v>
      </c>
      <c r="B6841" s="1"/>
    </row>
    <row r="6842">
      <c r="A6842" s="1" t="str">
        <f>IFERROR(__xludf.DUMMYFUNCTION("""COMPUTED_VALUE"""),"129646;INF582M01BW5;INF582M01BV7;Union Small Cap Fund - Direct Plan - IDCW Option;29.99;25-Aug-2023")</f>
        <v>129646;INF582M01BW5;INF582M01BV7;Union Small Cap Fund - Direct Plan - IDCW Option;29.99;25-Aug-2023</v>
      </c>
      <c r="B6842" s="1"/>
    </row>
    <row r="6843">
      <c r="A6843" s="1" t="str">
        <f>IFERROR(__xludf.DUMMYFUNCTION("""COMPUTED_VALUE"""),"129647;INF582M01BY1;-;Union Small Cap Fund - Regular Plan - Growth Option;37.12;25-Aug-2023")</f>
        <v>129647;INF582M01BY1;-;Union Small Cap Fund - Regular Plan - Growth Option;37.12;25-Aug-2023</v>
      </c>
      <c r="B6843" s="1"/>
    </row>
    <row r="6844">
      <c r="A6844" s="1" t="str">
        <f>IFERROR(__xludf.DUMMYFUNCTION("""COMPUTED_VALUE"""),"129648;INF582M01CA9;INF582M01BZ8;Union Small Cap Fund - Regular Plan - IDCW Option;32.24;25-Aug-2023")</f>
        <v>129648;INF582M01CA9;INF582M01BZ8;Union Small Cap Fund - Regular Plan - IDCW Option;32.24;25-Aug-2023</v>
      </c>
      <c r="B6844" s="1"/>
    </row>
    <row r="6845">
      <c r="A6845" s="1"/>
      <c r="B6845" s="1"/>
    </row>
    <row r="6846">
      <c r="A6846" s="1" t="str">
        <f>IFERROR(__xludf.DUMMYFUNCTION("""COMPUTED_VALUE"""),"UTI Mutual Fund")</f>
        <v>UTI Mutual Fund</v>
      </c>
      <c r="B6846" s="1"/>
    </row>
    <row r="6847">
      <c r="A6847" s="1"/>
      <c r="B6847" s="1"/>
    </row>
    <row r="6848">
      <c r="A6848" s="1" t="str">
        <f>IFERROR(__xludf.DUMMYFUNCTION("""COMPUTED_VALUE"""),"148618;INF789F1AUQ1;-;UTI Small Cap Fund - Direct Plan - Growth Option;19.3725;25-Aug-2023")</f>
        <v>148618;INF789F1AUQ1;-;UTI Small Cap Fund - Direct Plan - Growth Option;19.3725;25-Aug-2023</v>
      </c>
      <c r="B6848" s="1"/>
    </row>
    <row r="6849">
      <c r="A6849" s="1" t="str">
        <f>IFERROR(__xludf.DUMMYFUNCTION("""COMPUTED_VALUE"""),"148619;INF789F1AUR9;-;UTI Small Cap Fund - Direct Plan - IDCW (Payout);19.3725;25-Aug-2023")</f>
        <v>148619;INF789F1AUR9;-;UTI Small Cap Fund - Direct Plan - IDCW (Payout);19.3725;25-Aug-2023</v>
      </c>
      <c r="B6849" s="1"/>
    </row>
    <row r="6850">
      <c r="A6850" s="1" t="str">
        <f>IFERROR(__xludf.DUMMYFUNCTION("""COMPUTED_VALUE"""),"148617;INF789F1AUO6;-;UTI Small Cap Fund - Regular Plan - Growth Option;18.461;25-Aug-2023")</f>
        <v>148617;INF789F1AUO6;-;UTI Small Cap Fund - Regular Plan - Growth Option;18.461;25-Aug-2023</v>
      </c>
      <c r="B6850" s="1"/>
    </row>
    <row r="6851">
      <c r="A6851" s="1" t="str">
        <f>IFERROR(__xludf.DUMMYFUNCTION("""COMPUTED_VALUE"""),"148616;INF789F1AUP3;-;UTI Small Cap Fund - Regular Plan - IDCW (Payout);18.4609;25-Aug-2023")</f>
        <v>148616;INF789F1AUP3;-;UTI Small Cap Fund - Regular Plan - IDCW (Payout);18.4609;25-Aug-2023</v>
      </c>
      <c r="B6851" s="1"/>
    </row>
    <row r="6852">
      <c r="A6852" s="1"/>
      <c r="B6852" s="1"/>
    </row>
    <row r="6853">
      <c r="A6853" s="1" t="str">
        <f>IFERROR(__xludf.DUMMYFUNCTION("""COMPUTED_VALUE"""),"Open Ended Schemes(Equity Scheme - Value Fund)")</f>
        <v>Open Ended Schemes(Equity Scheme - Value Fund)</v>
      </c>
      <c r="B6853" s="1"/>
    </row>
    <row r="6854">
      <c r="A6854" s="1"/>
      <c r="B6854" s="1"/>
    </row>
    <row r="6855">
      <c r="A6855" s="1" t="str">
        <f>IFERROR(__xludf.DUMMYFUNCTION("""COMPUTED_VALUE"""),"Aditya Birla Sun Life Mutual Fund")</f>
        <v>Aditya Birla Sun Life Mutual Fund</v>
      </c>
      <c r="B6855" s="1"/>
    </row>
    <row r="6856">
      <c r="A6856" s="1"/>
      <c r="B6856" s="1"/>
    </row>
    <row r="6857">
      <c r="A6857" s="1" t="str">
        <f>IFERROR(__xludf.DUMMYFUNCTION("""COMPUTED_VALUE"""),"119658;INF209K01WP9;-;Aditya Birla Sun Life Pure Value Fund - Direct - IDCW;60.3365;25-Aug-2023")</f>
        <v>119658;INF209K01WP9;-;Aditya Birla Sun Life Pure Value Fund - Direct - IDCW;60.3365;25-Aug-2023</v>
      </c>
      <c r="B6857" s="1"/>
    </row>
    <row r="6858">
      <c r="A6858" s="1" t="str">
        <f>IFERROR(__xludf.DUMMYFUNCTION("""COMPUTED_VALUE"""),"119659;INF209K01WQ7;-;Aditya Birla Sun Life Pure Value Fund - Growth - Direct Plan;98.5946;25-Aug-2023")</f>
        <v>119659;INF209K01WQ7;-;Aditya Birla Sun Life Pure Value Fund - Growth - Direct Plan;98.5946;25-Aug-2023</v>
      </c>
      <c r="B6858" s="1"/>
    </row>
    <row r="6859">
      <c r="A6859" s="1" t="str">
        <f>IFERROR(__xludf.DUMMYFUNCTION("""COMPUTED_VALUE"""),"108167;INF209K01LF3;-;Aditya Birla Sun Life Pure Value Fund - Growth Option;89.0062;25-Aug-2023")</f>
        <v>108167;INF209K01LF3;-;Aditya Birla Sun Life Pure Value Fund - Growth Option;89.0062;25-Aug-2023</v>
      </c>
      <c r="B6859" s="1"/>
    </row>
    <row r="6860">
      <c r="A6860" s="1" t="str">
        <f>IFERROR(__xludf.DUMMYFUNCTION("""COMPUTED_VALUE"""),"108166;INF209K01LE6;INF209K01LG1;Aditya Birla Sun Life Pure Value Fund - Regular - IDCW;33.6001;25-Aug-2023")</f>
        <v>108166;INF209K01LE6;INF209K01LG1;Aditya Birla Sun Life Pure Value Fund - Regular - IDCW;33.6001;25-Aug-2023</v>
      </c>
      <c r="B6860" s="1"/>
    </row>
    <row r="6861">
      <c r="A6861" s="1"/>
      <c r="B6861" s="1"/>
    </row>
    <row r="6862">
      <c r="A6862" s="1" t="str">
        <f>IFERROR(__xludf.DUMMYFUNCTION("""COMPUTED_VALUE"""),"Axis Mutual Fund")</f>
        <v>Axis Mutual Fund</v>
      </c>
      <c r="B6862" s="1"/>
    </row>
    <row r="6863">
      <c r="A6863" s="1"/>
      <c r="B6863" s="1"/>
    </row>
    <row r="6864">
      <c r="A6864" s="1" t="str">
        <f>IFERROR(__xludf.DUMMYFUNCTION("""COMPUTED_VALUE"""),"149166;INF846K010C0;-;Axis Value Fund - Direct Plan - Growth;12.62;25-Aug-2023")</f>
        <v>149166;INF846K010C0;-;Axis Value Fund - Direct Plan - Growth;12.62;25-Aug-2023</v>
      </c>
      <c r="B6864" s="1"/>
    </row>
    <row r="6865">
      <c r="A6865" s="1" t="str">
        <f>IFERROR(__xludf.DUMMYFUNCTION("""COMPUTED_VALUE"""),"149168;INF846K011C8;INF846K012C6;Axis Value Fund - Direct Plan - IDCW;12.61;25-Aug-2023")</f>
        <v>149168;INF846K011C8;INF846K012C6;Axis Value Fund - Direct Plan - IDCW;12.61;25-Aug-2023</v>
      </c>
      <c r="B6865" s="1"/>
    </row>
    <row r="6866">
      <c r="A6866" s="1" t="str">
        <f>IFERROR(__xludf.DUMMYFUNCTION("""COMPUTED_VALUE"""),"149167;INF846K013C4;-;Axis Value Fund - Regular Plan - Growth;12.28;25-Aug-2023")</f>
        <v>149167;INF846K013C4;-;Axis Value Fund - Regular Plan - Growth;12.28;25-Aug-2023</v>
      </c>
      <c r="B6866" s="1"/>
    </row>
    <row r="6867">
      <c r="A6867" s="1" t="str">
        <f>IFERROR(__xludf.DUMMYFUNCTION("""COMPUTED_VALUE"""),"149165;INF846K014C2;INF846K015C9;Axis Value Fund - Regular Plan - IDCW;12.28;25-Aug-2023")</f>
        <v>149165;INF846K014C2;INF846K015C9;Axis Value Fund - Regular Plan - IDCW;12.28;25-Aug-2023</v>
      </c>
      <c r="B6867" s="1"/>
    </row>
    <row r="6868">
      <c r="A6868" s="1"/>
      <c r="B6868" s="1"/>
    </row>
    <row r="6869">
      <c r="A6869" s="1" t="str">
        <f>IFERROR(__xludf.DUMMYFUNCTION("""COMPUTED_VALUE"""),"Bandhan Mutual Fund")</f>
        <v>Bandhan Mutual Fund</v>
      </c>
      <c r="B6869" s="1"/>
    </row>
    <row r="6870">
      <c r="A6870" s="1"/>
      <c r="B6870" s="1"/>
    </row>
    <row r="6871">
      <c r="A6871" s="1" t="str">
        <f>IFERROR(__xludf.DUMMYFUNCTION("""COMPUTED_VALUE"""),"108909;INF194K01342;-;BANDHAN Sterling Value Fund - Regular Plan - Growth;109.055;25-Aug-2023")</f>
        <v>108909;INF194K01342;-;BANDHAN Sterling Value Fund - Regular Plan - Growth;109.055;25-Aug-2023</v>
      </c>
      <c r="B6871" s="1"/>
    </row>
    <row r="6872">
      <c r="A6872" s="1" t="str">
        <f>IFERROR(__xludf.DUMMYFUNCTION("""COMPUTED_VALUE"""),"108908;INF194K01359;INF194K01367;BANDHAN Sterling Value Fund - Regular Plan - IDCW;35.634;25-Aug-2023")</f>
        <v>108908;INF194K01359;INF194K01367;BANDHAN Sterling Value Fund - Regular Plan - IDCW;35.634;25-Aug-2023</v>
      </c>
      <c r="B6872" s="1"/>
    </row>
    <row r="6873">
      <c r="A6873" s="1" t="str">
        <f>IFERROR(__xludf.DUMMYFUNCTION("""COMPUTED_VALUE"""),"118481;INF194K01Z85;-;BANDHAN Sterling Value Fund-Direct Plan-Growth;121.161;25-Aug-2023")</f>
        <v>118481;INF194K01Z85;-;BANDHAN Sterling Value Fund-Direct Plan-Growth;121.161;25-Aug-2023</v>
      </c>
      <c r="B6873" s="1"/>
    </row>
    <row r="6874">
      <c r="A6874" s="1" t="str">
        <f>IFERROR(__xludf.DUMMYFUNCTION("""COMPUTED_VALUE"""),"118480;INF194K01Z93;INF194K010A2;BANDHAN Sterling Value Fund-Direct Plan-IDCW;45.750;25-Aug-2023")</f>
        <v>118480;INF194K01Z93;INF194K010A2;BANDHAN Sterling Value Fund-Direct Plan-IDCW;45.750;25-Aug-2023</v>
      </c>
      <c r="B6874" s="1"/>
    </row>
    <row r="6875">
      <c r="A6875" s="1"/>
      <c r="B6875" s="1"/>
    </row>
    <row r="6876">
      <c r="A6876" s="1" t="str">
        <f>IFERROR(__xludf.DUMMYFUNCTION("""COMPUTED_VALUE"""),"Baroda BNP Paribas Mutual Fund")</f>
        <v>Baroda BNP Paribas Mutual Fund</v>
      </c>
      <c r="B6876" s="1"/>
    </row>
    <row r="6877">
      <c r="A6877" s="1"/>
      <c r="B6877" s="1"/>
    </row>
    <row r="6878">
      <c r="A6878" s="1" t="str">
        <f>IFERROR(__xludf.DUMMYFUNCTION("""COMPUTED_VALUE"""),"151755;INF251K01SD5;-;Baroda BNP Paribas Value Fund - Direct Plan - Growth option;10.4892;25-Aug-2023")</f>
        <v>151755;INF251K01SD5;-;Baroda BNP Paribas Value Fund - Direct Plan - Growth option;10.4892;25-Aug-2023</v>
      </c>
      <c r="B6878" s="1"/>
    </row>
    <row r="6879">
      <c r="A6879" s="1" t="str">
        <f>IFERROR(__xludf.DUMMYFUNCTION("""COMPUTED_VALUE"""),"151756;INF251K01SE3;INF251K01SF0;Baroda BNP Paribas Value Fund - Direct Plan - IDCW option;10.4892;25-Aug-2023")</f>
        <v>151756;INF251K01SE3;INF251K01SF0;Baroda BNP Paribas Value Fund - Direct Plan - IDCW option;10.4892;25-Aug-2023</v>
      </c>
      <c r="B6879" s="1"/>
    </row>
    <row r="6880">
      <c r="A6880" s="1" t="str">
        <f>IFERROR(__xludf.DUMMYFUNCTION("""COMPUTED_VALUE"""),"151747;INF251K01SA1;-;Baroda BNP Paribas Value Fund - Regular Plan - Growth option;10.4485;25-Aug-2023")</f>
        <v>151747;INF251K01SA1;-;Baroda BNP Paribas Value Fund - Regular Plan - Growth option;10.4485;25-Aug-2023</v>
      </c>
      <c r="B6880" s="1"/>
    </row>
    <row r="6881">
      <c r="A6881" s="1" t="str">
        <f>IFERROR(__xludf.DUMMYFUNCTION("""COMPUTED_VALUE"""),"151754;INF251K01SB9;INF251K01SC7;Baroda BNP Paribas Value Fund - Regular Plan - IDCW option;10.4485;25-Aug-2023")</f>
        <v>151754;INF251K01SB9;INF251K01SC7;Baroda BNP Paribas Value Fund - Regular Plan - IDCW option;10.4485;25-Aug-2023</v>
      </c>
      <c r="B6881" s="1"/>
    </row>
    <row r="6882">
      <c r="A6882" s="1"/>
      <c r="B6882" s="1"/>
    </row>
    <row r="6883">
      <c r="A6883" s="1" t="str">
        <f>IFERROR(__xludf.DUMMYFUNCTION("""COMPUTED_VALUE"""),"Canara Robeco Mutual Fund")</f>
        <v>Canara Robeco Mutual Fund</v>
      </c>
      <c r="B6883" s="1"/>
    </row>
    <row r="6884">
      <c r="A6884" s="1"/>
      <c r="B6884" s="1"/>
    </row>
    <row r="6885">
      <c r="A6885" s="1" t="str">
        <f>IFERROR(__xludf.DUMMYFUNCTION("""COMPUTED_VALUE"""),"149085;INF760K01JW4;-;Canara Robeco Value Fund - Direct Plan - Growth Option;13.5900;25-Aug-2023")</f>
        <v>149085;INF760K01JW4;-;Canara Robeco Value Fund - Direct Plan - Growth Option;13.5900;25-Aug-2023</v>
      </c>
      <c r="B6885" s="1"/>
    </row>
    <row r="6886">
      <c r="A6886" s="1" t="str">
        <f>IFERROR(__xludf.DUMMYFUNCTION("""COMPUTED_VALUE"""),"149086;INF760K01JY0;INF760K01JX2;Canara Robeco Value Fund - Direct Plan - IDCW (Payout/Reinvestment);13.5800;25-Aug-2023")</f>
        <v>149086;INF760K01JY0;INF760K01JX2;Canara Robeco Value Fund - Direct Plan - IDCW (Payout/Reinvestment);13.5800;25-Aug-2023</v>
      </c>
      <c r="B6886" s="1"/>
    </row>
    <row r="6887">
      <c r="A6887" s="1" t="str">
        <f>IFERROR(__xludf.DUMMYFUNCTION("""COMPUTED_VALUE"""),"149088;INF760K01JZ7;-;Canara Robeco Value Fund - Regular Plan - Growth Option;13.1500;25-Aug-2023")</f>
        <v>149088;INF760K01JZ7;-;Canara Robeco Value Fund - Regular Plan - Growth Option;13.1500;25-Aug-2023</v>
      </c>
      <c r="B6887" s="1"/>
    </row>
    <row r="6888">
      <c r="A6888" s="1" t="str">
        <f>IFERROR(__xludf.DUMMYFUNCTION("""COMPUTED_VALUE"""),"149087;INF760K01KB6;INF760K01KA8;Canara Robeco Value Fund - Regular Plan - IDCW (Payout/Reinvestment);13.1500;25-Aug-2023")</f>
        <v>149087;INF760K01KB6;INF760K01KA8;Canara Robeco Value Fund - Regular Plan - IDCW (Payout/Reinvestment);13.1500;25-Aug-2023</v>
      </c>
      <c r="B6888" s="1"/>
    </row>
    <row r="6889">
      <c r="A6889" s="1"/>
      <c r="B6889" s="1"/>
    </row>
    <row r="6890">
      <c r="A6890" s="1" t="str">
        <f>IFERROR(__xludf.DUMMYFUNCTION("""COMPUTED_VALUE"""),"DSP Mutual Fund")</f>
        <v>DSP Mutual Fund</v>
      </c>
      <c r="B6890" s="1"/>
    </row>
    <row r="6891">
      <c r="A6891" s="1"/>
      <c r="B6891" s="1"/>
    </row>
    <row r="6892">
      <c r="A6892" s="1" t="str">
        <f>IFERROR(__xludf.DUMMYFUNCTION("""COMPUTED_VALUE"""),"148595;INF740KA1PP3;-;DSP Value Fund - Direct Plan - Growth;15.257;24-Aug-2023")</f>
        <v>148595;INF740KA1PP3;-;DSP Value Fund - Direct Plan - Growth;15.257;24-Aug-2023</v>
      </c>
      <c r="B6892" s="1"/>
    </row>
    <row r="6893">
      <c r="A6893" s="1" t="str">
        <f>IFERROR(__xludf.DUMMYFUNCTION("""COMPUTED_VALUE"""),"148596;INF740KA1PQ1;INF740KA1PR9;DSP Value Fund - Direct Plan - IDCW;13.715;24-Aug-2023")</f>
        <v>148596;INF740KA1PQ1;INF740KA1PR9;DSP Value Fund - Direct Plan - IDCW;13.715;24-Aug-2023</v>
      </c>
      <c r="B6893" s="1"/>
    </row>
    <row r="6894">
      <c r="A6894" s="1" t="str">
        <f>IFERROR(__xludf.DUMMYFUNCTION("""COMPUTED_VALUE"""),"148594;INF740KA1PM0;-;DSP Value Fund - Regular Plan - Growth;14.947;24-Aug-2023")</f>
        <v>148594;INF740KA1PM0;-;DSP Value Fund - Regular Plan - Growth;14.947;24-Aug-2023</v>
      </c>
      <c r="B6894" s="1"/>
    </row>
    <row r="6895">
      <c r="A6895" s="1" t="str">
        <f>IFERROR(__xludf.DUMMYFUNCTION("""COMPUTED_VALUE"""),"148597;INF740KA1PN8;INF740KA1PO6;DSP Value Fund - Regular Plan - IDCW;13.421;24-Aug-2023")</f>
        <v>148597;INF740KA1PN8;INF740KA1PO6;DSP Value Fund - Regular Plan - IDCW;13.421;24-Aug-2023</v>
      </c>
      <c r="B6895" s="1"/>
    </row>
    <row r="6896">
      <c r="A6896" s="1"/>
      <c r="B6896" s="1"/>
    </row>
    <row r="6897">
      <c r="A6897" s="1" t="str">
        <f>IFERROR(__xludf.DUMMYFUNCTION("""COMPUTED_VALUE"""),"Franklin Templeton Mutual Fund")</f>
        <v>Franklin Templeton Mutual Fund</v>
      </c>
      <c r="B6897" s="1"/>
    </row>
    <row r="6898">
      <c r="A6898" s="1"/>
      <c r="B6898" s="1"/>
    </row>
    <row r="6899">
      <c r="A6899" s="1" t="str">
        <f>IFERROR(__xludf.DUMMYFUNCTION("""COMPUTED_VALUE"""),"118494;INF090I01GY2;-;Templeton India Value Fund - Direct - Growth;560.5544;25-Aug-2023")</f>
        <v>118494;INF090I01GY2;-;Templeton India Value Fund - Direct - Growth;560.5544;25-Aug-2023</v>
      </c>
      <c r="B6899" s="1"/>
    </row>
    <row r="6900">
      <c r="A6900" s="1" t="str">
        <f>IFERROR(__xludf.DUMMYFUNCTION("""COMPUTED_VALUE"""),"118493;INF090I01GW6;INF090I01GX4;Templeton India Value Fund - Direct - IDCW ;98.0217;25-Aug-2023")</f>
        <v>118493;INF090I01GW6;INF090I01GX4;Templeton India Value Fund - Direct - IDCW ;98.0217;25-Aug-2023</v>
      </c>
      <c r="B6900" s="1"/>
    </row>
    <row r="6901">
      <c r="A6901" s="1" t="str">
        <f>IFERROR(__xludf.DUMMYFUNCTION("""COMPUTED_VALUE"""),"100496;INF090I01296;-;Templeton India Value Fund - Growth Plan;513.9471;25-Aug-2023")</f>
        <v>100496;INF090I01296;-;Templeton India Value Fund - Growth Plan;513.9471;25-Aug-2023</v>
      </c>
      <c r="B6901" s="1"/>
    </row>
    <row r="6902">
      <c r="A6902" s="1" t="str">
        <f>IFERROR(__xludf.DUMMYFUNCTION("""COMPUTED_VALUE"""),"100497;INF090I01270;INF090I01288;Templeton India Value Fund - IDCW ;86.9837;25-Aug-2023")</f>
        <v>100497;INF090I01270;INF090I01288;Templeton India Value Fund - IDCW ;86.9837;25-Aug-2023</v>
      </c>
      <c r="B6902" s="1"/>
    </row>
    <row r="6903">
      <c r="A6903" s="1"/>
      <c r="B6903" s="1"/>
    </row>
    <row r="6904">
      <c r="A6904" s="1" t="str">
        <f>IFERROR(__xludf.DUMMYFUNCTION("""COMPUTED_VALUE"""),"Groww Mutual Fund")</f>
        <v>Groww Mutual Fund</v>
      </c>
      <c r="B6904" s="1"/>
    </row>
    <row r="6905">
      <c r="A6905" s="1"/>
      <c r="B6905" s="1"/>
    </row>
    <row r="6906">
      <c r="A6906" s="1" t="str">
        <f>IFERROR(__xludf.DUMMYFUNCTION("""COMPUTED_VALUE"""),"135341;INF666M01BE4;-;Groww Value Fund (formerly known as Indiabulls Value Fund) - Direct Plan - Growth Option;21.9221;25-Aug-2023")</f>
        <v>135341;INF666M01BE4;-;Groww Value Fund (formerly known as Indiabulls Value Fund) - Direct Plan - Growth Option;21.9221;25-Aug-2023</v>
      </c>
      <c r="B6906" s="1"/>
    </row>
    <row r="6907">
      <c r="A6907" s="1" t="str">
        <f>IFERROR(__xludf.DUMMYFUNCTION("""COMPUTED_VALUE"""),"135343;INF666M01BH7;-;Groww Value Fund (formerly known as Indiabulls Value Fund) - Regular Plan - Growth Option;18.8561;25-Aug-2023")</f>
        <v>135343;INF666M01BH7;-;Groww Value Fund (formerly known as Indiabulls Value Fund) - Regular Plan - Growth Option;18.8561;25-Aug-2023</v>
      </c>
      <c r="B6907" s="1"/>
    </row>
    <row r="6908">
      <c r="A6908" s="1" t="str">
        <f>IFERROR(__xludf.DUMMYFUNCTION("""COMPUTED_VALUE"""),"135342;INF666M01BF1;INF666M01BG9;Groww Value Fund (formerly known as Indiabulls Value Fund)- Direct Plan- - Income Distribution cum capital withdrawal Option (Payout &amp; Reinvestment);21.8401;25-Aug-2023")</f>
        <v>135342;INF666M01BF1;INF666M01BG9;Groww Value Fund (formerly known as Indiabulls Value Fund)- Direct Plan- - Income Distribution cum capital withdrawal Option (Payout &amp; Reinvestment);21.8401;25-Aug-2023</v>
      </c>
      <c r="B6908" s="1"/>
    </row>
    <row r="6909">
      <c r="A6909" s="1" t="str">
        <f>IFERROR(__xludf.DUMMYFUNCTION("""COMPUTED_VALUE"""),"140819;INF666M01DC4;INF666M01DD2;Groww Value Fund (formerly known as Indiabulls Value Fund)- Direct Plan- Half Yearly - Income Distribution cum capital withdrawal Option (Payout &amp; Reinvestment);17.5516;25-Aug-2023")</f>
        <v>140819;INF666M01DC4;INF666M01DD2;Groww Value Fund (formerly known as Indiabulls Value Fund)- Direct Plan- Half Yearly - Income Distribution cum capital withdrawal Option (Payout &amp; Reinvestment);17.5516;25-Aug-2023</v>
      </c>
      <c r="B6909" s="1"/>
    </row>
    <row r="6910">
      <c r="A6910" s="1" t="str">
        <f>IFERROR(__xludf.DUMMYFUNCTION("""COMPUTED_VALUE"""),"140815;INF666M01CY0;INF666M01CZ7;Groww Value Fund (formerly known as Indiabulls Value Fund)- Direct Plan- Monthly - Income Distribution cum capital withdrawal Option (Payout &amp; Reinvestment);16.0777;25-Aug-2023")</f>
        <v>140815;INF666M01CY0;INF666M01CZ7;Groww Value Fund (formerly known as Indiabulls Value Fund)- Direct Plan- Monthly - Income Distribution cum capital withdrawal Option (Payout &amp; Reinvestment);16.0777;25-Aug-2023</v>
      </c>
      <c r="B6910" s="1"/>
    </row>
    <row r="6911">
      <c r="A6911" s="1" t="str">
        <f>IFERROR(__xludf.DUMMYFUNCTION("""COMPUTED_VALUE"""),"140817;INF666M01DA8;INF666M01DB6;Groww Value Fund (formerly known as Indiabulls Value Fund)- Direct Plan- Quarterly - Income Distribution cum capital withdrawal Option (Payout &amp; Reinvestment);17.5375;25-Aug-2023")</f>
        <v>140817;INF666M01DA8;INF666M01DB6;Groww Value Fund (formerly known as Indiabulls Value Fund)- Direct Plan- Quarterly - Income Distribution cum capital withdrawal Option (Payout &amp; Reinvestment);17.5375;25-Aug-2023</v>
      </c>
      <c r="B6911" s="1"/>
    </row>
    <row r="6912">
      <c r="A6912" s="1" t="str">
        <f>IFERROR(__xludf.DUMMYFUNCTION("""COMPUTED_VALUE"""),"135344;INF666M01BI5;INF666M01BJ3;Groww Value Fund (formerly known as Indiabulls Value Fund)- Regular Plan - Income Distribution cum capital withdrawal Option (Payout &amp; Reinvestment);18.8497;25-Aug-2023")</f>
        <v>135344;INF666M01BI5;INF666M01BJ3;Groww Value Fund (formerly known as Indiabulls Value Fund)- Regular Plan - Income Distribution cum capital withdrawal Option (Payout &amp; Reinvestment);18.8497;25-Aug-2023</v>
      </c>
      <c r="B6912" s="1"/>
    </row>
    <row r="6913">
      <c r="A6913" s="1" t="str">
        <f>IFERROR(__xludf.DUMMYFUNCTION("""COMPUTED_VALUE"""),"140820;INF666M01DI1;INF666M01DJ9;Groww Value Fund (formerly known as Indiabulls Value Fund)- Regular Plan- Half Yearly -Income Distribution cum capital withdrawal Option (Payout &amp; Reinvestment);15.4455;25-Aug-2023")</f>
        <v>140820;INF666M01DI1;INF666M01DJ9;Groww Value Fund (formerly known as Indiabulls Value Fund)- Regular Plan- Half Yearly -Income Distribution cum capital withdrawal Option (Payout &amp; Reinvestment);15.4455;25-Aug-2023</v>
      </c>
      <c r="B6913" s="1"/>
    </row>
    <row r="6914">
      <c r="A6914" s="1" t="str">
        <f>IFERROR(__xludf.DUMMYFUNCTION("""COMPUTED_VALUE"""),"140816;INF666M01DE0;INF666M01DF7;Groww Value Fund (formerly known as Indiabulls Value Fund)- Regular Plan- Monthly - Income Distribution cum capital withdrawal Option (Payout &amp; Reinvestment.;14.6333;25-Aug-2023")</f>
        <v>140816;INF666M01DE0;INF666M01DF7;Groww Value Fund (formerly known as Indiabulls Value Fund)- Regular Plan- Monthly - Income Distribution cum capital withdrawal Option (Payout &amp; Reinvestment.;14.6333;25-Aug-2023</v>
      </c>
      <c r="B6914" s="1"/>
    </row>
    <row r="6915">
      <c r="A6915" s="1" t="str">
        <f>IFERROR(__xludf.DUMMYFUNCTION("""COMPUTED_VALUE"""),"140818;INF666M01DG5;INF666M01DH3;Groww Value Fund (formerly known as Indiabulls Value Fund)- Regular Plan- Quarterly - Income Distribution cum capital withdrawal Option (Payout &amp; Reinvestment);14.2516;25-Aug-2023")</f>
        <v>140818;INF666M01DG5;INF666M01DH3;Groww Value Fund (formerly known as Indiabulls Value Fund)- Regular Plan- Quarterly - Income Distribution cum capital withdrawal Option (Payout &amp; Reinvestment);14.2516;25-Aug-2023</v>
      </c>
      <c r="B6915" s="1"/>
    </row>
    <row r="6916">
      <c r="A6916" s="1"/>
      <c r="B6916" s="1"/>
    </row>
    <row r="6917">
      <c r="A6917" s="1" t="str">
        <f>IFERROR(__xludf.DUMMYFUNCTION("""COMPUTED_VALUE"""),"HDFC Mutual Fund")</f>
        <v>HDFC Mutual Fund</v>
      </c>
      <c r="B6917" s="1"/>
    </row>
    <row r="6918">
      <c r="A6918" s="1"/>
      <c r="B6918" s="1"/>
    </row>
    <row r="6919">
      <c r="A6919" s="1" t="str">
        <f>IFERROR(__xludf.DUMMYFUNCTION("""COMPUTED_VALUE"""),"118935;INF179K01VC4;-;HDFC Capital Builder Value Fund - Growth Option - Direct Plan;548.095;25-Aug-2023")</f>
        <v>118935;INF179K01VC4;-;HDFC Capital Builder Value Fund - Growth Option - Direct Plan;548.095;25-Aug-2023</v>
      </c>
      <c r="B6919" s="1"/>
    </row>
    <row r="6920">
      <c r="A6920" s="1" t="str">
        <f>IFERROR(__xludf.DUMMYFUNCTION("""COMPUTED_VALUE"""),"101764;INF179K01426;-;HDFC Capital Builder Value Fund - Growth Plan;498.591;25-Aug-2023")</f>
        <v>101764;INF179K01426;-;HDFC Capital Builder Value Fund - Growth Plan;498.591;25-Aug-2023</v>
      </c>
      <c r="B6920" s="1"/>
    </row>
    <row r="6921">
      <c r="A6921" s="1" t="str">
        <f>IFERROR(__xludf.DUMMYFUNCTION("""COMPUTED_VALUE"""),"118934;INF179K01VA8;INF179K01VB6;HDFC Capital Builder Value Fund - IDCW Option - Direct Plan;32.641;25-Aug-2023")</f>
        <v>118934;INF179K01VA8;INF179K01VB6;HDFC Capital Builder Value Fund - IDCW Option - Direct Plan;32.641;25-Aug-2023</v>
      </c>
      <c r="B6921" s="1"/>
    </row>
    <row r="6922">
      <c r="A6922" s="1" t="str">
        <f>IFERROR(__xludf.DUMMYFUNCTION("""COMPUTED_VALUE"""),"101765;INF179K01400;INF179K01418;HDFC Capital Builder Value Fund - IDCW Plan;27.54;25-Aug-2023")</f>
        <v>101765;INF179K01400;INF179K01418;HDFC Capital Builder Value Fund - IDCW Plan;27.54;25-Aug-2023</v>
      </c>
      <c r="B6922" s="1"/>
    </row>
    <row r="6923">
      <c r="A6923" s="1"/>
      <c r="B6923" s="1"/>
    </row>
    <row r="6924">
      <c r="A6924" s="1" t="str">
        <f>IFERROR(__xludf.DUMMYFUNCTION("""COMPUTED_VALUE"""),"HSBC Mutual Fund")</f>
        <v>HSBC Mutual Fund</v>
      </c>
      <c r="B6924" s="1"/>
    </row>
    <row r="6925">
      <c r="A6925" s="1"/>
      <c r="B6925" s="1"/>
    </row>
    <row r="6926">
      <c r="A6926" s="1" t="str">
        <f>IFERROR(__xludf.DUMMYFUNCTION("""COMPUTED_VALUE"""),"151113;INF917K01HD4;-;HSBC Value Fund - Direct Growth;78.5086;25-Aug-2023")</f>
        <v>151113;INF917K01HD4;-;HSBC Value Fund - Direct Growth;78.5086;25-Aug-2023</v>
      </c>
      <c r="B6926" s="1"/>
    </row>
    <row r="6927">
      <c r="A6927" s="1" t="str">
        <f>IFERROR(__xludf.DUMMYFUNCTION("""COMPUTED_VALUE"""),"151112;INF917K01HC6;INF917K01HB8;HSBC Value Fund - Direct IDCW;49.3423;25-Aug-2023")</f>
        <v>151112;INF917K01HC6;INF917K01HB8;HSBC Value Fund - Direct IDCW;49.3423;25-Aug-2023</v>
      </c>
      <c r="B6927" s="1"/>
    </row>
    <row r="6928">
      <c r="A6928" s="1" t="str">
        <f>IFERROR(__xludf.DUMMYFUNCTION("""COMPUTED_VALUE"""),"151110;INF677K01023;-;HSBC Value Fund - Regular Growth;71.617;25-Aug-2023")</f>
        <v>151110;INF677K01023;-;HSBC Value Fund - Regular Growth;71.617;25-Aug-2023</v>
      </c>
      <c r="B6928" s="1"/>
    </row>
    <row r="6929">
      <c r="A6929" s="1" t="str">
        <f>IFERROR(__xludf.DUMMYFUNCTION("""COMPUTED_VALUE"""),"151111;INF677K01213;INF677K01015;HSBC Value Fund - Regular IDCW;41.1928;25-Aug-2023")</f>
        <v>151111;INF677K01213;INF677K01015;HSBC Value Fund - Regular IDCW;41.1928;25-Aug-2023</v>
      </c>
      <c r="B6929" s="1"/>
    </row>
    <row r="6930">
      <c r="A6930" s="1"/>
      <c r="B6930" s="1"/>
    </row>
    <row r="6931">
      <c r="A6931" s="1" t="str">
        <f>IFERROR(__xludf.DUMMYFUNCTION("""COMPUTED_VALUE"""),"ICICI Prudential Mutual Fund")</f>
        <v>ICICI Prudential Mutual Fund</v>
      </c>
      <c r="B6931" s="1"/>
    </row>
    <row r="6932">
      <c r="A6932" s="1"/>
      <c r="B6932" s="1"/>
    </row>
    <row r="6933">
      <c r="A6933" s="1" t="str">
        <f>IFERROR(__xludf.DUMMYFUNCTION("""COMPUTED_VALUE"""),"120323;INF109K012K1;-;ICICI Prudential Value Discovery Fund - Direct Plan - Growth;344.48;25-Aug-2023")</f>
        <v>120323;INF109K012K1;-;ICICI Prudential Value Discovery Fund - Direct Plan - Growth;344.48;25-Aug-2023</v>
      </c>
      <c r="B6933" s="1"/>
    </row>
    <row r="6934">
      <c r="A6934" s="1" t="str">
        <f>IFERROR(__xludf.DUMMYFUNCTION("""COMPUTED_VALUE"""),"120322;INF109K011K3;INF109K010K5;ICICI Prudential Value Discovery Fund - Direct Plan - IDCW;86.65;25-Aug-2023")</f>
        <v>120322;INF109K011K3;INF109K010K5;ICICI Prudential Value Discovery Fund - Direct Plan - IDCW;86.65;25-Aug-2023</v>
      </c>
      <c r="B6934" s="1"/>
    </row>
    <row r="6935">
      <c r="A6935" s="1" t="str">
        <f>IFERROR(__xludf.DUMMYFUNCTION("""COMPUTED_VALUE"""),"102594;INF109K01AF8;-;ICICI Prudential Value Discovery Fund - Growth;316.70;25-Aug-2023")</f>
        <v>102594;INF109K01AF8;-;ICICI Prudential Value Discovery Fund - Growth;316.70;25-Aug-2023</v>
      </c>
      <c r="B6935" s="1"/>
    </row>
    <row r="6936">
      <c r="A6936" s="1" t="str">
        <f>IFERROR(__xludf.DUMMYFUNCTION("""COMPUTED_VALUE"""),"102595;INF109K01EC7;INF109K01AD3;ICICI Prudential Value Discovery Fund - IDCW;32.91;25-Aug-2023")</f>
        <v>102595;INF109K01EC7;INF109K01AD3;ICICI Prudential Value Discovery Fund - IDCW;32.91;25-Aug-2023</v>
      </c>
      <c r="B6936" s="1"/>
    </row>
    <row r="6937">
      <c r="A6937" s="1"/>
      <c r="B6937" s="1"/>
    </row>
    <row r="6938">
      <c r="A6938" s="1" t="str">
        <f>IFERROR(__xludf.DUMMYFUNCTION("""COMPUTED_VALUE"""),"ITI Mutual Fund")</f>
        <v>ITI Mutual Fund</v>
      </c>
      <c r="B6938" s="1"/>
    </row>
    <row r="6939">
      <c r="A6939" s="1"/>
      <c r="B6939" s="1"/>
    </row>
    <row r="6940">
      <c r="A6940" s="1" t="str">
        <f>IFERROR(__xludf.DUMMYFUNCTION("""COMPUTED_VALUE"""),"148972;INF00XX01AQ6;-;ITI Value Fund - Direct Plan - Growth Option;12.4427;25-Aug-2023")</f>
        <v>148972;INF00XX01AQ6;-;ITI Value Fund - Direct Plan - Growth Option;12.4427;25-Aug-2023</v>
      </c>
      <c r="B6940" s="1"/>
    </row>
    <row r="6941">
      <c r="A6941" s="1" t="str">
        <f>IFERROR(__xludf.DUMMYFUNCTION("""COMPUTED_VALUE"""),"148970;INF00XX01AR4;INF00XX01AS2;ITI Value Fund - Direct Plan - IDCW Option;12.4427;25-Aug-2023")</f>
        <v>148970;INF00XX01AR4;INF00XX01AS2;ITI Value Fund - Direct Plan - IDCW Option;12.4427;25-Aug-2023</v>
      </c>
      <c r="B6941" s="1"/>
    </row>
    <row r="6942">
      <c r="A6942" s="1" t="str">
        <f>IFERROR(__xludf.DUMMYFUNCTION("""COMPUTED_VALUE"""),"148973;INF00XX01AN3;-;ITI Value Fund - Regular Plan - Growth Option;11.8620;25-Aug-2023")</f>
        <v>148973;INF00XX01AN3;-;ITI Value Fund - Regular Plan - Growth Option;11.8620;25-Aug-2023</v>
      </c>
      <c r="B6942" s="1"/>
    </row>
    <row r="6943">
      <c r="A6943" s="1" t="str">
        <f>IFERROR(__xludf.DUMMYFUNCTION("""COMPUTED_VALUE"""),"148971;INF00XX01AO1;INF00XX01AP8;ITI Value Fund - Regular Plan - IDCW Option;11.8620;25-Aug-2023")</f>
        <v>148971;INF00XX01AO1;INF00XX01AP8;ITI Value Fund - Regular Plan - IDCW Option;11.8620;25-Aug-2023</v>
      </c>
      <c r="B6943" s="1"/>
    </row>
    <row r="6944">
      <c r="A6944" s="1"/>
      <c r="B6944" s="1"/>
    </row>
    <row r="6945">
      <c r="A6945" s="1" t="str">
        <f>IFERROR(__xludf.DUMMYFUNCTION("""COMPUTED_VALUE"""),"JM Financial Mutual Fund")</f>
        <v>JM Financial Mutual Fund</v>
      </c>
      <c r="B6945" s="1"/>
    </row>
    <row r="6946">
      <c r="A6946" s="1"/>
      <c r="B6946" s="1"/>
    </row>
    <row r="6947">
      <c r="A6947" s="1" t="str">
        <f>IFERROR(__xludf.DUMMYFUNCTION("""COMPUTED_VALUE"""),"120486;INF192K01BT3;-;JM Value Fund (Direct) - Growth Option;74.3680;25-Aug-2023")</f>
        <v>120486;INF192K01BT3;-;JM Value Fund (Direct) - Growth Option;74.3680;25-Aug-2023</v>
      </c>
      <c r="B6947" s="1"/>
    </row>
    <row r="6948">
      <c r="A6948" s="1" t="str">
        <f>IFERROR(__xludf.DUMMYFUNCTION("""COMPUTED_VALUE"""),"120485;INF192K01BR7;INF192K01BS5;JM Value Fund (Direct) - IDCW;50.6709;25-Aug-2023")</f>
        <v>120485;INF192K01BR7;INF192K01BS5;JM Value Fund (Direct) - IDCW;50.6709;25-Aug-2023</v>
      </c>
      <c r="B6948" s="1"/>
    </row>
    <row r="6949">
      <c r="A6949" s="1" t="str">
        <f>IFERROR(__xludf.DUMMYFUNCTION("""COMPUTED_VALUE"""),"100254;INF137A01037;-;JM Value Fund (Regular) - Growth Option;67.7497;25-Aug-2023")</f>
        <v>100254;INF137A01037;-;JM Value Fund (Regular) - Growth Option;67.7497;25-Aug-2023</v>
      </c>
      <c r="B6949" s="1"/>
    </row>
    <row r="6950">
      <c r="A6950" s="1" t="str">
        <f>IFERROR(__xludf.DUMMYFUNCTION("""COMPUTED_VALUE"""),"106168;INF137A01011;INF137A01029;JM Value Fund (Regular) - IDCW;47.3085;25-Aug-2023")</f>
        <v>106168;INF137A01011;INF137A01029;JM Value Fund (Regular) - IDCW;47.3085;25-Aug-2023</v>
      </c>
      <c r="B6950" s="1"/>
    </row>
    <row r="6951">
      <c r="A6951" s="1"/>
      <c r="B6951" s="1"/>
    </row>
    <row r="6952">
      <c r="A6952" s="1" t="str">
        <f>IFERROR(__xludf.DUMMYFUNCTION("""COMPUTED_VALUE"""),"LIC Mutual Fund")</f>
        <v>LIC Mutual Fund</v>
      </c>
      <c r="B6952" s="1"/>
    </row>
    <row r="6953">
      <c r="A6953" s="1"/>
      <c r="B6953" s="1"/>
    </row>
    <row r="6954">
      <c r="A6954" s="1" t="str">
        <f>IFERROR(__xludf.DUMMYFUNCTION("""COMPUTED_VALUE"""),"152018;INF397L01KU5;-;LIC MF Long Term Value Fund-Direct Plan-Growth;18.8;25-Aug-2023")</f>
        <v>152018;INF397L01KU5;-;LIC MF Long Term Value Fund-Direct Plan-Growth;18.8;25-Aug-2023</v>
      </c>
      <c r="B6954" s="1"/>
    </row>
    <row r="6955">
      <c r="A6955" s="1" t="str">
        <f>IFERROR(__xludf.DUMMYFUNCTION("""COMPUTED_VALUE"""),"152015;INF397L01KR1;-;LIC MF Long Term Value Fund-Direct Plan-IDCW;18.8;25-Aug-2023")</f>
        <v>152015;INF397L01KR1;-;LIC MF Long Term Value Fund-Direct Plan-IDCW;18.8;25-Aug-2023</v>
      </c>
      <c r="B6955" s="1"/>
    </row>
    <row r="6956">
      <c r="A6956" s="1" t="str">
        <f>IFERROR(__xludf.DUMMYFUNCTION("""COMPUTED_VALUE"""),"152016;INF397L01KQ3;-;LIC MF Long Term Value Fund-Regular Plan-Growth;17.83;25-Aug-2023")</f>
        <v>152016;INF397L01KQ3;-;LIC MF Long Term Value Fund-Regular Plan-Growth;17.83;25-Aug-2023</v>
      </c>
      <c r="B6956" s="1"/>
    </row>
    <row r="6957">
      <c r="A6957" s="1" t="str">
        <f>IFERROR(__xludf.DUMMYFUNCTION("""COMPUTED_VALUE"""),"152017;INF397L01KN0;-;LIC MF Long Term Value Fund-Regular Plan-IDCW;17.83;25-Aug-2023")</f>
        <v>152017;INF397L01KN0;-;LIC MF Long Term Value Fund-Regular Plan-IDCW;17.83;25-Aug-2023</v>
      </c>
      <c r="B6957" s="1"/>
    </row>
    <row r="6958">
      <c r="A6958" s="1"/>
      <c r="B6958" s="1"/>
    </row>
    <row r="6959">
      <c r="A6959" s="1" t="str">
        <f>IFERROR(__xludf.DUMMYFUNCTION("""COMPUTED_VALUE"""),"Nippon India Mutual Fund")</f>
        <v>Nippon India Mutual Fund</v>
      </c>
      <c r="B6959" s="1"/>
    </row>
    <row r="6960">
      <c r="A6960" s="1"/>
      <c r="B6960" s="1"/>
    </row>
    <row r="6961">
      <c r="A6961" s="1" t="str">
        <f>IFERROR(__xludf.DUMMYFUNCTION("""COMPUTED_VALUE"""),"118782;INF204K01K23;INF204K01K31;NIPPON INDIA VALUE FUND - DIRECT Plan - IDCW Option;51.4486;25-Aug-2023")</f>
        <v>118782;INF204K01K23;INF204K01K31;NIPPON INDIA VALUE FUND - DIRECT Plan - IDCW Option;51.4486;25-Aug-2023</v>
      </c>
      <c r="B6961" s="1"/>
    </row>
    <row r="6962">
      <c r="A6962" s="1" t="str">
        <f>IFERROR(__xludf.DUMMYFUNCTION("""COMPUTED_VALUE"""),"118784;INF204K01K49;-;Nippon India Value Fund - Direct Plan Growth Plan;158.7759;25-Aug-2023")</f>
        <v>118784;INF204K01K49;-;Nippon India Value Fund - Direct Plan Growth Plan;158.7759;25-Aug-2023</v>
      </c>
      <c r="B6962" s="1"/>
    </row>
    <row r="6963">
      <c r="A6963" s="1" t="str">
        <f>IFERROR(__xludf.DUMMYFUNCTION("""COMPUTED_VALUE"""),"103086;INF204K01GC1;INF204K01GD9;NIPPON INDIA VALUE FUND - IDCW Option;34.6778;25-Aug-2023")</f>
        <v>103086;INF204K01GC1;INF204K01GD9;NIPPON INDIA VALUE FUND - IDCW Option;34.6778;25-Aug-2023</v>
      </c>
      <c r="B6963" s="1"/>
    </row>
    <row r="6964">
      <c r="A6964" s="1" t="str">
        <f>IFERROR(__xludf.DUMMYFUNCTION("""COMPUTED_VALUE"""),"103085;INF204K01GB3;-;Nippon India Value Fund- Growth Plan;146.9982;25-Aug-2023")</f>
        <v>103085;INF204K01GB3;-;Nippon India Value Fund- Growth Plan;146.9982;25-Aug-2023</v>
      </c>
      <c r="B6964" s="1"/>
    </row>
    <row r="6965">
      <c r="A6965" s="1"/>
      <c r="B6965" s="1"/>
    </row>
    <row r="6966">
      <c r="A6966" s="1" t="str">
        <f>IFERROR(__xludf.DUMMYFUNCTION("""COMPUTED_VALUE"""),"quant Mutual Fund")</f>
        <v>quant Mutual Fund</v>
      </c>
      <c r="B6966" s="1"/>
    </row>
    <row r="6967">
      <c r="A6967" s="1"/>
      <c r="B6967" s="1"/>
    </row>
    <row r="6968">
      <c r="A6968" s="1" t="str">
        <f>IFERROR(__xludf.DUMMYFUNCTION("""COMPUTED_VALUE"""),"149335;INF966L01AN3;-;Quant Value Fund - Growth Option  - Direct Plan;13.1329;25-Aug-2023")</f>
        <v>149335;INF966L01AN3;-;Quant Value Fund - Growth Option  - Direct Plan;13.1329;25-Aug-2023</v>
      </c>
      <c r="B6968" s="1"/>
    </row>
    <row r="6969">
      <c r="A6969" s="1" t="str">
        <f>IFERROR(__xludf.DUMMYFUNCTION("""COMPUTED_VALUE"""),"149337;INF966L01AQ6;-;Quant Value Fund - Growth Option - Regular Plan;12.7216;25-Aug-2023")</f>
        <v>149337;INF966L01AQ6;-;Quant Value Fund - Growth Option - Regular Plan;12.7216;25-Aug-2023</v>
      </c>
      <c r="B6969" s="1"/>
    </row>
    <row r="6970">
      <c r="A6970" s="1" t="str">
        <f>IFERROR(__xludf.DUMMYFUNCTION("""COMPUTED_VALUE"""),"149338;INF966L01AO1;INF966L01AP8;Quant Value Fund - IDCW Option - Direct Plan;12.4972;25-Aug-2023")</f>
        <v>149338;INF966L01AO1;INF966L01AP8;Quant Value Fund - IDCW Option - Direct Plan;12.4972;25-Aug-2023</v>
      </c>
      <c r="B6970" s="1"/>
    </row>
    <row r="6971">
      <c r="A6971" s="1" t="str">
        <f>IFERROR(__xludf.DUMMYFUNCTION("""COMPUTED_VALUE"""),"149336;INF966L01AR4;INF966L01AS2;Quant Value Fund - IDCW Option- Regular Plan;12.697;25-Aug-2023")</f>
        <v>149336;INF966L01AR4;INF966L01AS2;Quant Value Fund - IDCW Option- Regular Plan;12.697;25-Aug-2023</v>
      </c>
      <c r="B6971" s="1"/>
    </row>
    <row r="6972">
      <c r="A6972" s="1"/>
      <c r="B6972" s="1"/>
    </row>
    <row r="6973">
      <c r="A6973" s="1" t="str">
        <f>IFERROR(__xludf.DUMMYFUNCTION("""COMPUTED_VALUE"""),"Quantum Mutual Fund")</f>
        <v>Quantum Mutual Fund</v>
      </c>
      <c r="B6973" s="1"/>
    </row>
    <row r="6974">
      <c r="A6974" s="1"/>
      <c r="B6974" s="1"/>
    </row>
    <row r="6975">
      <c r="A6975" s="1" t="str">
        <f>IFERROR(__xludf.DUMMYFUNCTION("""COMPUTED_VALUE"""),"103490;INF082J01036;-;Quantum Long Term Equity Value Fund - Direct Plan Growth Option;90.34;25-Aug-2023")</f>
        <v>103490;INF082J01036;-;Quantum Long Term Equity Value Fund - Direct Plan Growth Option;90.34;25-Aug-2023</v>
      </c>
      <c r="B6975" s="1"/>
    </row>
    <row r="6976">
      <c r="A6976" s="1" t="str">
        <f>IFERROR(__xludf.DUMMYFUNCTION("""COMPUTED_VALUE"""),"103491;INF082J01044;INF082J01051;Quantum Long Term Equity Value Fund - Direct Plan IDCW;91.11;25-Aug-2023")</f>
        <v>103491;INF082J01044;INF082J01051;Quantum Long Term Equity Value Fund - Direct Plan IDCW;91.11;25-Aug-2023</v>
      </c>
      <c r="B6976" s="1"/>
    </row>
    <row r="6977">
      <c r="A6977" s="1" t="str">
        <f>IFERROR(__xludf.DUMMYFUNCTION("""COMPUTED_VALUE"""),"141068;INF082J01242;-;Quantum Long Term Equity Value Fund - Regular Plan Growth Option;88.02;25-Aug-2023")</f>
        <v>141068;INF082J01242;-;Quantum Long Term Equity Value Fund - Regular Plan Growth Option;88.02;25-Aug-2023</v>
      </c>
      <c r="B6977" s="1"/>
    </row>
    <row r="6978">
      <c r="A6978" s="1" t="str">
        <f>IFERROR(__xludf.DUMMYFUNCTION("""COMPUTED_VALUE"""),"141069;INF082J01259;INF082J01267;Quantum Long Term Equity Value Fund - Regular Plan IDCW;88.52;25-Aug-2023")</f>
        <v>141069;INF082J01259;INF082J01267;Quantum Long Term Equity Value Fund - Regular Plan IDCW;88.52;25-Aug-2023</v>
      </c>
      <c r="B6978" s="1"/>
    </row>
    <row r="6979">
      <c r="A6979" s="1"/>
      <c r="B6979" s="1"/>
    </row>
    <row r="6980">
      <c r="A6980" s="1" t="str">
        <f>IFERROR(__xludf.DUMMYFUNCTION("""COMPUTED_VALUE"""),"Tata Mutual Fund")</f>
        <v>Tata Mutual Fund</v>
      </c>
      <c r="B6980" s="1"/>
    </row>
    <row r="6981">
      <c r="A6981" s="1"/>
      <c r="B6981" s="1"/>
    </row>
    <row r="6982">
      <c r="A6982" s="1" t="str">
        <f>IFERROR(__xludf.DUMMYFUNCTION("""COMPUTED_VALUE"""),"112218;INF277K01DI1;INF277K01436;Tata Equity P/E Fund - Regular Plan - Payout of IDCW-Option A(5%);95.2013;25-Aug-2023")</f>
        <v>112218;INF277K01DI1;INF277K01436;Tata Equity P/E Fund - Regular Plan - Payout of IDCW-Option A(5%);95.2013;25-Aug-2023</v>
      </c>
      <c r="B6982" s="1"/>
    </row>
    <row r="6983">
      <c r="A6983" s="1" t="str">
        <f>IFERROR(__xludf.DUMMYFUNCTION("""COMPUTED_VALUE"""),"101672;INF277K01451;-;Tata Equity P/E Fund - Regular Plan -Growth Option;240.4473;25-Aug-2023")</f>
        <v>101672;INF277K01451;-;Tata Equity P/E Fund - Regular Plan -Growth Option;240.4473;25-Aug-2023</v>
      </c>
      <c r="B6983" s="1"/>
    </row>
    <row r="6984">
      <c r="A6984" s="1" t="str">
        <f>IFERROR(__xludf.DUMMYFUNCTION("""COMPUTED_VALUE"""),"119231;INF277K01ND1;-;Tata Equity P/E Fund -Direct Plan Growth Option;265.7917;25-Aug-2023")</f>
        <v>119231;INF277K01ND1;-;Tata Equity P/E Fund -Direct Plan Growth Option;265.7917;25-Aug-2023</v>
      </c>
      <c r="B6984" s="1"/>
    </row>
    <row r="6985">
      <c r="A6985" s="1" t="str">
        <f>IFERROR(__xludf.DUMMYFUNCTION("""COMPUTED_VALUE"""),"102428;INF277K01DJ9;INF277K01444;Tata Equity P/E Fund Regular Plan - Payout of IDCW-Option B(10%);89.0283;25-Aug-2023")</f>
        <v>102428;INF277K01DJ9;INF277K01444;Tata Equity P/E Fund Regular Plan - Payout of IDCW-Option B(10%);89.0283;25-Aug-2023</v>
      </c>
      <c r="B6985" s="1"/>
    </row>
    <row r="6986">
      <c r="A6986" s="1" t="str">
        <f>IFERROR(__xludf.DUMMYFUNCTION("""COMPUTED_VALUE"""),"119233;INF277K01NB5;INF277K01NC3;Tata Equity P/E Fund- Direct Plan - Payout of IDCW -Option B(10%);99.8552;25-Aug-2023")</f>
        <v>119233;INF277K01NB5;INF277K01NC3;Tata Equity P/E Fund- Direct Plan - Payout of IDCW -Option B(10%);99.8552;25-Aug-2023</v>
      </c>
      <c r="B6986" s="1"/>
    </row>
    <row r="6987">
      <c r="A6987" s="1" t="str">
        <f>IFERROR(__xludf.DUMMYFUNCTION("""COMPUTED_VALUE"""),"119232;INF277K01MZ6;INF277K01NA7;Tata Equity P/E Fund- Direct Plan -Payout of IDCW-Option A(5%);103.9330;25-Aug-2023")</f>
        <v>119232;INF277K01MZ6;INF277K01NA7;Tata Equity P/E Fund- Direct Plan -Payout of IDCW-Option A(5%);103.9330;25-Aug-2023</v>
      </c>
      <c r="B6987" s="1"/>
    </row>
    <row r="6988">
      <c r="A6988" s="1"/>
      <c r="B6988" s="1"/>
    </row>
    <row r="6989">
      <c r="A6989" s="1" t="str">
        <f>IFERROR(__xludf.DUMMYFUNCTION("""COMPUTED_VALUE"""),"Union Mutual Fund")</f>
        <v>Union Mutual Fund</v>
      </c>
      <c r="B6989" s="1"/>
    </row>
    <row r="6990">
      <c r="A6990" s="1"/>
      <c r="B6990" s="1"/>
    </row>
    <row r="6991">
      <c r="A6991" s="1" t="str">
        <f>IFERROR(__xludf.DUMMYFUNCTION("""COMPUTED_VALUE"""),"145473;INF582M01EK4;-;Union Value Discovery Fund - Direct Plan - Growth Option;21.08;25-Aug-2023")</f>
        <v>145473;INF582M01EK4;-;Union Value Discovery Fund - Direct Plan - Growth Option;21.08;25-Aug-2023</v>
      </c>
      <c r="B6991" s="1"/>
    </row>
    <row r="6992">
      <c r="A6992" s="1" t="str">
        <f>IFERROR(__xludf.DUMMYFUNCTION("""COMPUTED_VALUE"""),"145474;INF582M01EM0;INF582M01EL2;Union Value Discovery Fund - Direct Plan - IDCW Option;21.08;25-Aug-2023")</f>
        <v>145474;INF582M01EM0;INF582M01EL2;Union Value Discovery Fund - Direct Plan - IDCW Option;21.08;25-Aug-2023</v>
      </c>
      <c r="B6992" s="1"/>
    </row>
    <row r="6993">
      <c r="A6993" s="1" t="str">
        <f>IFERROR(__xludf.DUMMYFUNCTION("""COMPUTED_VALUE"""),"145471;INF582M01EO6;-;Union Value Discovery Fund - Regular Plan - Growth Option;20.29;25-Aug-2023")</f>
        <v>145471;INF582M01EO6;-;Union Value Discovery Fund - Regular Plan - Growth Option;20.29;25-Aug-2023</v>
      </c>
      <c r="B6993" s="1"/>
    </row>
    <row r="6994">
      <c r="A6994" s="1" t="str">
        <f>IFERROR(__xludf.DUMMYFUNCTION("""COMPUTED_VALUE"""),"145472;INF582M01EQ1;INF582M01EP3;Union Value Discovery Fund - Regular Plan - IDCW Option;20.29;25-Aug-2023")</f>
        <v>145472;INF582M01EQ1;INF582M01EP3;Union Value Discovery Fund - Regular Plan - IDCW Option;20.29;25-Aug-2023</v>
      </c>
      <c r="B6994" s="1"/>
    </row>
    <row r="6995">
      <c r="A6995" s="1"/>
      <c r="B6995" s="1"/>
    </row>
    <row r="6996">
      <c r="A6996" s="1" t="str">
        <f>IFERROR(__xludf.DUMMYFUNCTION("""COMPUTED_VALUE"""),"UTI Mutual Fund")</f>
        <v>UTI Mutual Fund</v>
      </c>
      <c r="B6996" s="1"/>
    </row>
    <row r="6997">
      <c r="A6997" s="1"/>
      <c r="B6997" s="1"/>
    </row>
    <row r="6998">
      <c r="A6998" s="1" t="str">
        <f>IFERROR(__xludf.DUMMYFUNCTION("""COMPUTED_VALUE"""),"120752;INF789F01UZ3;INF789F01VA4;UTI Value Opportunities Fund - Direct Plan - IDCW;40.3468;25-Aug-2023")</f>
        <v>120752;INF789F01UZ3;INF789F01VA4;UTI Value Opportunities Fund - Direct Plan - IDCW;40.3468;25-Aug-2023</v>
      </c>
      <c r="B6998" s="1"/>
    </row>
    <row r="6999">
      <c r="A6999" s="1" t="str">
        <f>IFERROR(__xludf.DUMMYFUNCTION("""COMPUTED_VALUE"""),"103097;INF789F01AE0;INF789F01AF7;UTI Value Opportunities Fund - Regular Plan - IDCW;33.378;25-Aug-2023")</f>
        <v>103097;INF789F01AE0;INF789F01AF7;UTI Value Opportunities Fund - Regular Plan - IDCW;33.378;25-Aug-2023</v>
      </c>
      <c r="B6999" s="1"/>
    </row>
    <row r="7000">
      <c r="A7000" s="1" t="str">
        <f>IFERROR(__xludf.DUMMYFUNCTION("""COMPUTED_VALUE"""),"120751;INF789F01VB2;-;UTI Value Opportunities Fund- Direct Plan - Growth Option;123.7116;25-Aug-2023")</f>
        <v>120751;INF789F01VB2;-;UTI Value Opportunities Fund- Direct Plan - Growth Option;123.7116;25-Aug-2023</v>
      </c>
      <c r="B7000" s="1"/>
    </row>
    <row r="7001">
      <c r="A7001" s="1" t="str">
        <f>IFERROR(__xludf.DUMMYFUNCTION("""COMPUTED_VALUE"""),"103098;INF789F01AG5;-;UTI Value Opportunities Fund- Regular Plan - Growth Option;114.5332;25-Aug-2023")</f>
        <v>103098;INF789F01AG5;-;UTI Value Opportunities Fund- Regular Plan - Growth Option;114.5332;25-Aug-2023</v>
      </c>
      <c r="B7001" s="1"/>
    </row>
    <row r="7002">
      <c r="A7002" s="1"/>
      <c r="B7002" s="1"/>
    </row>
    <row r="7003">
      <c r="A7003" s="1" t="str">
        <f>IFERROR(__xludf.DUMMYFUNCTION("""COMPUTED_VALUE"""),"Open Ended Schemes(Floating Rate)")</f>
        <v>Open Ended Schemes(Floating Rate)</v>
      </c>
      <c r="B7003" s="1"/>
    </row>
    <row r="7004">
      <c r="A7004" s="1"/>
      <c r="B7004" s="1"/>
    </row>
    <row r="7005">
      <c r="A7005" s="1" t="str">
        <f>IFERROR(__xludf.DUMMYFUNCTION("""COMPUTED_VALUE"""),"SBI Mutual Fund")</f>
        <v>SBI Mutual Fund</v>
      </c>
      <c r="B7005" s="1"/>
    </row>
    <row r="7006">
      <c r="A7006" s="1"/>
      <c r="B7006" s="1"/>
    </row>
    <row r="7007">
      <c r="A7007" s="1" t="str">
        <f>IFERROR(__xludf.DUMMYFUNCTION("""COMPUTED_VALUE"""),"102507;-;-;OLD-SBI Magnum Income Fund - F R P - Long Term - Inst. (G);N.A.;05-Jun-2015")</f>
        <v>102507;-;-;OLD-SBI Magnum Income Fund - F R P - Long Term - Inst. (G);N.A.;05-Jun-2015</v>
      </c>
      <c r="B7007" s="1"/>
    </row>
    <row r="7008">
      <c r="A7008" s="1"/>
      <c r="B7008" s="1"/>
    </row>
    <row r="7009">
      <c r="A7009" s="1" t="str">
        <f>IFERROR(__xludf.DUMMYFUNCTION("""COMPUTED_VALUE"""),"Open Ended Schemes(Gilt)")</f>
        <v>Open Ended Schemes(Gilt)</v>
      </c>
      <c r="B7009" s="1"/>
    </row>
    <row r="7010">
      <c r="A7010" s="1"/>
      <c r="B7010" s="1"/>
    </row>
    <row r="7011">
      <c r="A7011" s="1" t="str">
        <f>IFERROR(__xludf.DUMMYFUNCTION("""COMPUTED_VALUE"""),"ICICI Prudential Mutual Fund")</f>
        <v>ICICI Prudential Mutual Fund</v>
      </c>
      <c r="B7011" s="1"/>
    </row>
    <row r="7012">
      <c r="A7012" s="1"/>
      <c r="B7012" s="1"/>
    </row>
    <row r="7013">
      <c r="A7013" s="1" t="str">
        <f>IFERROR(__xludf.DUMMYFUNCTION("""COMPUTED_VALUE"""),"120606;INF109K019C3;INF109K010D0;ICICI Prudential Gilt Fund Investment Plan PF Option - Direct Plan - Half Yearly Dividend;10.9255;25-May-2018")</f>
        <v>120606;INF109K019C3;INF109K010D0;ICICI Prudential Gilt Fund Investment Plan PF Option - Direct Plan - Half Yearly Dividend;10.9255;25-May-2018</v>
      </c>
      <c r="B7013" s="1"/>
    </row>
    <row r="7014">
      <c r="A7014" s="1" t="str">
        <f>IFERROR(__xludf.DUMMYFUNCTION("""COMPUTED_VALUE"""),"120605;INF109K011D8;-;ICICI Prudential Gilt Fund Investment Plan PF Option - Direct Plan -Growth Option;35.5313;25-May-2018")</f>
        <v>120605;INF109K011D8;-;ICICI Prudential Gilt Fund Investment Plan PF Option - Direct Plan -Growth Option;35.5313;25-May-2018</v>
      </c>
      <c r="B7014" s="1"/>
    </row>
    <row r="7015">
      <c r="A7015" s="1" t="str">
        <f>IFERROR(__xludf.DUMMYFUNCTION("""COMPUTED_VALUE"""),"102060;INF109K01JS2;-;ICICI Prudential Gilt Fund Investment Plan PF Option - Growth;34.9646;25-May-2018")</f>
        <v>102060;INF109K01JS2;-;ICICI Prudential Gilt Fund Investment Plan PF Option - Growth;34.9646;25-May-2018</v>
      </c>
      <c r="B7015" s="1"/>
    </row>
    <row r="7016">
      <c r="A7016" s="1" t="str">
        <f>IFERROR(__xludf.DUMMYFUNCTION("""COMPUTED_VALUE"""),"118019;INF109K01I15;INF109K01I07;ICICI Prudential Gilt Fund Investment Plan PF Option - Half Yearly Dividend;11.2587;25-May-2018")</f>
        <v>118019;INF109K01I15;INF109K01I07;ICICI Prudential Gilt Fund Investment Plan PF Option - Half Yearly Dividend;11.2587;25-May-2018</v>
      </c>
      <c r="B7016" s="1"/>
    </row>
    <row r="7017">
      <c r="A7017" s="1" t="str">
        <f>IFERROR(__xludf.DUMMYFUNCTION("""COMPUTED_VALUE"""),"130901;INF109KA1C31;-;ICICI Prudential Gilt Investment PF Option - Bonus;14.0584;25-May-2018")</f>
        <v>130901;INF109KA1C31;-;ICICI Prudential Gilt Investment PF Option - Bonus;14.0584;25-May-2018</v>
      </c>
      <c r="B7017" s="1"/>
    </row>
    <row r="7018">
      <c r="A7018" s="1" t="str">
        <f>IFERROR(__xludf.DUMMYFUNCTION("""COMPUTED_VALUE"""),"130954;INF109KA1C23;-;ICICI Prudential Gilt Investment PF Option - Direct Plan Bonus;14.5046;25-May-2018")</f>
        <v>130954;INF109KA1C23;-;ICICI Prudential Gilt Investment PF Option - Direct Plan Bonus;14.5046;25-May-2018</v>
      </c>
      <c r="B7018" s="1"/>
    </row>
    <row r="7019">
      <c r="A7019" s="1" t="str">
        <f>IFERROR(__xludf.DUMMYFUNCTION("""COMPUTED_VALUE"""),"120612;INF109K017D5;INF109K018D3;ICICI Prudential Gilt Fund Treasury Plan PF Option - Direct Plan - Half Yearly Dividend;11.5773;25-May-2018")</f>
        <v>120612;INF109K017D5;INF109K018D3;ICICI Prudential Gilt Fund Treasury Plan PF Option - Direct Plan - Half Yearly Dividend;11.5773;25-May-2018</v>
      </c>
      <c r="B7019" s="1"/>
    </row>
    <row r="7020">
      <c r="A7020" s="1" t="str">
        <f>IFERROR(__xludf.DUMMYFUNCTION("""COMPUTED_VALUE"""),"120610;INF109K019D1;INF109K010E8;ICICI Prudential Gilt Fund Treasury Plan PF Option - Direct Plan - Quarterly Dividend;13.3340;25-May-2018")</f>
        <v>120610;INF109K019D1;INF109K010E8;ICICI Prudential Gilt Fund Treasury Plan PF Option - Direct Plan - Quarterly Dividend;13.3340;25-May-2018</v>
      </c>
      <c r="B7020" s="1"/>
    </row>
    <row r="7021">
      <c r="A7021" s="1" t="str">
        <f>IFERROR(__xludf.DUMMYFUNCTION("""COMPUTED_VALUE"""),"120611;INF109K011E6;-;ICICI Prudential Gilt Fund Treasury Plan PF Option - Direct Plan -Growth Option;25.8427;25-May-2018")</f>
        <v>120611;INF109K011E6;-;ICICI Prudential Gilt Fund Treasury Plan PF Option - Direct Plan -Growth Option;25.8427;25-May-2018</v>
      </c>
      <c r="B7021" s="1"/>
    </row>
    <row r="7022">
      <c r="A7022" s="1" t="str">
        <f>IFERROR(__xludf.DUMMYFUNCTION("""COMPUTED_VALUE"""),"102248;INF109K01KA8;-;ICICI Prudential Gilt Fund Treasury Plan PF Option - Growth;25.2302;25-May-2018")</f>
        <v>102248;INF109K01KA8;-;ICICI Prudential Gilt Fund Treasury Plan PF Option - Growth;25.2302;25-May-2018</v>
      </c>
      <c r="B7022" s="1"/>
    </row>
    <row r="7023">
      <c r="A7023" s="1" t="str">
        <f>IFERROR(__xludf.DUMMYFUNCTION("""COMPUTED_VALUE"""),"118023;INF109K01I56;INF109K01I31;ICICI Prudential Gilt Fund Treasury Plan PF Option - Half Yearly Dividend;11.0700;25-May-2018")</f>
        <v>118023;INF109K01I56;INF109K01I31;ICICI Prudential Gilt Fund Treasury Plan PF Option - Half Yearly Dividend;11.0700;25-May-2018</v>
      </c>
      <c r="B7023" s="1"/>
    </row>
    <row r="7024">
      <c r="A7024" s="1" t="str">
        <f>IFERROR(__xludf.DUMMYFUNCTION("""COMPUTED_VALUE"""),"118022;INF109K01I49;INF109K01I23;ICICI Prudential Gilt Fund Treasury Plan PF Option - Quarterly Dividend;13.1407;25-May-2018")</f>
        <v>118022;INF109K01I49;INF109K01I23;ICICI Prudential Gilt Fund Treasury Plan PF Option - Quarterly Dividend;13.1407;25-May-2018</v>
      </c>
      <c r="B7024" s="1"/>
    </row>
    <row r="7025">
      <c r="A7025" s="1" t="str">
        <f>IFERROR(__xludf.DUMMYFUNCTION("""COMPUTED_VALUE"""),"130905;INF109KA1C56;-;ICICI Prudential Gilt Treasury PF Option - Bonus;13.1087;25-May-2018")</f>
        <v>130905;INF109KA1C56;-;ICICI Prudential Gilt Treasury PF Option - Bonus;13.1087;25-May-2018</v>
      </c>
      <c r="B7025" s="1"/>
    </row>
    <row r="7026">
      <c r="A7026" s="1"/>
      <c r="B7026" s="1"/>
    </row>
    <row r="7027">
      <c r="A7027" s="1" t="str">
        <f>IFERROR(__xludf.DUMMYFUNCTION("""COMPUTED_VALUE"""),"Open Ended Schemes(Growth)")</f>
        <v>Open Ended Schemes(Growth)</v>
      </c>
      <c r="B7027" s="1"/>
    </row>
    <row r="7028">
      <c r="A7028" s="1" t="str">
        <f>IFERROR(__xludf.DUMMYFUNCTION("""COMPUTED_VALUE"""),"103028;INF109K01DZ0;INF109K01AO0;ICICI Prudential Blended Plan A -  Dividend;13.5898;22-Apr-2016")</f>
        <v>103028;INF109K01DZ0;INF109K01AO0;ICICI Prudential Blended Plan A -  Dividend;13.5898;22-Apr-2016</v>
      </c>
      <c r="B7028" s="1"/>
    </row>
    <row r="7029">
      <c r="A7029" s="1" t="str">
        <f>IFERROR(__xludf.DUMMYFUNCTION("""COMPUTED_VALUE"""),"130949;INF109KA1B65;-;ICICI Prudential Blended Plan A - Direct Plan Bonus;10.9152;12-Oct-2015")</f>
        <v>130949;INF109KA1B65;-;ICICI Prudential Blended Plan A - Direct Plan Bonus;10.9152;12-Oct-2015</v>
      </c>
      <c r="B7029" s="1"/>
    </row>
    <row r="7030">
      <c r="A7030" s="1" t="str">
        <f>IFERROR(__xludf.DUMMYFUNCTION("""COMPUTED_VALUE"""),"103027;INF109K01AP7;-;ICICI Prudential Blended Plan A - Growth;22.7587;22-Apr-2016")</f>
        <v>103027;INF109K01AP7;-;ICICI Prudential Blended Plan A - Growth;22.7587;22-Apr-2016</v>
      </c>
      <c r="B7030" s="1"/>
    </row>
    <row r="7031">
      <c r="A7031" s="1" t="str">
        <f>IFERROR(__xludf.DUMMYFUNCTION("""COMPUTED_VALUE"""),"120311;INF109K013C6;INF109K014C4;ICICI Prudential Blended Plan A-Direct Plan -  Dividend;13.6408;22-Apr-2016")</f>
        <v>120311;INF109K013C6;INF109K014C4;ICICI Prudential Blended Plan A-Direct Plan -  Dividend;13.6408;22-Apr-2016</v>
      </c>
      <c r="B7031" s="1"/>
    </row>
    <row r="7032">
      <c r="A7032" s="1" t="str">
        <f>IFERROR(__xludf.DUMMYFUNCTION("""COMPUTED_VALUE"""),"120310;INF109K015C1;-;ICICI Prudential Blended Plan A-Direct Plan -  Growth;23.0933;22-Apr-2016")</f>
        <v>120310;INF109K015C1;-;ICICI Prudential Blended Plan A-Direct Plan -  Growth;23.0933;22-Apr-2016</v>
      </c>
      <c r="B7032" s="1"/>
    </row>
    <row r="7033">
      <c r="A7033" s="1"/>
      <c r="B7033" s="1"/>
    </row>
    <row r="7034">
      <c r="A7034" s="1" t="str">
        <f>IFERROR(__xludf.DUMMYFUNCTION("""COMPUTED_VALUE"""),"SBI Mutual Fund")</f>
        <v>SBI Mutual Fund</v>
      </c>
      <c r="B7034" s="1"/>
    </row>
    <row r="7035">
      <c r="A7035" s="1"/>
      <c r="B7035" s="1"/>
    </row>
    <row r="7036">
      <c r="A7036" s="1" t="str">
        <f>IFERROR(__xludf.DUMMYFUNCTION("""COMPUTED_VALUE"""),"102208;INF200K01511;INF200K01529;SBI MAGNUM NRI FLEXIASSET PLAN-DIVIDEND;30.3025;05-Oct-2012")</f>
        <v>102208;INF200K01511;INF200K01529;SBI MAGNUM NRI FLEXIASSET PLAN-DIVIDEND;30.3025;05-Oct-2012</v>
      </c>
      <c r="B7036" s="1"/>
    </row>
    <row r="7037">
      <c r="A7037" s="1" t="str">
        <f>IFERROR(__xludf.DUMMYFUNCTION("""COMPUTED_VALUE"""),"102207;INF200K01503;-;SBI MAGNUM NRI FLEXIASSET PLAN-GROWTH;30.1918;05-Oct-2012")</f>
        <v>102207;INF200K01503;-;SBI MAGNUM NRI FLEXIASSET PLAN-GROWTH;30.1918;05-Oct-2012</v>
      </c>
      <c r="B7037" s="1"/>
    </row>
    <row r="7038">
      <c r="A7038" s="1" t="str">
        <f>IFERROR(__xludf.DUMMYFUNCTION("""COMPUTED_VALUE"""),"104763;INF200K01CX4;INF200K01CY2;SBI ONE INDIA FUND - DIVIDEND (PREVIOUSLY CLOSE ENDED UPTO 14/01/2010);10.43;10-Aug-2012")</f>
        <v>104763;INF200K01CX4;INF200K01CY2;SBI ONE INDIA FUND - DIVIDEND (PREVIOUSLY CLOSE ENDED UPTO 14/01/2010);10.43;10-Aug-2012</v>
      </c>
      <c r="B7038" s="1"/>
    </row>
    <row r="7039">
      <c r="A7039" s="1" t="str">
        <f>IFERROR(__xludf.DUMMYFUNCTION("""COMPUTED_VALUE"""),"104762;INF200K01CW6;-;SBI ONE INDIA FUND - GROWTH (PREVIOUSLY CLOSE ENDED UPTO 14/01/2010);10.43;10-Aug-2012")</f>
        <v>104762;INF200K01CW6;-;SBI ONE INDIA FUND - GROWTH (PREVIOUSLY CLOSE ENDED UPTO 14/01/2010);10.43;10-Aug-2012</v>
      </c>
      <c r="B7039" s="1"/>
    </row>
    <row r="7040">
      <c r="A7040" s="1"/>
      <c r="B7040" s="1"/>
    </row>
    <row r="7041">
      <c r="A7041" s="1" t="str">
        <f>IFERROR(__xludf.DUMMYFUNCTION("""COMPUTED_VALUE"""),"Open Ended Schemes(Hybrid Scheme - Aggressive Hybrid Fund)")</f>
        <v>Open Ended Schemes(Hybrid Scheme - Aggressive Hybrid Fund)</v>
      </c>
      <c r="B7041" s="1"/>
    </row>
    <row r="7042">
      <c r="A7042" s="1"/>
      <c r="B7042" s="1"/>
    </row>
    <row r="7043">
      <c r="A7043" s="1" t="str">
        <f>IFERROR(__xludf.DUMMYFUNCTION("""COMPUTED_VALUE"""),"Aditya Birla Sun Life Mutual Fund")</f>
        <v>Aditya Birla Sun Life Mutual Fund</v>
      </c>
      <c r="B7043" s="1"/>
    </row>
    <row r="7044">
      <c r="A7044" s="1"/>
      <c r="B7044" s="1"/>
    </row>
    <row r="7045">
      <c r="A7045" s="1" t="str">
        <f>IFERROR(__xludf.DUMMYFUNCTION("""COMPUTED_VALUE"""),"120517;INF209K01ZC0;-;Aditya Birla Sun Life Equity Hybrid'95 Fund - Direct Plan-Growth;1275.38;25-Aug-2023")</f>
        <v>120517;INF209K01ZC0;-;Aditya Birla Sun Life Equity Hybrid'95 Fund - Direct Plan-Growth;1275.38;25-Aug-2023</v>
      </c>
      <c r="B7045" s="1"/>
    </row>
    <row r="7046">
      <c r="A7046" s="1" t="str">
        <f>IFERROR(__xludf.DUMMYFUNCTION("""COMPUTED_VALUE"""),"103155;INF209K01BT5;-;Aditya Birla Sun Life Equity Hybrid'95 Fund - Regular Plan-Growth;1155.6;25-Aug-2023")</f>
        <v>103155;INF209K01BT5;-;Aditya Birla Sun Life Equity Hybrid'95 Fund - Regular Plan-Growth;1155.6;25-Aug-2023</v>
      </c>
      <c r="B7046" s="1"/>
    </row>
    <row r="7047">
      <c r="A7047" s="1" t="str">
        <f>IFERROR(__xludf.DUMMYFUNCTION("""COMPUTED_VALUE"""),"120518;INF209KA1LH3;INF209K01ZB2;Aditya Birla Sun Life Equity Hybrid'95 Fund -DIRECT - IDCW;263.59;25-Aug-2023")</f>
        <v>120518;INF209KA1LH3;INF209K01ZB2;Aditya Birla Sun Life Equity Hybrid'95 Fund -DIRECT - IDCW;263.59;25-Aug-2023</v>
      </c>
      <c r="B7047" s="1"/>
    </row>
    <row r="7048">
      <c r="A7048" s="1" t="str">
        <f>IFERROR(__xludf.DUMMYFUNCTION("""COMPUTED_VALUE"""),"103154;INF209K01BS7;INF209K01EE1;Aditya Birla Sun Life Equity Hybrid'95 Fund -Regular - IDCW;156.56;25-Aug-2023")</f>
        <v>103154;INF209K01BS7;INF209K01EE1;Aditya Birla Sun Life Equity Hybrid'95 Fund -Regular - IDCW;156.56;25-Aug-2023</v>
      </c>
      <c r="B7048" s="1"/>
    </row>
    <row r="7049">
      <c r="A7049" s="1"/>
      <c r="B7049" s="1"/>
    </row>
    <row r="7050">
      <c r="A7050" s="1" t="str">
        <f>IFERROR(__xludf.DUMMYFUNCTION("""COMPUTED_VALUE"""),"Axis Mutual Fund")</f>
        <v>Axis Mutual Fund</v>
      </c>
      <c r="B7050" s="1"/>
    </row>
    <row r="7051">
      <c r="A7051" s="1"/>
      <c r="B7051" s="1"/>
    </row>
    <row r="7052">
      <c r="A7052" s="1" t="str">
        <f>IFERROR(__xludf.DUMMYFUNCTION("""COMPUTED_VALUE"""),"144394;INF846K01E25;-;Axis Equity Hybrid Fund - Direct Plan - Growth Option;17.03;25-Aug-2023")</f>
        <v>144394;INF846K01E25;-;Axis Equity Hybrid Fund - Direct Plan - Growth Option;17.03;25-Aug-2023</v>
      </c>
      <c r="B7052" s="1"/>
    </row>
    <row r="7053">
      <c r="A7053" s="1" t="str">
        <f>IFERROR(__xludf.DUMMYFUNCTION("""COMPUTED_VALUE"""),"144397;INF846K01E33;INF846K01E41;Axis Equity Hybrid Fund - Direct Plan - Monthly IDCW;14.57;25-Aug-2023")</f>
        <v>144397;INF846K01E33;INF846K01E41;Axis Equity Hybrid Fund - Direct Plan - Monthly IDCW;14.57;25-Aug-2023</v>
      </c>
      <c r="B7053" s="1"/>
    </row>
    <row r="7054">
      <c r="A7054" s="1" t="str">
        <f>IFERROR(__xludf.DUMMYFUNCTION("""COMPUTED_VALUE"""),"144398;INF846K01E58;INF846K01E66;Axis Equity Hybrid Fund - Direct Plan - Quarterly IDCW;13.88;25-Aug-2023")</f>
        <v>144398;INF846K01E58;INF846K01E66;Axis Equity Hybrid Fund - Direct Plan - Quarterly IDCW;13.88;25-Aug-2023</v>
      </c>
      <c r="B7054" s="1"/>
    </row>
    <row r="7055">
      <c r="A7055" s="1" t="str">
        <f>IFERROR(__xludf.DUMMYFUNCTION("""COMPUTED_VALUE"""),"144395;INF846K01E09;INF846K01E17;Axis Equity Hybrid Fund - Direct Plan - Regular IDCW;13.14;25-Aug-2023")</f>
        <v>144395;INF846K01E09;INF846K01E17;Axis Equity Hybrid Fund - Direct Plan - Regular IDCW;13.14;25-Aug-2023</v>
      </c>
      <c r="B7055" s="1"/>
    </row>
    <row r="7056">
      <c r="A7056" s="1" t="str">
        <f>IFERROR(__xludf.DUMMYFUNCTION("""COMPUTED_VALUE"""),"144393;INF846K01E90;-;Axis Equity Hybrid Fund - Regular Plan - Growth Option;15.87;25-Aug-2023")</f>
        <v>144393;INF846K01E90;-;Axis Equity Hybrid Fund - Regular Plan - Growth Option;15.87;25-Aug-2023</v>
      </c>
      <c r="B7056" s="1"/>
    </row>
    <row r="7057">
      <c r="A7057" s="1" t="str">
        <f>IFERROR(__xludf.DUMMYFUNCTION("""COMPUTED_VALUE"""),"144399;INF846K01F08;INF846K01F16;Axis Equity Hybrid Fund - Regular Plan - Monthly IDCW;12.40;25-Aug-2023")</f>
        <v>144399;INF846K01F08;INF846K01F16;Axis Equity Hybrid Fund - Regular Plan - Monthly IDCW;12.40;25-Aug-2023</v>
      </c>
      <c r="B7057" s="1"/>
    </row>
    <row r="7058">
      <c r="A7058" s="1" t="str">
        <f>IFERROR(__xludf.DUMMYFUNCTION("""COMPUTED_VALUE"""),"144400;INF846K01F24;INF846K01F32;Axis Equity Hybrid Fund - Regular Plan - Quarterly IDCW;12.76;25-Aug-2023")</f>
        <v>144400;INF846K01F24;INF846K01F32;Axis Equity Hybrid Fund - Regular Plan - Quarterly IDCW;12.76;25-Aug-2023</v>
      </c>
      <c r="B7058" s="1"/>
    </row>
    <row r="7059">
      <c r="A7059" s="1" t="str">
        <f>IFERROR(__xludf.DUMMYFUNCTION("""COMPUTED_VALUE"""),"144396;INF846K01E74;INF846K01E82;Axis Equity Hybrid Fund - Regular Plan - Regular IDCW;12.21;25-Aug-2023")</f>
        <v>144396;INF846K01E74;INF846K01E82;Axis Equity Hybrid Fund - Regular Plan - Regular IDCW;12.21;25-Aug-2023</v>
      </c>
      <c r="B7059" s="1"/>
    </row>
    <row r="7060">
      <c r="A7060" s="1"/>
      <c r="B7060" s="1"/>
    </row>
    <row r="7061">
      <c r="A7061" s="1" t="str">
        <f>IFERROR(__xludf.DUMMYFUNCTION("""COMPUTED_VALUE"""),"Bandhan Mutual Fund")</f>
        <v>Bandhan Mutual Fund</v>
      </c>
      <c r="B7061" s="1"/>
    </row>
    <row r="7062">
      <c r="A7062" s="1"/>
      <c r="B7062" s="1"/>
    </row>
    <row r="7063">
      <c r="A7063" s="1" t="str">
        <f>IFERROR(__xludf.DUMMYFUNCTION("""COMPUTED_VALUE"""),"140382;INF194KA1U56;-;BANDHAN Hybrid Equity Fund-Direct Plan Growth;20.877;25-Aug-2023")</f>
        <v>140382;INF194KA1U56;-;BANDHAN Hybrid Equity Fund-Direct Plan Growth;20.877;25-Aug-2023</v>
      </c>
      <c r="B7063" s="1"/>
    </row>
    <row r="7064">
      <c r="A7064" s="1" t="str">
        <f>IFERROR(__xludf.DUMMYFUNCTION("""COMPUTED_VALUE"""),"140383;INF194KA1U64;INF194KA1U72;BANDHAN Hybrid Equity Fund-Direct Plan IDCW;17.672;25-Aug-2023")</f>
        <v>140383;INF194KA1U64;INF194KA1U72;BANDHAN Hybrid Equity Fund-Direct Plan IDCW;17.672;25-Aug-2023</v>
      </c>
      <c r="B7064" s="1"/>
    </row>
    <row r="7065">
      <c r="A7065" s="1" t="str">
        <f>IFERROR(__xludf.DUMMYFUNCTION("""COMPUTED_VALUE"""),"140381;INF194KA1U15;-;BANDHAN Hybrid Equity Fund-Regular Plan Growth;18.944;25-Aug-2023")</f>
        <v>140381;INF194KA1U15;-;BANDHAN Hybrid Equity Fund-Regular Plan Growth;18.944;25-Aug-2023</v>
      </c>
      <c r="B7065" s="1"/>
    </row>
    <row r="7066">
      <c r="A7066" s="1" t="str">
        <f>IFERROR(__xludf.DUMMYFUNCTION("""COMPUTED_VALUE"""),"140384;INF194KA1U23;INF194KA1U31;BANDHAN Hybrid Equity Fund-Regular Plan IDCW;16.041;25-Aug-2023")</f>
        <v>140384;INF194KA1U23;INF194KA1U31;BANDHAN Hybrid Equity Fund-Regular Plan IDCW;16.041;25-Aug-2023</v>
      </c>
      <c r="B7066" s="1"/>
    </row>
    <row r="7067">
      <c r="A7067" s="1"/>
      <c r="B7067" s="1"/>
    </row>
    <row r="7068">
      <c r="A7068" s="1" t="str">
        <f>IFERROR(__xludf.DUMMYFUNCTION("""COMPUTED_VALUE"""),"Baroda BNP Paribas Mutual Fund")</f>
        <v>Baroda BNP Paribas Mutual Fund</v>
      </c>
      <c r="B7068" s="1"/>
    </row>
    <row r="7069">
      <c r="A7069" s="1"/>
      <c r="B7069" s="1"/>
    </row>
    <row r="7070">
      <c r="A7070" s="1" t="str">
        <f>IFERROR(__xludf.DUMMYFUNCTION("""COMPUTED_VALUE"""),"150259;INF251K01PB5;INF251K01PA7;Baroda BNP Paribas Aggressive Hybrid Fund -DIRECT PLAN- IDCW OPTION;16.4622;25-Aug-2023")</f>
        <v>150259;INF251K01PB5;INF251K01PA7;Baroda BNP Paribas Aggressive Hybrid Fund -DIRECT PLAN- IDCW OPTION;16.4622;25-Aug-2023</v>
      </c>
      <c r="B7070" s="1"/>
    </row>
    <row r="7071">
      <c r="A7071" s="1" t="str">
        <f>IFERROR(__xludf.DUMMYFUNCTION("""COMPUTED_VALUE"""),"150260;INF251K01OZ7;-;Baroda BNP Paribas Aggressive Hybrid Fund- DIRECT PLAN - GROWTH OPTION;23.0175;25-Aug-2023")</f>
        <v>150260;INF251K01OZ7;-;Baroda BNP Paribas Aggressive Hybrid Fund- DIRECT PLAN - GROWTH OPTION;23.0175;25-Aug-2023</v>
      </c>
      <c r="B7071" s="1"/>
    </row>
    <row r="7072">
      <c r="A7072" s="1" t="str">
        <f>IFERROR(__xludf.DUMMYFUNCTION("""COMPUTED_VALUE"""),"150261;INF251K01OY0;INF251K01OX2;Baroda BNP Paribas Aggressive Hybrid Fund- REGULAR PLAN- IDCW OPTION;14.8919;25-Aug-2023")</f>
        <v>150261;INF251K01OY0;INF251K01OX2;Baroda BNP Paribas Aggressive Hybrid Fund- REGULAR PLAN- IDCW OPTION;14.8919;25-Aug-2023</v>
      </c>
      <c r="B7072" s="1"/>
    </row>
    <row r="7073">
      <c r="A7073" s="1" t="str">
        <f>IFERROR(__xludf.DUMMYFUNCTION("""COMPUTED_VALUE"""),"150258;INF251K01OW4;-;Baroda BNP Paribas Aggressive Hybrid Fund- REGULAT PLAN -GROWTH OPTION;20.7647;25-Aug-2023")</f>
        <v>150258;INF251K01OW4;-;Baroda BNP Paribas Aggressive Hybrid Fund- REGULAT PLAN -GROWTH OPTION;20.7647;25-Aug-2023</v>
      </c>
      <c r="B7073" s="1"/>
    </row>
    <row r="7074">
      <c r="A7074" s="1"/>
      <c r="B7074" s="1"/>
    </row>
    <row r="7075">
      <c r="A7075" s="1" t="str">
        <f>IFERROR(__xludf.DUMMYFUNCTION("""COMPUTED_VALUE"""),"Canara Robeco Mutual Fund")</f>
        <v>Canara Robeco Mutual Fund</v>
      </c>
      <c r="B7075" s="1"/>
    </row>
    <row r="7076">
      <c r="A7076" s="1"/>
      <c r="B7076" s="1"/>
    </row>
    <row r="7077">
      <c r="A7077" s="1" t="str">
        <f>IFERROR(__xludf.DUMMYFUNCTION("""COMPUTED_VALUE"""),"118272;INF760K01EZ8;-;CANARA ROBECO EQUITY HYBRID FUND - DIRECT PLAN - GROWTH OPTION;299.8700;25-Aug-2023")</f>
        <v>118272;INF760K01EZ8;-;CANARA ROBECO EQUITY HYBRID FUND - DIRECT PLAN - GROWTH OPTION;299.8700;25-Aug-2023</v>
      </c>
      <c r="B7077" s="1"/>
    </row>
    <row r="7078">
      <c r="A7078" s="1" t="str">
        <f>IFERROR(__xludf.DUMMYFUNCTION("""COMPUTED_VALUE"""),"118271;INF760K01EX3;INF760K01EY1;CANARA ROBECO EQUITY HYBRID FUND - DIRECT PLAN - MONTHLY IDCW (Payout/Reinvestment);110.3200;25-Aug-2023")</f>
        <v>118271;INF760K01EX3;INF760K01EY1;CANARA ROBECO EQUITY HYBRID FUND - DIRECT PLAN - MONTHLY IDCW (Payout/Reinvestment);110.3200;25-Aug-2023</v>
      </c>
      <c r="B7078" s="1"/>
    </row>
    <row r="7079">
      <c r="A7079" s="1" t="str">
        <f>IFERROR(__xludf.DUMMYFUNCTION("""COMPUTED_VALUE"""),"106166;INF760K01050;-;CANARA ROBECO EQUITY HYBRID FUND - REGULAR PLAN - GROWTH OPTION;270.8400;25-Aug-2023")</f>
        <v>106166;INF760K01050;-;CANARA ROBECO EQUITY HYBRID FUND - REGULAR PLAN - GROWTH OPTION;270.8400;25-Aug-2023</v>
      </c>
      <c r="B7079" s="1"/>
    </row>
    <row r="7080">
      <c r="A7080" s="1" t="str">
        <f>IFERROR(__xludf.DUMMYFUNCTION("""COMPUTED_VALUE"""),"106167;INF760K01068;INF760K01076;CANARA ROBECO EQUITY HYBRID FUND - REGULAR PLAN - MONTHLY IDCW (Payout/Reinvestment);88.0200;25-Aug-2023")</f>
        <v>106167;INF760K01068;INF760K01076;CANARA ROBECO EQUITY HYBRID FUND - REGULAR PLAN - MONTHLY IDCW (Payout/Reinvestment);88.0200;25-Aug-2023</v>
      </c>
      <c r="B7080" s="1"/>
    </row>
    <row r="7081">
      <c r="A7081" s="1"/>
      <c r="B7081" s="1"/>
    </row>
    <row r="7082">
      <c r="A7082" s="1" t="str">
        <f>IFERROR(__xludf.DUMMYFUNCTION("""COMPUTED_VALUE"""),"DSP Mutual Fund")</f>
        <v>DSP Mutual Fund</v>
      </c>
      <c r="B7082" s="1"/>
    </row>
    <row r="7083">
      <c r="A7083" s="1"/>
      <c r="B7083" s="1"/>
    </row>
    <row r="7084">
      <c r="A7084" s="1" t="str">
        <f>IFERROR(__xludf.DUMMYFUNCTION("""COMPUTED_VALUE"""),"119019;INF740K01NY4;-;DSP Equity &amp; Bond Fund - Direct Plan - Growth;289.517;25-Aug-2023")</f>
        <v>119019;INF740K01NY4;-;DSP Equity &amp; Bond Fund - Direct Plan - Growth;289.517;25-Aug-2023</v>
      </c>
      <c r="B7084" s="1"/>
    </row>
    <row r="7085">
      <c r="A7085" s="1" t="str">
        <f>IFERROR(__xludf.DUMMYFUNCTION("""COMPUTED_VALUE"""),"119020;INF740K01NZ1;INF740K01OA2;DSP Equity &amp; Bond Fund - Direct Plan - IDCW;57.094;25-Aug-2023")</f>
        <v>119020;INF740K01NZ1;INF740K01OA2;DSP Equity &amp; Bond Fund - Direct Plan - IDCW;57.094;25-Aug-2023</v>
      </c>
      <c r="B7085" s="1"/>
    </row>
    <row r="7086">
      <c r="A7086" s="1" t="str">
        <f>IFERROR(__xludf.DUMMYFUNCTION("""COMPUTED_VALUE"""),"100081;INF740K01318;-;DSP Equity &amp; Bond Fund- Regular Plan - Growth;262.635;25-Aug-2023")</f>
        <v>100081;INF740K01318;-;DSP Equity &amp; Bond Fund- Regular Plan - Growth;262.635;25-Aug-2023</v>
      </c>
      <c r="B7086" s="1"/>
    </row>
    <row r="7087">
      <c r="A7087" s="1" t="str">
        <f>IFERROR(__xludf.DUMMYFUNCTION("""COMPUTED_VALUE"""),"100082;INF740K01326;INF740K01334;DSP Equity &amp; Bond Fund- Regular Plan - IDCW;25.889;25-Aug-2023")</f>
        <v>100082;INF740K01326;INF740K01334;DSP Equity &amp; Bond Fund- Regular Plan - IDCW;25.889;25-Aug-2023</v>
      </c>
      <c r="B7087" s="1"/>
    </row>
    <row r="7088">
      <c r="A7088" s="1"/>
      <c r="B7088" s="1"/>
    </row>
    <row r="7089">
      <c r="A7089" s="1" t="str">
        <f>IFERROR(__xludf.DUMMYFUNCTION("""COMPUTED_VALUE"""),"Edelweiss Mutual Fund")</f>
        <v>Edelweiss Mutual Fund</v>
      </c>
      <c r="B7089" s="1"/>
    </row>
    <row r="7090">
      <c r="A7090" s="1"/>
      <c r="B7090" s="1"/>
    </row>
    <row r="7091">
      <c r="A7091" s="1" t="str">
        <f>IFERROR(__xludf.DUMMYFUNCTION("""COMPUTED_VALUE"""),"118625;INF754K01CB6;INF754K01CC4;Edelweiss Aggressive Hybrid Fund  - Direct Plan - IDCW Option;26.98;25-Aug-2023")</f>
        <v>118625;INF754K01CB6;INF754K01CC4;Edelweiss Aggressive Hybrid Fund  - Direct Plan - IDCW Option;26.98;25-Aug-2023</v>
      </c>
      <c r="B7091" s="1"/>
    </row>
    <row r="7092">
      <c r="A7092" s="1" t="str">
        <f>IFERROR(__xludf.DUMMYFUNCTION("""COMPUTED_VALUE"""),"112013;INF754K01137;INF754K01145;Edelweiss Aggressive Hybrid Fund  - Plan B - IDCW Option;45.8;25-Aug-2023")</f>
        <v>112013;INF754K01137;INF754K01145;Edelweiss Aggressive Hybrid Fund  - Plan B - IDCW Option;45.8;25-Aug-2023</v>
      </c>
      <c r="B7092" s="1"/>
    </row>
    <row r="7093">
      <c r="A7093" s="1" t="str">
        <f>IFERROR(__xludf.DUMMYFUNCTION("""COMPUTED_VALUE"""),"112108;INF754K01202;-;Edelweiss Aggressive Hybrid Fund - Regular Plan - Growth Option;45.45;25-Aug-2023")</f>
        <v>112108;INF754K01202;-;Edelweiss Aggressive Hybrid Fund - Regular Plan - Growth Option;45.45;25-Aug-2023</v>
      </c>
      <c r="B7093" s="1"/>
    </row>
    <row r="7094">
      <c r="A7094" s="1" t="str">
        <f>IFERROR(__xludf.DUMMYFUNCTION("""COMPUTED_VALUE"""),"112109;INF754K01178;INF754K01186;Edelweiss Aggressive Hybrid Fund - Regular Plan - IDCW Option;23.27;25-Aug-2023")</f>
        <v>112109;INF754K01178;INF754K01186;Edelweiss Aggressive Hybrid Fund - Regular Plan - IDCW Option;23.27;25-Aug-2023</v>
      </c>
      <c r="B7094" s="1"/>
    </row>
    <row r="7095">
      <c r="A7095" s="1" t="str">
        <f>IFERROR(__xludf.DUMMYFUNCTION("""COMPUTED_VALUE"""),"112012;INF754K01160;-;Edelweiss Aggressive Hybrid Fund- Plan B-Growth Option;44.94;25-Aug-2023")</f>
        <v>112012;INF754K01160;-;Edelweiss Aggressive Hybrid Fund- Plan B-Growth Option;44.94;25-Aug-2023</v>
      </c>
      <c r="B7095" s="1"/>
    </row>
    <row r="7096">
      <c r="A7096" s="1" t="str">
        <f>IFERROR(__xludf.DUMMYFUNCTION("""COMPUTED_VALUE"""),"118624;INF754K01CE0;-;Edelweiss Aggressive Hybrid Fund-Direct Plan-Growth Option;50.75;25-Aug-2023")</f>
        <v>118624;INF754K01CE0;-;Edelweiss Aggressive Hybrid Fund-Direct Plan-Growth Option;50.75;25-Aug-2023</v>
      </c>
      <c r="B7096" s="1"/>
    </row>
    <row r="7097">
      <c r="A7097" s="1"/>
      <c r="B7097" s="1"/>
    </row>
    <row r="7098">
      <c r="A7098" s="1" t="str">
        <f>IFERROR(__xludf.DUMMYFUNCTION("""COMPUTED_VALUE"""),"Franklin Templeton Mutual Fund")</f>
        <v>Franklin Templeton Mutual Fund</v>
      </c>
      <c r="B7098" s="1"/>
    </row>
    <row r="7099">
      <c r="A7099" s="1"/>
      <c r="B7099" s="1"/>
    </row>
    <row r="7100">
      <c r="A7100" s="1" t="str">
        <f>IFERROR(__xludf.DUMMYFUNCTION("""COMPUTED_VALUE"""),"118546;INF090I01FZ1;-;Franklin India Equity Hybrid Fund - Direct - Growth;224.6155;25-Aug-2023")</f>
        <v>118546;INF090I01FZ1;-;Franklin India Equity Hybrid Fund - Direct - Growth;224.6155;25-Aug-2023</v>
      </c>
      <c r="B7100" s="1"/>
    </row>
    <row r="7101">
      <c r="A7101" s="1" t="str">
        <f>IFERROR(__xludf.DUMMYFUNCTION("""COMPUTED_VALUE"""),"118547;INF090I01GA2;INF090I01GB0;Franklin India Equity Hybrid Fund - Direct - IDCW ;29.4544;25-Aug-2023")</f>
        <v>118547;INF090I01GA2;INF090I01GB0;Franklin India Equity Hybrid Fund - Direct - IDCW ;29.4544;25-Aug-2023</v>
      </c>
      <c r="B7101" s="1"/>
    </row>
    <row r="7102">
      <c r="A7102" s="1" t="str">
        <f>IFERROR(__xludf.DUMMYFUNCTION("""COMPUTED_VALUE"""),"100550;INF090I01817;-;Franklin India Equity Hybrid Fund - Growth Plan;200.4844;25-Aug-2023")</f>
        <v>100550;INF090I01817;-;Franklin India Equity Hybrid Fund - Growth Plan;200.4844;25-Aug-2023</v>
      </c>
      <c r="B7102" s="1"/>
    </row>
    <row r="7103">
      <c r="A7103" s="1" t="str">
        <f>IFERROR(__xludf.DUMMYFUNCTION("""COMPUTED_VALUE"""),"100549;INF090I01825;INF090I01833;Franklin India Equity Hybrid Fund - IDCW ;25.2154;25-Aug-2023")</f>
        <v>100549;INF090I01825;INF090I01833;Franklin India Equity Hybrid Fund - IDCW ;25.2154;25-Aug-2023</v>
      </c>
      <c r="B7103" s="1"/>
    </row>
    <row r="7104">
      <c r="A7104" s="1"/>
      <c r="B7104" s="1"/>
    </row>
    <row r="7105">
      <c r="A7105" s="1" t="str">
        <f>IFERROR(__xludf.DUMMYFUNCTION("""COMPUTED_VALUE"""),"Groww Mutual Fund")</f>
        <v>Groww Mutual Fund</v>
      </c>
      <c r="B7105" s="1"/>
    </row>
    <row r="7106">
      <c r="A7106" s="1"/>
      <c r="B7106" s="1"/>
    </row>
    <row r="7107">
      <c r="A7107" s="1" t="str">
        <f>IFERROR(__xludf.DUMMYFUNCTION("""COMPUTED_VALUE"""),"145599;INF666M01FA3;-;Groww Aggressive Hybrid Fund (formerly known as Indiabulls Equity Hybrid Fund) - Direct Plan - Growth option;17.3909;25-Aug-2023")</f>
        <v>145599;INF666M01FA3;-;Groww Aggressive Hybrid Fund (formerly known as Indiabulls Equity Hybrid Fund) - Direct Plan - Growth option;17.3909;25-Aug-2023</v>
      </c>
      <c r="B7107" s="1"/>
    </row>
    <row r="7108">
      <c r="A7108" s="1" t="str">
        <f>IFERROR(__xludf.DUMMYFUNCTION("""COMPUTED_VALUE"""),"145605;INF666M01FJ4;-;Groww Aggressive Hybrid Fund (formerly known as Indiabulls Equity Hybrid Fund) - Regular Plan - Growth option;15.9847;25-Aug-2023")</f>
        <v>145605;INF666M01FJ4;-;Groww Aggressive Hybrid Fund (formerly known as Indiabulls Equity Hybrid Fund) - Regular Plan - Growth option;15.9847;25-Aug-2023</v>
      </c>
      <c r="B7108" s="1"/>
    </row>
    <row r="7109">
      <c r="A7109" s="1" t="str">
        <f>IFERROR(__xludf.DUMMYFUNCTION("""COMPUTED_VALUE"""),"145600;INF666M01FB1;INF666M01FC9;Groww Aggressive Hybrid Fund (formerly known as Indiabulls Equity Hybrid Fund)- Direct Plan- - Income Distribution cum capital withdrawal Option (Payout &amp; Reinvestment);17.2549;25-Aug-2023")</f>
        <v>145600;INF666M01FB1;INF666M01FC9;Groww Aggressive Hybrid Fund (formerly known as Indiabulls Equity Hybrid Fund)- Direct Plan- - Income Distribution cum capital withdrawal Option (Payout &amp; Reinvestment);17.2549;25-Aug-2023</v>
      </c>
      <c r="B7109" s="1"/>
    </row>
    <row r="7110">
      <c r="A7110" s="1" t="str">
        <f>IFERROR(__xludf.DUMMYFUNCTION("""COMPUTED_VALUE"""),"145602;INF666M01FH8;INF666M01FI6;Groww Aggressive Hybrid Fund (formerly known as Indiabulls Equity Hybrid Fund)- Direct Plan- Half Yearly - Income Distribution cum capital withdrawal Option (Payout &amp; Reinvestment);16.7337;25-Aug-2023")</f>
        <v>145602;INF666M01FH8;INF666M01FI6;Groww Aggressive Hybrid Fund (formerly known as Indiabulls Equity Hybrid Fund)- Direct Plan- Half Yearly - Income Distribution cum capital withdrawal Option (Payout &amp; Reinvestment);16.7337;25-Aug-2023</v>
      </c>
      <c r="B7110" s="1"/>
    </row>
    <row r="7111">
      <c r="A7111" s="1" t="str">
        <f>IFERROR(__xludf.DUMMYFUNCTION("""COMPUTED_VALUE"""),"145606;INF666M01FD7;INF666M01FE5;Groww Aggressive Hybrid Fund (formerly known as Indiabulls Equity Hybrid Fund)- Direct Plan- Monthly - Income Distribution cum capital withdrawal Option (Payout &amp; Reinvestment);17.2271;25-Aug-2023")</f>
        <v>145606;INF666M01FD7;INF666M01FE5;Groww Aggressive Hybrid Fund (formerly known as Indiabulls Equity Hybrid Fund)- Direct Plan- Monthly - Income Distribution cum capital withdrawal Option (Payout &amp; Reinvestment);17.2271;25-Aug-2023</v>
      </c>
      <c r="B7111" s="1"/>
    </row>
    <row r="7112">
      <c r="A7112" s="1" t="str">
        <f>IFERROR(__xludf.DUMMYFUNCTION("""COMPUTED_VALUE"""),"145601;INF666M01FF2;INF666M01FG0;Groww Aggressive Hybrid Fund (formerly known as Indiabulls Equity Hybrid Fund)- Direct Plan- Quarterly - Income Distribution cum capital withdrawal Option (Payout &amp; Reinvestment);17.0501;25-Aug-2023")</f>
        <v>145601;INF666M01FF2;INF666M01FG0;Groww Aggressive Hybrid Fund (formerly known as Indiabulls Equity Hybrid Fund)- Direct Plan- Quarterly - Income Distribution cum capital withdrawal Option (Payout &amp; Reinvestment);17.0501;25-Aug-2023</v>
      </c>
      <c r="B7112" s="1"/>
    </row>
    <row r="7113">
      <c r="A7113" s="1" t="str">
        <f>IFERROR(__xludf.DUMMYFUNCTION("""COMPUTED_VALUE"""),"145603;INF666M01FK2;INF666M01FL0;Groww Aggressive Hybrid Fund (formerly known as Indiabulls Equity Hybrid Fund)- Regular Plan- - Income Distribution cum capital withdrawal Option (Payout &amp; Reinvestment);15.9819;25-Aug-2023")</f>
        <v>145603;INF666M01FK2;INF666M01FL0;Groww Aggressive Hybrid Fund (formerly known as Indiabulls Equity Hybrid Fund)- Regular Plan- - Income Distribution cum capital withdrawal Option (Payout &amp; Reinvestment);15.9819;25-Aug-2023</v>
      </c>
      <c r="B7113" s="1"/>
    </row>
    <row r="7114">
      <c r="A7114" s="1" t="str">
        <f>IFERROR(__xludf.DUMMYFUNCTION("""COMPUTED_VALUE"""),"145608;INF666M01FQ9;INF666M01FR7;Groww Aggressive Hybrid Fund (formerly known as Indiabulls Equity Hybrid Fund)- Regular Plan- Half Yearly - Income Distribution cum capital withdrawal Option (Payout &amp; Reinvestment);15.9468;25-Aug-2023")</f>
        <v>145608;INF666M01FQ9;INF666M01FR7;Groww Aggressive Hybrid Fund (formerly known as Indiabulls Equity Hybrid Fund)- Regular Plan- Half Yearly - Income Distribution cum capital withdrawal Option (Payout &amp; Reinvestment);15.9468;25-Aug-2023</v>
      </c>
      <c r="B7114" s="1"/>
    </row>
    <row r="7115">
      <c r="A7115" s="1" t="str">
        <f>IFERROR(__xludf.DUMMYFUNCTION("""COMPUTED_VALUE"""),"145604;INF666M01FM8;INF666M01FN6;Groww Aggressive Hybrid Fund (formerly known as Indiabulls Equity Hybrid Fund)- Regular Plan- Monthly - Income Distribution cum capital withdrawal Option (Payout &amp; Reinvestment.;15.9829;25-Aug-2023")</f>
        <v>145604;INF666M01FM8;INF666M01FN6;Groww Aggressive Hybrid Fund (formerly known as Indiabulls Equity Hybrid Fund)- Regular Plan- Monthly - Income Distribution cum capital withdrawal Option (Payout &amp; Reinvestment.;15.9829;25-Aug-2023</v>
      </c>
      <c r="B7115" s="1"/>
    </row>
    <row r="7116">
      <c r="A7116" s="1" t="str">
        <f>IFERROR(__xludf.DUMMYFUNCTION("""COMPUTED_VALUE"""),"145607;INF666M01FO4;INF666M01FP1;Groww Aggressive Hybrid Fund (formerly known as Indiabulls Equity Hybrid Fund)- Regular Plan- Quarterly - Income Distribution cum capital withdrawal Option (Payout &amp; Reinvestment);16.9423;25-Aug-2023")</f>
        <v>145607;INF666M01FO4;INF666M01FP1;Groww Aggressive Hybrid Fund (formerly known as Indiabulls Equity Hybrid Fund)- Regular Plan- Quarterly - Income Distribution cum capital withdrawal Option (Payout &amp; Reinvestment);16.9423;25-Aug-2023</v>
      </c>
      <c r="B7116" s="1"/>
    </row>
    <row r="7117">
      <c r="A7117" s="1"/>
      <c r="B7117" s="1"/>
    </row>
    <row r="7118">
      <c r="A7118" s="1" t="str">
        <f>IFERROR(__xludf.DUMMYFUNCTION("""COMPUTED_VALUE"""),"HDFC Mutual Fund")</f>
        <v>HDFC Mutual Fund</v>
      </c>
      <c r="B7118" s="1"/>
    </row>
    <row r="7119">
      <c r="A7119" s="1"/>
      <c r="B7119" s="1"/>
    </row>
    <row r="7120">
      <c r="A7120" s="1" t="str">
        <f>IFERROR(__xludf.DUMMYFUNCTION("""COMPUTED_VALUE"""),"119062;INF179K01XZ1;-;HDFC Hybrid Equity Fund - Growth Option - Direct Plan;100.095;25-Aug-2023")</f>
        <v>119062;INF179K01XZ1;-;HDFC Hybrid Equity Fund - Growth Option - Direct Plan;100.095;25-Aug-2023</v>
      </c>
      <c r="B7120" s="1"/>
    </row>
    <row r="7121">
      <c r="A7121" s="1" t="str">
        <f>IFERROR(__xludf.DUMMYFUNCTION("""COMPUTED_VALUE"""),"102948;INF179K01AS4;-;HDFC Hybrid Equity Fund - Growth Plan;93.471;25-Aug-2023")</f>
        <v>102948;INF179K01AS4;-;HDFC Hybrid Equity Fund - Growth Plan;93.471;25-Aug-2023</v>
      </c>
      <c r="B7121" s="1"/>
    </row>
    <row r="7122">
      <c r="A7122" s="1" t="str">
        <f>IFERROR(__xludf.DUMMYFUNCTION("""COMPUTED_VALUE"""),"119061;INF179K01XX6;INF179K01XY4;HDFC Hybrid Equity Fund - IDCW Option - Direct Plan;16.734;25-Aug-2023")</f>
        <v>119061;INF179K01XX6;INF179K01XY4;HDFC Hybrid Equity Fund - IDCW Option - Direct Plan;16.734;25-Aug-2023</v>
      </c>
      <c r="B7122" s="1"/>
    </row>
    <row r="7123">
      <c r="A7123" s="1" t="str">
        <f>IFERROR(__xludf.DUMMYFUNCTION("""COMPUTED_VALUE"""),"102947;INF179K01AQ8;INF179K01AR6;HDFC Hybrid Equity Fund - IDCW Plan;14.976;25-Aug-2023")</f>
        <v>102947;INF179K01AQ8;INF179K01AR6;HDFC Hybrid Equity Fund - IDCW Plan;14.976;25-Aug-2023</v>
      </c>
      <c r="B7123" s="1"/>
    </row>
    <row r="7124">
      <c r="A7124" s="1"/>
      <c r="B7124" s="1"/>
    </row>
    <row r="7125">
      <c r="A7125" s="1" t="str">
        <f>IFERROR(__xludf.DUMMYFUNCTION("""COMPUTED_VALUE"""),"HSBC Mutual Fund")</f>
        <v>HSBC Mutual Fund</v>
      </c>
      <c r="B7125" s="1"/>
    </row>
    <row r="7126">
      <c r="A7126" s="1"/>
      <c r="B7126" s="1"/>
    </row>
    <row r="7127">
      <c r="A7127" s="1" t="str">
        <f>IFERROR(__xludf.DUMMYFUNCTION("""COMPUTED_VALUE"""),"151125;INF917K01TY5;INF917K01TX7;HSBC Aggressive Hybrid Fund - Direct Annual IDCW;17.2961;25-Aug-2023")</f>
        <v>151125;INF917K01TY5;INF917K01TX7;HSBC Aggressive Hybrid Fund - Direct Annual IDCW;17.2961;25-Aug-2023</v>
      </c>
      <c r="B7127" s="1"/>
    </row>
    <row r="7128">
      <c r="A7128" s="1" t="str">
        <f>IFERROR(__xludf.DUMMYFUNCTION("""COMPUTED_VALUE"""),"151122;INF917K01LE4;-;HSBC Aggressive Hybrid Fund - Direct Growth;45.6458;25-Aug-2023")</f>
        <v>151122;INF917K01LE4;-;HSBC Aggressive Hybrid Fund - Direct Growth;45.6458;25-Aug-2023</v>
      </c>
      <c r="B7128" s="1"/>
    </row>
    <row r="7129">
      <c r="A7129" s="1" t="str">
        <f>IFERROR(__xludf.DUMMYFUNCTION("""COMPUTED_VALUE"""),"151123;INF917K01E45;INF917K01LD6;HSBC Aggressive Hybrid Fund - Direct IDCW;28.691;25-Aug-2023")</f>
        <v>151123;INF917K01E45;INF917K01LD6;HSBC Aggressive Hybrid Fund - Direct IDCW;28.691;25-Aug-2023</v>
      </c>
      <c r="B7129" s="1"/>
    </row>
    <row r="7130">
      <c r="A7130" s="1" t="str">
        <f>IFERROR(__xludf.DUMMYFUNCTION("""COMPUTED_VALUE"""),"151124;INF917K01TW9;INF917K01TV1;HSBC Aggressive Hybrid Fund - Regular Annual IDCW;15.6624;25-Aug-2023")</f>
        <v>151124;INF917K01TW9;INF917K01TV1;HSBC Aggressive Hybrid Fund - Regular Annual IDCW;15.6624;25-Aug-2023</v>
      </c>
      <c r="B7130" s="1"/>
    </row>
    <row r="7131">
      <c r="A7131" s="1" t="str">
        <f>IFERROR(__xludf.DUMMYFUNCTION("""COMPUTED_VALUE"""),"151120;INF917K01LB0;-;HSBC Aggressive Hybrid Fund - Regular Growth;40.9739;25-Aug-2023")</f>
        <v>151120;INF917K01LB0;-;HSBC Aggressive Hybrid Fund - Regular Growth;40.9739;25-Aug-2023</v>
      </c>
      <c r="B7131" s="1"/>
    </row>
    <row r="7132">
      <c r="A7132" s="1" t="str">
        <f>IFERROR(__xludf.DUMMYFUNCTION("""COMPUTED_VALUE"""),"151121;INF917K01KZ1;INF917K01LA2;HSBC Aggressive Hybrid Fund - Regular IDCW;24.755;25-Aug-2023")</f>
        <v>151121;INF917K01KZ1;INF917K01LA2;HSBC Aggressive Hybrid Fund - Regular IDCW;24.755;25-Aug-2023</v>
      </c>
      <c r="B7132" s="1"/>
    </row>
    <row r="7133">
      <c r="A7133" s="1"/>
      <c r="B7133" s="1"/>
    </row>
    <row r="7134">
      <c r="A7134" s="1" t="str">
        <f>IFERROR(__xludf.DUMMYFUNCTION("""COMPUTED_VALUE"""),"ICICI Prudential Mutual Fund")</f>
        <v>ICICI Prudential Mutual Fund</v>
      </c>
      <c r="B7134" s="1"/>
    </row>
    <row r="7135">
      <c r="A7135" s="1"/>
      <c r="B7135" s="1"/>
    </row>
    <row r="7136">
      <c r="A7136" s="1" t="str">
        <f>IFERROR(__xludf.DUMMYFUNCTION("""COMPUTED_VALUE"""),"136113;INF109KB1QK6;INF109KB1QJ8;ICICI Prudential Equity &amp; Debt Fund - Annual IDCW;22.50;25-Aug-2023")</f>
        <v>136113;INF109KB1QK6;INF109KB1QJ8;ICICI Prudential Equity &amp; Debt Fund - Annual IDCW;22.50;25-Aug-2023</v>
      </c>
      <c r="B7136" s="1"/>
    </row>
    <row r="7137">
      <c r="A7137" s="1" t="str">
        <f>IFERROR(__xludf.DUMMYFUNCTION("""COMPUTED_VALUE"""),"136114;INF109KB1QM2;INF109KB1QL4;ICICI Prudential Equity &amp; Debt Fund - Direct Plan - Annual IDCW;24.24;25-Aug-2023")</f>
        <v>136114;INF109KB1QM2;INF109KB1QL4;ICICI Prudential Equity &amp; Debt Fund - Direct Plan - Annual IDCW;24.24;25-Aug-2023</v>
      </c>
      <c r="B7137" s="1"/>
    </row>
    <row r="7138">
      <c r="A7138" s="1" t="str">
        <f>IFERROR(__xludf.DUMMYFUNCTION("""COMPUTED_VALUE"""),"120251;INF109K01Y07;-;ICICI Prudential Equity &amp; Debt Fund - Direct Plan - Growth;298.80;25-Aug-2023")</f>
        <v>120251;INF109K01Y07;-;ICICI Prudential Equity &amp; Debt Fund - Direct Plan - Growth;298.80;25-Aug-2023</v>
      </c>
      <c r="B7138" s="1"/>
    </row>
    <row r="7139">
      <c r="A7139" s="1" t="str">
        <f>IFERROR(__xludf.DUMMYFUNCTION("""COMPUTED_VALUE"""),"131453;INF109KA1Y19;INF109KA1Y01;ICICI Prudential Equity &amp; Debt Fund - Direct Plan - Half Yearly IDCW;24.71;25-Aug-2023")</f>
        <v>131453;INF109KA1Y19;INF109KA1Y01;ICICI Prudential Equity &amp; Debt Fund - Direct Plan - Half Yearly IDCW;24.71;25-Aug-2023</v>
      </c>
      <c r="B7139" s="1"/>
    </row>
    <row r="7140">
      <c r="A7140" s="1" t="str">
        <f>IFERROR(__xludf.DUMMYFUNCTION("""COMPUTED_VALUE"""),"120252;INF109K01X81;INF109K01X99;ICICI Prudential Equity &amp; Debt Fund - Direct Plan - Monthly IDCW;50.89;25-Aug-2023")</f>
        <v>120252;INF109K01X81;INF109K01X99;ICICI Prudential Equity &amp; Debt Fund - Direct Plan - Monthly IDCW;50.89;25-Aug-2023</v>
      </c>
      <c r="B7140" s="1"/>
    </row>
    <row r="7141">
      <c r="A7141" s="1" t="str">
        <f>IFERROR(__xludf.DUMMYFUNCTION("""COMPUTED_VALUE"""),"100356;INF109K01480;-;ICICI Prudential Equity &amp; Debt Fund - Growth;272.37;25-Aug-2023")</f>
        <v>100356;INF109K01480;-;ICICI Prudential Equity &amp; Debt Fund - Growth;272.37;25-Aug-2023</v>
      </c>
      <c r="B7141" s="1"/>
    </row>
    <row r="7142">
      <c r="A7142" s="1" t="str">
        <f>IFERROR(__xludf.DUMMYFUNCTION("""COMPUTED_VALUE"""),"131452;INF109KA1X93;INF109KA1X85;ICICI Prudential Equity &amp; Debt Fund - Half Yearly IDCW;22.63;25-Aug-2023")</f>
        <v>131452;INF109KA1X93;INF109KA1X85;ICICI Prudential Equity &amp; Debt Fund - Half Yearly IDCW;22.63;25-Aug-2023</v>
      </c>
      <c r="B7142" s="1"/>
    </row>
    <row r="7143">
      <c r="A7143" s="1" t="str">
        <f>IFERROR(__xludf.DUMMYFUNCTION("""COMPUTED_VALUE"""),"100355;INF109K01DX5;INF109K01498;ICICI Prudential Equity &amp; Debt Fund - Monthly IDCW;33.29;25-Aug-2023")</f>
        <v>100355;INF109K01DX5;INF109K01498;ICICI Prudential Equity &amp; Debt Fund - Monthly IDCW;33.29;25-Aug-2023</v>
      </c>
      <c r="B7143" s="1"/>
    </row>
    <row r="7144">
      <c r="A7144" s="1"/>
      <c r="B7144" s="1"/>
    </row>
    <row r="7145">
      <c r="A7145" s="1" t="str">
        <f>IFERROR(__xludf.DUMMYFUNCTION("""COMPUTED_VALUE"""),"Invesco Mutual Fund")</f>
        <v>Invesco Mutual Fund</v>
      </c>
      <c r="B7145" s="1"/>
    </row>
    <row r="7146">
      <c r="A7146" s="1"/>
      <c r="B7146" s="1"/>
    </row>
    <row r="7147">
      <c r="A7147" s="1" t="str">
        <f>IFERROR(__xludf.DUMMYFUNCTION("""COMPUTED_VALUE"""),"143537;INF205K014Q7;-;Invesco India Equity &amp; Bond Fund - Direct Plan - Growth;17.213;25-Aug-2023")</f>
        <v>143537;INF205K014Q7;-;Invesco India Equity &amp; Bond Fund - Direct Plan - Growth;17.213;25-Aug-2023</v>
      </c>
      <c r="B7147" s="1"/>
    </row>
    <row r="7148">
      <c r="A7148" s="1" t="str">
        <f>IFERROR(__xludf.DUMMYFUNCTION("""COMPUTED_VALUE"""),"143532;INF205K013Q9;INF205K015Q4;Invesco India Equity &amp; Bond Fund - Direct Plan - IDCW (Payout / Reinvestment);17.1624;25-Aug-2023")</f>
        <v>143532;INF205K013Q9;INF205K015Q4;Invesco India Equity &amp; Bond Fund - Direct Plan - IDCW (Payout / Reinvestment);17.1624;25-Aug-2023</v>
      </c>
      <c r="B7148" s="1"/>
    </row>
    <row r="7149">
      <c r="A7149" s="1" t="str">
        <f>IFERROR(__xludf.DUMMYFUNCTION("""COMPUTED_VALUE"""),"143536;INF205K011Q3;-;Invesco India Equity &amp; Bond Fund - Regular Plan - Growth;15.8784;25-Aug-2023")</f>
        <v>143536;INF205K011Q3;-;Invesco India Equity &amp; Bond Fund - Regular Plan - Growth;15.8784;25-Aug-2023</v>
      </c>
      <c r="B7149" s="1"/>
    </row>
    <row r="7150">
      <c r="A7150" s="1" t="str">
        <f>IFERROR(__xludf.DUMMYFUNCTION("""COMPUTED_VALUE"""),"143534;INF205K010Q5;INF205K012Q1;Invesco India Equity &amp; Bond Fund - Regular Plan - IDCW (Payout / Reinvestment);15.8793;25-Aug-2023")</f>
        <v>143534;INF205K010Q5;INF205K012Q1;Invesco India Equity &amp; Bond Fund - Regular Plan - IDCW (Payout / Reinvestment);15.8793;25-Aug-2023</v>
      </c>
      <c r="B7150" s="1"/>
    </row>
    <row r="7151">
      <c r="A7151" s="1"/>
      <c r="B7151" s="1"/>
    </row>
    <row r="7152">
      <c r="A7152" s="1" t="str">
        <f>IFERROR(__xludf.DUMMYFUNCTION("""COMPUTED_VALUE"""),"JM Financial Mutual Fund")</f>
        <v>JM Financial Mutual Fund</v>
      </c>
      <c r="B7152" s="1"/>
    </row>
    <row r="7153">
      <c r="A7153" s="1"/>
      <c r="B7153" s="1"/>
    </row>
    <row r="7154">
      <c r="A7154" s="1" t="str">
        <f>IFERROR(__xludf.DUMMYFUNCTION("""COMPUTED_VALUE"""),"130904;INF192K01HB8;-;JM Equity Hybrid Fund (Direct) - Annual Bonus Option;94.1834;25-Aug-2023")</f>
        <v>130904;INF192K01HB8;-;JM Equity Hybrid Fund (Direct) - Annual Bonus Option;94.1834;25-Aug-2023</v>
      </c>
      <c r="B7154" s="1"/>
    </row>
    <row r="7155">
      <c r="A7155" s="1" t="str">
        <f>IFERROR(__xludf.DUMMYFUNCTION("""COMPUTED_VALUE"""),"131477;INF192K01HJ1;INF192K01HK9;JM Equity Hybrid Fund (Direct) - Annual IDCW;31.7295;25-Aug-2023")</f>
        <v>131477;INF192K01HJ1;INF192K01HK9;JM Equity Hybrid Fund (Direct) - Annual IDCW;31.7295;25-Aug-2023</v>
      </c>
      <c r="B7155" s="1"/>
    </row>
    <row r="7156">
      <c r="A7156" s="1" t="str">
        <f>IFERROR(__xludf.DUMMYFUNCTION("""COMPUTED_VALUE"""),"133401;INF192K01GP0;-;JM Equity Hybrid Fund (Direct) - Bonus Option - Principal Units;96.2599;25-Aug-2023")</f>
        <v>133401;INF192K01GP0;-;JM Equity Hybrid Fund (Direct) - Bonus Option - Principal Units;96.2599;25-Aug-2023</v>
      </c>
      <c r="B7156" s="1"/>
    </row>
    <row r="7157">
      <c r="A7157" s="1" t="str">
        <f>IFERROR(__xludf.DUMMYFUNCTION("""COMPUTED_VALUE"""),"120484;INF192K01BQ9;-;JM Equity Hybrid Fund (Direct) - Growth Option;94.0379;25-Aug-2023")</f>
        <v>120484;INF192K01BQ9;-;JM Equity Hybrid Fund (Direct) - Growth Option;94.0379;25-Aug-2023</v>
      </c>
      <c r="B7157" s="1"/>
    </row>
    <row r="7158">
      <c r="A7158" s="1" t="str">
        <f>IFERROR(__xludf.DUMMYFUNCTION("""COMPUTED_VALUE"""),"133409;INF192K01HV6;-;JM Equity Hybrid Fund (Direct) - Half Yearly Bonus Option - Principal Units;96.2599;25-Aug-2023")</f>
        <v>133409;INF192K01HV6;-;JM Equity Hybrid Fund (Direct) - Half Yearly Bonus Option - Principal Units;96.2599;25-Aug-2023</v>
      </c>
      <c r="B7158" s="1"/>
    </row>
    <row r="7159">
      <c r="A7159" s="1" t="str">
        <f>IFERROR(__xludf.DUMMYFUNCTION("""COMPUTED_VALUE"""),"133402;INF192K01HH5;INF192K01HI3;JM Equity Hybrid Fund (Direct) - Half Yearly IDCW;67.6656;25-Aug-2023")</f>
        <v>133402;INF192K01HH5;INF192K01HI3;JM Equity Hybrid Fund (Direct) - Half Yearly IDCW;67.6656;25-Aug-2023</v>
      </c>
      <c r="B7159" s="1"/>
    </row>
    <row r="7160">
      <c r="A7160" s="1" t="str">
        <f>IFERROR(__xludf.DUMMYFUNCTION("""COMPUTED_VALUE"""),"120483;INF192K01BO4;INF192K01BP1;JM Equity Hybrid Fund (Direct) - IDCW;51.8445;25-Aug-2023")</f>
        <v>120483;INF192K01BO4;INF192K01BP1;JM Equity Hybrid Fund (Direct) - IDCW;51.8445;25-Aug-2023</v>
      </c>
      <c r="B7160" s="1"/>
    </row>
    <row r="7161">
      <c r="A7161" s="1" t="str">
        <f>IFERROR(__xludf.DUMMYFUNCTION("""COMPUTED_VALUE"""),"133412;INF192K01HN3;INF192K01HO1;JM Equity Hybrid Fund (Direct) - Monthly IDCW;67.6464;25-Aug-2023")</f>
        <v>133412;INF192K01HN3;INF192K01HO1;JM Equity Hybrid Fund (Direct) - Monthly IDCW;67.6464;25-Aug-2023</v>
      </c>
      <c r="B7161" s="1"/>
    </row>
    <row r="7162">
      <c r="A7162" s="1" t="str">
        <f>IFERROR(__xludf.DUMMYFUNCTION("""COMPUTED_VALUE"""),"133411;INF192K01HZ7;-;JM Equity Hybrid Fund (Direct) - Quarterly Bonus Option - Principal Units;96.2599;25-Aug-2023")</f>
        <v>133411;INF192K01HZ7;-;JM Equity Hybrid Fund (Direct) - Quarterly Bonus Option - Principal Units;96.2599;25-Aug-2023</v>
      </c>
      <c r="B7162" s="1"/>
    </row>
    <row r="7163">
      <c r="A7163" s="1" t="str">
        <f>IFERROR(__xludf.DUMMYFUNCTION("""COMPUTED_VALUE"""),"133406;INF192K01HR4;INF192K01HS2;JM Equity Hybrid Fund (Direct) - Quarterly IDCW;23.7957;25-Aug-2023")</f>
        <v>133406;INF192K01HR4;INF192K01HS2;JM Equity Hybrid Fund (Direct) - Quarterly IDCW;23.7957;25-Aug-2023</v>
      </c>
      <c r="B7163" s="1"/>
    </row>
    <row r="7164">
      <c r="A7164" s="1" t="str">
        <f>IFERROR(__xludf.DUMMYFUNCTION("""COMPUTED_VALUE"""),"133407;INF192K01GZ9;-;JM Equity Hybrid Fund (Regular) - Annual Bonus Option - Principal Units;87.3200;25-Aug-2023")</f>
        <v>133407;INF192K01GZ9;-;JM Equity Hybrid Fund (Regular) - Annual Bonus Option - Principal Units;87.3200;25-Aug-2023</v>
      </c>
      <c r="B7164" s="1"/>
    </row>
    <row r="7165">
      <c r="A7165" s="1" t="str">
        <f>IFERROR(__xludf.DUMMYFUNCTION("""COMPUTED_VALUE"""),"131476;INF192K01HF9;INF192K01HG7;JM Equity Hybrid Fund (Regular) - Annual IDCW;23.5964;25-Aug-2023")</f>
        <v>131476;INF192K01HF9;INF192K01HG7;JM Equity Hybrid Fund (Regular) - Annual IDCW;23.5964;25-Aug-2023</v>
      </c>
      <c r="B7165" s="1"/>
    </row>
    <row r="7166">
      <c r="A7166" s="1" t="str">
        <f>IFERROR(__xludf.DUMMYFUNCTION("""COMPUTED_VALUE"""),"133400;INF192K01GN5;-;JM Equity Hybrid Fund (Regular) - Bonus Option - Principal Units;87.3200;25-Aug-2023")</f>
        <v>133400;INF192K01GN5;-;JM Equity Hybrid Fund (Regular) - Bonus Option - Principal Units;87.3200;25-Aug-2023</v>
      </c>
      <c r="B7166" s="1"/>
    </row>
    <row r="7167">
      <c r="A7167" s="1" t="str">
        <f>IFERROR(__xludf.DUMMYFUNCTION("""COMPUTED_VALUE"""),"133403;INF192K01HT0;-;JM Equity Hybrid Fund (Regular) - Half Yearly Bonus Option - Principal Units;87.3200;25-Aug-2023")</f>
        <v>133403;INF192K01HT0;-;JM Equity Hybrid Fund (Regular) - Half Yearly Bonus Option - Principal Units;87.3200;25-Aug-2023</v>
      </c>
      <c r="B7167" s="1"/>
    </row>
    <row r="7168">
      <c r="A7168" s="1" t="str">
        <f>IFERROR(__xludf.DUMMYFUNCTION("""COMPUTED_VALUE"""),"133408;INF192K01HD4;INF192K01HE2;JM Equity Hybrid Fund (Regular) - Half Yearly IDCW ;62.0166;25-Aug-2023")</f>
        <v>133408;INF192K01HD4;INF192K01HE2;JM Equity Hybrid Fund (Regular) - Half Yearly IDCW ;62.0166;25-Aug-2023</v>
      </c>
      <c r="B7168" s="1"/>
    </row>
    <row r="7169">
      <c r="A7169" s="1" t="str">
        <f>IFERROR(__xludf.DUMMYFUNCTION("""COMPUTED_VALUE"""),"100220;INF192K01528;INF192K01536;JM Equity Hybrid Fund (Regular) - IDCW ;23.7652;25-Aug-2023")</f>
        <v>100220;INF192K01528;INF192K01536;JM Equity Hybrid Fund (Regular) - IDCW ;23.7652;25-Aug-2023</v>
      </c>
      <c r="B7169" s="1"/>
    </row>
    <row r="7170">
      <c r="A7170" s="1" t="str">
        <f>IFERROR(__xludf.DUMMYFUNCTION("""COMPUTED_VALUE"""),"133404;INF192K01HL7;INF192K01HM5;JM Equity Hybrid Fund (Regular) - Monthly IDCW;61.5238;25-Aug-2023")</f>
        <v>133404;INF192K01HL7;INF192K01HM5;JM Equity Hybrid Fund (Regular) - Monthly IDCW;61.5238;25-Aug-2023</v>
      </c>
      <c r="B7170" s="1"/>
    </row>
    <row r="7171">
      <c r="A7171" s="1" t="str">
        <f>IFERROR(__xludf.DUMMYFUNCTION("""COMPUTED_VALUE"""),"133410;INF192K01HX2;-;JM Equity Hybrid Fund (Regular) - Quarterly Bonus Option - Principal Units;87.3200;25-Aug-2023")</f>
        <v>133410;INF192K01HX2;-;JM Equity Hybrid Fund (Regular) - Quarterly Bonus Option - Principal Units;87.3200;25-Aug-2023</v>
      </c>
      <c r="B7171" s="1"/>
    </row>
    <row r="7172">
      <c r="A7172" s="1" t="str">
        <f>IFERROR(__xludf.DUMMYFUNCTION("""COMPUTED_VALUE"""),"133405;INF192K01HP8;INF192K01HQ6;JM Equity Hybrid Fund (Regular) - Quarterly IDCW;21.9594;25-Aug-2023")</f>
        <v>133405;INF192K01HP8;INF192K01HQ6;JM Equity Hybrid Fund (Regular) - Quarterly IDCW;21.9594;25-Aug-2023</v>
      </c>
      <c r="B7172" s="1"/>
    </row>
    <row r="7173">
      <c r="A7173" s="1" t="str">
        <f>IFERROR(__xludf.DUMMYFUNCTION("""COMPUTED_VALUE"""),"100221;INF192K01544;-;JM Equity Hybrid Fund (Regular) -Growth Option;84.9673;25-Aug-2023")</f>
        <v>100221;INF192K01544;-;JM Equity Hybrid Fund (Regular) -Growth Option;84.9673;25-Aug-2023</v>
      </c>
      <c r="B7173" s="1"/>
    </row>
    <row r="7174">
      <c r="A7174" s="1"/>
      <c r="B7174" s="1"/>
    </row>
    <row r="7175">
      <c r="A7175" s="1" t="str">
        <f>IFERROR(__xludf.DUMMYFUNCTION("""COMPUTED_VALUE"""),"Kotak Mahindra Mutual Fund")</f>
        <v>Kotak Mahindra Mutual Fund</v>
      </c>
      <c r="B7175" s="1"/>
    </row>
    <row r="7176">
      <c r="A7176" s="1"/>
      <c r="B7176" s="1"/>
    </row>
    <row r="7177">
      <c r="A7177" s="1" t="str">
        <f>IFERROR(__xludf.DUMMYFUNCTION("""COMPUTED_VALUE"""),"133036;INF174K01E92;-;Kotak Equity Hybrid - Growth;45.901;25-Aug-2023")</f>
        <v>133036;INF174K01E92;-;Kotak Equity Hybrid - Growth;45.901;25-Aug-2023</v>
      </c>
      <c r="B7177" s="1"/>
    </row>
    <row r="7178">
      <c r="A7178" s="1" t="str">
        <f>IFERROR(__xludf.DUMMYFUNCTION("""COMPUTED_VALUE"""),"133035;INF174K01F00;-;Kotak Equity Hybrid - Growth - Direct;52.565;25-Aug-2023")</f>
        <v>133035;INF174K01F00;-;Kotak Equity Hybrid - Growth - Direct;52.565;25-Aug-2023</v>
      </c>
      <c r="B7178" s="1"/>
    </row>
    <row r="7179">
      <c r="A7179" s="1" t="str">
        <f>IFERROR(__xludf.DUMMYFUNCTION("""COMPUTED_VALUE"""),"119767;INF174K01LL7;INF174K01LM5;Kotak Equity Hybrid - Payout of Income Distribution cum  capital withdrawal option - Direct;32.223;25-Aug-2023")</f>
        <v>119767;INF174K01LL7;INF174K01LM5;Kotak Equity Hybrid - Payout of Income Distribution cum  capital withdrawal option - Direct;32.223;25-Aug-2023</v>
      </c>
      <c r="B7179" s="1"/>
    </row>
    <row r="7180">
      <c r="A7180" s="1" t="str">
        <f>IFERROR(__xludf.DUMMYFUNCTION("""COMPUTED_VALUE"""),"100286;INF174K01450;INF174K01443;Kotak Equity Hybrid - Payout of Income Distribution cum capital withdrawal option;26.976;25-Aug-2023")</f>
        <v>100286;INF174K01450;INF174K01443;Kotak Equity Hybrid - Payout of Income Distribution cum capital withdrawal option;26.976;25-Aug-2023</v>
      </c>
      <c r="B7180" s="1"/>
    </row>
    <row r="7181">
      <c r="A7181" s="1"/>
      <c r="B7181" s="1"/>
    </row>
    <row r="7182">
      <c r="A7182" s="1" t="str">
        <f>IFERROR(__xludf.DUMMYFUNCTION("""COMPUTED_VALUE"""),"LIC Mutual Fund")</f>
        <v>LIC Mutual Fund</v>
      </c>
      <c r="B7182" s="1"/>
    </row>
    <row r="7183">
      <c r="A7183" s="1"/>
      <c r="B7183" s="1"/>
    </row>
    <row r="7184">
      <c r="A7184" s="1" t="str">
        <f>IFERROR(__xludf.DUMMYFUNCTION("""COMPUTED_VALUE"""),"120261;INF767K01ED0;-;LIC MF Aggressive Hybrid Fund-Direct Plan-Growth;165.1678;25-Aug-2023")</f>
        <v>120261;INF767K01ED0;-;LIC MF Aggressive Hybrid Fund-Direct Plan-Growth;165.1678;25-Aug-2023</v>
      </c>
      <c r="B7184" s="1"/>
    </row>
    <row r="7185">
      <c r="A7185" s="1" t="str">
        <f>IFERROR(__xludf.DUMMYFUNCTION("""COMPUTED_VALUE"""),"120260;INF767K01EC2;INF767K01EE8;LIC MF Aggressive Hybrid Fund-Direct Plan-IDCW;16.4942;25-Aug-2023")</f>
        <v>120260;INF767K01EC2;INF767K01EE8;LIC MF Aggressive Hybrid Fund-Direct Plan-IDCW;16.4942;25-Aug-2023</v>
      </c>
      <c r="B7185" s="1"/>
    </row>
    <row r="7186">
      <c r="A7186" s="1" t="str">
        <f>IFERROR(__xludf.DUMMYFUNCTION("""COMPUTED_VALUE"""),"100323;INF767K01030;-;LIC MF Aggressive Hybrid Fund-Regular Plan-Growth;148.4908;25-Aug-2023")</f>
        <v>100323;INF767K01030;-;LIC MF Aggressive Hybrid Fund-Regular Plan-Growth;148.4908;25-Aug-2023</v>
      </c>
      <c r="B7186" s="1"/>
    </row>
    <row r="7187">
      <c r="A7187" s="1" t="str">
        <f>IFERROR(__xludf.DUMMYFUNCTION("""COMPUTED_VALUE"""),"100321;INF767K01022;INF767K01014;LIC MF Aggressive Hybrid Fund-Regular Plan-IDCW;14.1996;25-Aug-2023")</f>
        <v>100321;INF767K01022;INF767K01014;LIC MF Aggressive Hybrid Fund-Regular Plan-IDCW;14.1996;25-Aug-2023</v>
      </c>
      <c r="B7187" s="1"/>
    </row>
    <row r="7188">
      <c r="A7188" s="1"/>
      <c r="B7188" s="1"/>
    </row>
    <row r="7189">
      <c r="A7189" s="1" t="str">
        <f>IFERROR(__xludf.DUMMYFUNCTION("""COMPUTED_VALUE"""),"Mahindra Manulife Mutual Fund")</f>
        <v>Mahindra Manulife Mutual Fund</v>
      </c>
      <c r="B7189" s="1"/>
    </row>
    <row r="7190">
      <c r="A7190" s="1"/>
      <c r="B7190" s="1"/>
    </row>
    <row r="7191">
      <c r="A7191" s="1" t="str">
        <f>IFERROR(__xludf.DUMMYFUNCTION("""COMPUTED_VALUE"""),"147448;INF174V01804;INF174V01796;Mahindra Manulife Aggressive Hybrid Fund - Direct Plan - IDCW;17.2575;25-Aug-2023")</f>
        <v>147448;INF174V01804;INF174V01796;Mahindra Manulife Aggressive Hybrid Fund - Direct Plan - IDCW;17.2575;25-Aug-2023</v>
      </c>
      <c r="B7191" s="1"/>
    </row>
    <row r="7192">
      <c r="A7192" s="1" t="str">
        <f>IFERROR(__xludf.DUMMYFUNCTION("""COMPUTED_VALUE"""),"147446;INF174V01788;-;Mahindra Manulife Aggressive Hybrid Fund - Direct Plan -Growth;21.0121;25-Aug-2023")</f>
        <v>147446;INF174V01788;-;Mahindra Manulife Aggressive Hybrid Fund - Direct Plan -Growth;21.0121;25-Aug-2023</v>
      </c>
      <c r="B7192" s="1"/>
    </row>
    <row r="7193">
      <c r="A7193" s="1" t="str">
        <f>IFERROR(__xludf.DUMMYFUNCTION("""COMPUTED_VALUE"""),"147447;INF174V01754;-;Mahindra Manulife Aggressive Hybrid Fund - Regular Plan - Growth;19.4465;25-Aug-2023")</f>
        <v>147447;INF174V01754;-;Mahindra Manulife Aggressive Hybrid Fund - Regular Plan - Growth;19.4465;25-Aug-2023</v>
      </c>
      <c r="B7193" s="1"/>
    </row>
    <row r="7194">
      <c r="A7194" s="1" t="str">
        <f>IFERROR(__xludf.DUMMYFUNCTION("""COMPUTED_VALUE"""),"147449;INF174V01770;INF174V01762;Mahindra Manulife Aggressive Hybrid Fund - Regular Plan - IDCW;15.7935;25-Aug-2023")</f>
        <v>147449;INF174V01770;INF174V01762;Mahindra Manulife Aggressive Hybrid Fund - Regular Plan - IDCW;15.7935;25-Aug-2023</v>
      </c>
      <c r="B7194" s="1"/>
    </row>
    <row r="7195">
      <c r="A7195" s="1"/>
      <c r="B7195" s="1"/>
    </row>
    <row r="7196">
      <c r="A7196" s="1" t="str">
        <f>IFERROR(__xludf.DUMMYFUNCTION("""COMPUTED_VALUE"""),"Mirae Asset Mutual Fund")</f>
        <v>Mirae Asset Mutual Fund</v>
      </c>
      <c r="B7196" s="1"/>
    </row>
    <row r="7197">
      <c r="A7197" s="1"/>
      <c r="B7197" s="1"/>
    </row>
    <row r="7198">
      <c r="A7198" s="1" t="str">
        <f>IFERROR(__xludf.DUMMYFUNCTION("""COMPUTED_VALUE"""),"134814;INF769K01DI7;INF769K01DJ5;Mirae Asset Hybrid   Equity Fund Direct IDCW;18.731;25-Aug-2023")</f>
        <v>134814;INF769K01DI7;INF769K01DJ5;Mirae Asset Hybrid   Equity Fund Direct IDCW;18.731;25-Aug-2023</v>
      </c>
      <c r="B7198" s="1"/>
    </row>
    <row r="7199">
      <c r="A7199" s="1" t="str">
        <f>IFERROR(__xludf.DUMMYFUNCTION("""COMPUTED_VALUE"""),"134816;INF769K01DF3;INF769K01DG1;Mirae Asset Hybrid   Equity Fund Regular IDCW;15.765;25-Aug-2023")</f>
        <v>134816;INF769K01DF3;INF769K01DG1;Mirae Asset Hybrid   Equity Fund Regular IDCW;15.765;25-Aug-2023</v>
      </c>
      <c r="B7199" s="1"/>
    </row>
    <row r="7200">
      <c r="A7200" s="1" t="str">
        <f>IFERROR(__xludf.DUMMYFUNCTION("""COMPUTED_VALUE"""),"134813;INF769K01DH9;-;Mirae Asset Hybrid-Equity Fund -Direct Plan-Growth;28.049;25-Aug-2023")</f>
        <v>134813;INF769K01DH9;-;Mirae Asset Hybrid-Equity Fund -Direct Plan-Growth;28.049;25-Aug-2023</v>
      </c>
      <c r="B7200" s="1"/>
    </row>
    <row r="7201">
      <c r="A7201" s="1" t="str">
        <f>IFERROR(__xludf.DUMMYFUNCTION("""COMPUTED_VALUE"""),"134815;INF769K01DE6;-;Mirae Asset Hybrid-Equity Fund -Regular Plan-Growth;24.657;25-Aug-2023")</f>
        <v>134815;INF769K01DE6;-;Mirae Asset Hybrid-Equity Fund -Regular Plan-Growth;24.657;25-Aug-2023</v>
      </c>
      <c r="B7201" s="1"/>
    </row>
    <row r="7202">
      <c r="A7202" s="1"/>
      <c r="B7202" s="1"/>
    </row>
    <row r="7203">
      <c r="A7203" s="1" t="str">
        <f>IFERROR(__xludf.DUMMYFUNCTION("""COMPUTED_VALUE"""),"Motilal Oswal Mutual Fund")</f>
        <v>Motilal Oswal Mutual Fund</v>
      </c>
      <c r="B7203" s="1"/>
    </row>
    <row r="7204">
      <c r="A7204" s="1"/>
      <c r="B7204" s="1"/>
    </row>
    <row r="7205">
      <c r="A7205" s="1" t="str">
        <f>IFERROR(__xludf.DUMMYFUNCTION("""COMPUTED_VALUE"""),"144681;INF247L01692;-;Motilal Oswal Equity Hybrid Fund (MOFEH) - Direct Plan Growth Option;18.3291;25-Aug-2023")</f>
        <v>144681;INF247L01692;-;Motilal Oswal Equity Hybrid Fund (MOFEH) - Direct Plan Growth Option;18.3291;25-Aug-2023</v>
      </c>
      <c r="B7205" s="1"/>
    </row>
    <row r="7206">
      <c r="A7206" s="1" t="str">
        <f>IFERROR(__xludf.DUMMYFUNCTION("""COMPUTED_VALUE"""),"144730;INF247L01684;-;Motilal Oswal Equity Hybrid Fund (MOFEH) - Regular Plan Growth Option;16.9502;25-Aug-2023")</f>
        <v>144730;INF247L01684;-;Motilal Oswal Equity Hybrid Fund (MOFEH) - Regular Plan Growth Option;16.9502;25-Aug-2023</v>
      </c>
      <c r="B7206" s="1"/>
    </row>
    <row r="7207">
      <c r="A7207" s="1"/>
      <c r="B7207" s="1"/>
    </row>
    <row r="7208">
      <c r="A7208" s="1" t="str">
        <f>IFERROR(__xludf.DUMMYFUNCTION("""COMPUTED_VALUE"""),"Navi Mutual Fund")</f>
        <v>Navi Mutual Fund</v>
      </c>
      <c r="B7208" s="1"/>
    </row>
    <row r="7209">
      <c r="A7209" s="1"/>
      <c r="B7209" s="1"/>
    </row>
    <row r="7210">
      <c r="A7210" s="1" t="str">
        <f>IFERROR(__xludf.DUMMYFUNCTION("""COMPUTED_VALUE"""),"143163;INF959L01CX3;-;Navi Equity Hybrid Fund - Direct Plan - Growth;17.8108;25-Aug-2023")</f>
        <v>143163;INF959L01CX3;-;Navi Equity Hybrid Fund - Direct Plan - Growth;17.8108;25-Aug-2023</v>
      </c>
      <c r="B7210" s="1"/>
    </row>
    <row r="7211">
      <c r="A7211" s="1" t="str">
        <f>IFERROR(__xludf.DUMMYFUNCTION("""COMPUTED_VALUE"""),"143195;INF959L01DG6;INF959L01DH4;Navi Equity Hybrid Fund - Direct Plan Annual IDCW;17.7436;25-Aug-2023")</f>
        <v>143195;INF959L01DG6;INF959L01DH4;Navi Equity Hybrid Fund - Direct Plan Annual IDCW;17.7436;25-Aug-2023</v>
      </c>
      <c r="B7211" s="1"/>
    </row>
    <row r="7212">
      <c r="A7212" s="1" t="str">
        <f>IFERROR(__xludf.DUMMYFUNCTION("""COMPUTED_VALUE"""),"143186;INF959L01DE1;INF959L01DF8;Navi Equity Hybrid Fund - Direct Plan Half Yearly IDCW;17.7415;25-Aug-2023")</f>
        <v>143186;INF959L01DE1;INF959L01DF8;Navi Equity Hybrid Fund - Direct Plan Half Yearly IDCW;17.7415;25-Aug-2023</v>
      </c>
      <c r="B7212" s="1"/>
    </row>
    <row r="7213">
      <c r="A7213" s="1" t="str">
        <f>IFERROR(__xludf.DUMMYFUNCTION("""COMPUTED_VALUE"""),"143192;INF959L01DA9;INF959L01DB7;Navi Equity Hybrid Fund - Direct Plan Monthly IDCW;17.7403;25-Aug-2023")</f>
        <v>143192;INF959L01DA9;INF959L01DB7;Navi Equity Hybrid Fund - Direct Plan Monthly IDCW;17.7403;25-Aug-2023</v>
      </c>
      <c r="B7213" s="1"/>
    </row>
    <row r="7214">
      <c r="A7214" s="1" t="str">
        <f>IFERROR(__xludf.DUMMYFUNCTION("""COMPUTED_VALUE"""),"143167;INF959L01CY1;INF959L01CZ8;Navi Equity Hybrid Fund - Direct Plan Normal IDCW;17.7411;25-Aug-2023")</f>
        <v>143167;INF959L01CY1;INF959L01CZ8;Navi Equity Hybrid Fund - Direct Plan Normal IDCW;17.7411;25-Aug-2023</v>
      </c>
      <c r="B7214" s="1"/>
    </row>
    <row r="7215">
      <c r="A7215" s="1" t="str">
        <f>IFERROR(__xludf.DUMMYFUNCTION("""COMPUTED_VALUE"""),"143185;INF959L01DC5;INF959L01DD3;Navi Equity Hybrid Fund - Direct Plan Quarterly IDCW;17.7409;25-Aug-2023")</f>
        <v>143185;INF959L01DC5;INF959L01DD3;Navi Equity Hybrid Fund - Direct Plan Quarterly IDCW;17.7409;25-Aug-2023</v>
      </c>
      <c r="B7215" s="1"/>
    </row>
    <row r="7216">
      <c r="A7216" s="1" t="str">
        <f>IFERROR(__xludf.DUMMYFUNCTION("""COMPUTED_VALUE"""),"143162;INF959L01DI2;-;Navi Equity Hybrid Fund - Regular Plan - Growth;16.1977;25-Aug-2023")</f>
        <v>143162;INF959L01DI2;-;Navi Equity Hybrid Fund - Regular Plan - Growth;16.1977;25-Aug-2023</v>
      </c>
      <c r="B7216" s="1"/>
    </row>
    <row r="7217">
      <c r="A7217" s="1" t="str">
        <f>IFERROR(__xludf.DUMMYFUNCTION("""COMPUTED_VALUE"""),"143198;INF959L01DR3;INF959L01DS1;Navi Equity Hybrid Fund - Regular Plan Annual IDCW;16.1955;25-Aug-2023")</f>
        <v>143198;INF959L01DR3;INF959L01DS1;Navi Equity Hybrid Fund - Regular Plan Annual IDCW;16.1955;25-Aug-2023</v>
      </c>
      <c r="B7217" s="1"/>
    </row>
    <row r="7218">
      <c r="A7218" s="1" t="str">
        <f>IFERROR(__xludf.DUMMYFUNCTION("""COMPUTED_VALUE"""),"143189;INF959L01DP7;INF959L01DQ5;Navi Equity Hybrid Fund - Regular Plan Half Yearly IDCW;16.1986;25-Aug-2023")</f>
        <v>143189;INF959L01DP7;INF959L01DQ5;Navi Equity Hybrid Fund - Regular Plan Half Yearly IDCW;16.1986;25-Aug-2023</v>
      </c>
      <c r="B7218" s="1"/>
    </row>
    <row r="7219">
      <c r="A7219" s="1" t="str">
        <f>IFERROR(__xludf.DUMMYFUNCTION("""COMPUTED_VALUE"""),"143197;INF959L01DL6;INF959L01DM4;Navi Equity Hybrid Fund - Regular Plan Monthly IDCW;16.1971;25-Aug-2023")</f>
        <v>143197;INF959L01DL6;INF959L01DM4;Navi Equity Hybrid Fund - Regular Plan Monthly IDCW;16.1971;25-Aug-2023</v>
      </c>
      <c r="B7219" s="1"/>
    </row>
    <row r="7220">
      <c r="A7220" s="1" t="str">
        <f>IFERROR(__xludf.DUMMYFUNCTION("""COMPUTED_VALUE"""),"143166;INF959L01DJ0;INF959L01DK8;Navi Equity Hybrid Fund - Regular Plan Normal IDCW;16.1984;25-Aug-2023")</f>
        <v>143166;INF959L01DJ0;INF959L01DK8;Navi Equity Hybrid Fund - Regular Plan Normal IDCW;16.1984;25-Aug-2023</v>
      </c>
      <c r="B7220" s="1"/>
    </row>
    <row r="7221">
      <c r="A7221" s="1" t="str">
        <f>IFERROR(__xludf.DUMMYFUNCTION("""COMPUTED_VALUE"""),"143199;INF959L01DN2;INF959L01DO0;Navi Equity Hybrid Fund - Regular Plan Quarterly IDCW;16.1976;25-Aug-2023")</f>
        <v>143199;INF959L01DN2;INF959L01DO0;Navi Equity Hybrid Fund - Regular Plan Quarterly IDCW;16.1976;25-Aug-2023</v>
      </c>
      <c r="B7221" s="1"/>
    </row>
    <row r="7222">
      <c r="A7222" s="1"/>
      <c r="B7222" s="1"/>
    </row>
    <row r="7223">
      <c r="A7223" s="1" t="str">
        <f>IFERROR(__xludf.DUMMYFUNCTION("""COMPUTED_VALUE"""),"Nippon India Mutual Fund")</f>
        <v>Nippon India Mutual Fund</v>
      </c>
      <c r="B7223" s="1"/>
    </row>
    <row r="7224">
      <c r="A7224" s="1"/>
      <c r="B7224" s="1"/>
    </row>
    <row r="7225">
      <c r="A7225" s="1" t="str">
        <f>IFERROR(__xludf.DUMMYFUNCTION("""COMPUTED_VALUE"""),"118794;INF204K01B08;-;Nippon India Equity Hybrid Fund  - Direct Plan Growth Plan;86.6431;25-Aug-2023")</f>
        <v>118794;INF204K01B08;-;Nippon India Equity Hybrid Fund  - Direct Plan Growth Plan;86.6431;25-Aug-2023</v>
      </c>
      <c r="B7225" s="1"/>
    </row>
    <row r="7226">
      <c r="A7226" s="1" t="str">
        <f>IFERROR(__xludf.DUMMYFUNCTION("""COMPUTED_VALUE"""),"147690;INF204KB19F7;INF204KB10G4;NIPPON INDIA EQUITY HYBRID FUND -  SEGREGATED PORTFOLIO 1 - Direct Plan - IDCW Option;0.0206;25-Aug-2023")</f>
        <v>147690;INF204KB19F7;INF204KB10G4;NIPPON INDIA EQUITY HYBRID FUND -  SEGREGATED PORTFOLIO 1 - Direct Plan - IDCW Option;0.0206;25-Aug-2023</v>
      </c>
      <c r="B7226" s="1"/>
    </row>
    <row r="7227">
      <c r="A7227" s="1" t="str">
        <f>IFERROR(__xludf.DUMMYFUNCTION("""COMPUTED_VALUE"""),"147684;INF204KB11G2;INF204KB12G0;NIPPON INDIA EQUITY HYBRID FUND -  SEGREGATED PORTFOLIO 1 - Direct Plan - MONTHLY IDCW Option;0.0104;25-Aug-2023")</f>
        <v>147684;INF204KB11G2;INF204KB12G0;NIPPON INDIA EQUITY HYBRID FUND -  SEGREGATED PORTFOLIO 1 - Direct Plan - MONTHLY IDCW Option;0.0104;25-Aug-2023</v>
      </c>
      <c r="B7227" s="1"/>
    </row>
    <row r="7228">
      <c r="A7228" s="1" t="str">
        <f>IFERROR(__xludf.DUMMYFUNCTION("""COMPUTED_VALUE"""),"147683;INF204KB17F1;INF204KB18F9;NIPPON INDIA EQUITY HYBRID FUND -  SEGREGATED PORTFOLIO 1 - Direct Plan - QUARTERLY IDCW Option;0.0142;25-Aug-2023")</f>
        <v>147683;INF204KB17F1;INF204KB18F9;NIPPON INDIA EQUITY HYBRID FUND -  SEGREGATED PORTFOLIO 1 - Direct Plan - QUARTERLY IDCW Option;0.0142;25-Aug-2023</v>
      </c>
      <c r="B7228" s="1"/>
    </row>
    <row r="7229">
      <c r="A7229" s="1" t="str">
        <f>IFERROR(__xludf.DUMMYFUNCTION("""COMPUTED_VALUE"""),"147686;INF204KB16G1;INF204KB17G9;NIPPON INDIA EQUITY HYBRID FUND -  SEGREGATED PORTFOLIO 1 - IDCW Option;0.0159;25-Aug-2023")</f>
        <v>147686;INF204KB16G1;INF204KB17G9;NIPPON INDIA EQUITY HYBRID FUND -  SEGREGATED PORTFOLIO 1 - IDCW Option;0.0159;25-Aug-2023</v>
      </c>
      <c r="B7229" s="1"/>
    </row>
    <row r="7230">
      <c r="A7230" s="1" t="str">
        <f>IFERROR(__xludf.DUMMYFUNCTION("""COMPUTED_VALUE"""),"147687;INF204KB18G7;INF204KB19G5;NIPPON INDIA EQUITY HYBRID FUND -  SEGREGATED PORTFOLIO 1 - MONTHLY IDCW Option;0.0099;25-Aug-2023")</f>
        <v>147687;INF204KB18G7;INF204KB19G5;NIPPON INDIA EQUITY HYBRID FUND -  SEGREGATED PORTFOLIO 1 - MONTHLY IDCW Option;0.0099;25-Aug-2023</v>
      </c>
      <c r="B7230" s="1"/>
    </row>
    <row r="7231">
      <c r="A7231" s="1" t="str">
        <f>IFERROR(__xludf.DUMMYFUNCTION("""COMPUTED_VALUE"""),"147688;INF204KB14G6;INF204KB15G3;NIPPON INDIA EQUITY HYBRID FUND -  SEGREGATED PORTFOLIO 1 - QUARTERLY IDCW Option;0.0137;25-Aug-2023")</f>
        <v>147688;INF204KB14G6;INF204KB15G3;NIPPON INDIA EQUITY HYBRID FUND -  SEGREGATED PORTFOLIO 1 - QUARTERLY IDCW Option;0.0137;25-Aug-2023</v>
      </c>
      <c r="B7231" s="1"/>
    </row>
    <row r="7232">
      <c r="A7232" s="1" t="str">
        <f>IFERROR(__xludf.DUMMYFUNCTION("""COMPUTED_VALUE"""),"148266;INF204KB16T4;INF204KB17T2;NIPPON INDIA EQUITY HYBRID FUND -  SEGREGATED PORTFOLIO 2 - DIRECT Plan - IDCW Option;0.0000;25-Aug-2023")</f>
        <v>148266;INF204KB16T4;INF204KB17T2;NIPPON INDIA EQUITY HYBRID FUND -  SEGREGATED PORTFOLIO 2 - DIRECT Plan - IDCW Option;0.0000;25-Aug-2023</v>
      </c>
      <c r="B7232" s="1"/>
    </row>
    <row r="7233">
      <c r="A7233" s="1" t="str">
        <f>IFERROR(__xludf.DUMMYFUNCTION("""COMPUTED_VALUE"""),"148267;INF204KB18T0;INF204KB19T8;NIPPON INDIA EQUITY HYBRID FUND -  SEGREGATED PORTFOLIO 2 - DIRECT Plan - MONTHLY IDCW Option;0.0000;25-Aug-2023")</f>
        <v>148267;INF204KB18T0;INF204KB19T8;NIPPON INDIA EQUITY HYBRID FUND -  SEGREGATED PORTFOLIO 2 - DIRECT Plan - MONTHLY IDCW Option;0.0000;25-Aug-2023</v>
      </c>
      <c r="B7233" s="1"/>
    </row>
    <row r="7234">
      <c r="A7234" s="1" t="str">
        <f>IFERROR(__xludf.DUMMYFUNCTION("""COMPUTED_VALUE"""),"148270;INF204KB14T9;INF204KB15T6;NIPPON INDIA EQUITY HYBRID FUND -  SEGREGATED PORTFOLIO 2 - DIRECT Plan - QUARTERLY IDCW Option;0.0000;25-Aug-2023")</f>
        <v>148270;INF204KB14T9;INF204KB15T6;NIPPON INDIA EQUITY HYBRID FUND -  SEGREGATED PORTFOLIO 2 - DIRECT Plan - QUARTERLY IDCW Option;0.0000;25-Aug-2023</v>
      </c>
      <c r="B7234" s="1"/>
    </row>
    <row r="7235">
      <c r="A7235" s="1" t="str">
        <f>IFERROR(__xludf.DUMMYFUNCTION("""COMPUTED_VALUE"""),"148272;INF204KB13U9;INF204KB14U7;NIPPON INDIA EQUITY HYBRID FUND -  SEGREGATED PORTFOLIO 2 - IDCW Option;0.0000;25-Aug-2023")</f>
        <v>148272;INF204KB13U9;INF204KB14U7;NIPPON INDIA EQUITY HYBRID FUND -  SEGREGATED PORTFOLIO 2 - IDCW Option;0.0000;25-Aug-2023</v>
      </c>
      <c r="B7235" s="1"/>
    </row>
    <row r="7236">
      <c r="A7236" s="1" t="str">
        <f>IFERROR(__xludf.DUMMYFUNCTION("""COMPUTED_VALUE"""),"148268;INF204KB15U4;INF204KB16U2;NIPPON INDIA EQUITY HYBRID FUND -  SEGREGATED PORTFOLIO 2 - MONTHLY IDCW Option;0.0000;25-Aug-2023")</f>
        <v>148268;INF204KB15U4;INF204KB16U2;NIPPON INDIA EQUITY HYBRID FUND -  SEGREGATED PORTFOLIO 2 - MONTHLY IDCW Option;0.0000;25-Aug-2023</v>
      </c>
      <c r="B7236" s="1"/>
    </row>
    <row r="7237">
      <c r="A7237" s="1" t="str">
        <f>IFERROR(__xludf.DUMMYFUNCTION("""COMPUTED_VALUE"""),"148269;INF204KB11U3;INF204KB12U1;NIPPON INDIA EQUITY HYBRID FUND -  SEGREGATED PORTFOLIO 2 - QUARTERLY IDCW Option;0.0000;25-Aug-2023")</f>
        <v>148269;INF204KB11U3;INF204KB12U1;NIPPON INDIA EQUITY HYBRID FUND -  SEGREGATED PORTFOLIO 2 - QUARTERLY IDCW Option;0.0000;25-Aug-2023</v>
      </c>
      <c r="B7237" s="1"/>
    </row>
    <row r="7238">
      <c r="A7238" s="1" t="str">
        <f>IFERROR(__xludf.DUMMYFUNCTION("""COMPUTED_VALUE"""),"118793;INF204K01B16;INF204K01B24;NIPPON INDIA EQUITY HYBRID FUND - DIRECT Plan - IDCW Option;30.6390;25-Aug-2023")</f>
        <v>118793;INF204K01B16;INF204K01B24;NIPPON INDIA EQUITY HYBRID FUND - DIRECT Plan - IDCW Option;30.6390;25-Aug-2023</v>
      </c>
      <c r="B7238" s="1"/>
    </row>
    <row r="7239">
      <c r="A7239" s="1" t="str">
        <f>IFERROR(__xludf.DUMMYFUNCTION("""COMPUTED_VALUE"""),"139679;INF204KB1BD7;INF204KB1BE5;NIPPON INDIA EQUITY HYBRID FUND - DIRECT Plan - MONTHLY IDCW Option;15.1548;25-Aug-2023")</f>
        <v>139679;INF204KB1BD7;INF204KB1BE5;NIPPON INDIA EQUITY HYBRID FUND - DIRECT Plan - MONTHLY IDCW Option;15.1548;25-Aug-2023</v>
      </c>
      <c r="B7239" s="1"/>
    </row>
    <row r="7240">
      <c r="A7240" s="1" t="str">
        <f>IFERROR(__xludf.DUMMYFUNCTION("""COMPUTED_VALUE"""),"122766;INF204K011R2;INF204K012R0;NIPPON INDIA EQUITY HYBRID FUND - DIRECT Plan - QUARTERLY IDCW Option;20.9338;25-Aug-2023")</f>
        <v>122766;INF204K011R2;INF204K012R0;NIPPON INDIA EQUITY HYBRID FUND - DIRECT Plan - QUARTERLY IDCW Option;20.9338;25-Aug-2023</v>
      </c>
      <c r="B7240" s="1"/>
    </row>
    <row r="7241">
      <c r="A7241" s="1" t="str">
        <f>IFERROR(__xludf.DUMMYFUNCTION("""COMPUTED_VALUE"""),"112936;INF204K01FW1;-;Nippon India Equity Hybrid Fund - Growth Plan;78.0739;25-Aug-2023")</f>
        <v>112936;INF204K01FW1;-;Nippon India Equity Hybrid Fund - Growth Plan;78.0739;25-Aug-2023</v>
      </c>
      <c r="B7241" s="1"/>
    </row>
    <row r="7242">
      <c r="A7242" s="1" t="str">
        <f>IFERROR(__xludf.DUMMYFUNCTION("""COMPUTED_VALUE"""),"112937;INF204K01FX9;INF204K01FY7;NIPPON INDIA EQUITY HYBRID FUND - IDCW Option;22.5529;25-Aug-2023")</f>
        <v>112937;INF204K01FX9;INF204K01FY7;NIPPON INDIA EQUITY HYBRID FUND - IDCW Option;22.5529;25-Aug-2023</v>
      </c>
      <c r="B7242" s="1"/>
    </row>
    <row r="7243">
      <c r="A7243" s="1" t="str">
        <f>IFERROR(__xludf.DUMMYFUNCTION("""COMPUTED_VALUE"""),"139680;INF204KB1BF2;INF204KB1BG0;NIPPON INDIA EQUITY HYBRID FUND - MONTHLY IDCW Option;13.9981;25-Aug-2023")</f>
        <v>139680;INF204KB1BF2;INF204KB1BG0;NIPPON INDIA EQUITY HYBRID FUND - MONTHLY IDCW Option;13.9981;25-Aug-2023</v>
      </c>
      <c r="B7243" s="1"/>
    </row>
    <row r="7244">
      <c r="A7244" s="1" t="str">
        <f>IFERROR(__xludf.DUMMYFUNCTION("""COMPUTED_VALUE"""),"122765;INF204K013R8;INF204K014R6;NIPPON INDIA EQUITY HYBRID FUND - QUARTERLY IDCW Option;19.1713;25-Aug-2023")</f>
        <v>122765;INF204K013R8;INF204K014R6;NIPPON INDIA EQUITY HYBRID FUND - QUARTERLY IDCW Option;19.1713;25-Aug-2023</v>
      </c>
      <c r="B7244" s="1"/>
    </row>
    <row r="7245">
      <c r="A7245" s="1" t="str">
        <f>IFERROR(__xludf.DUMMYFUNCTION("""COMPUTED_VALUE"""),"147689;INF204KB16F3;-;Nippon India Equity Hybrid Fund - Segregated Portfolio 1 - Direct Plan - Growth Plan;0.0558;25-Aug-2023")</f>
        <v>147689;INF204KB16F3;-;Nippon India Equity Hybrid Fund - Segregated Portfolio 1 - Direct Plan - Growth Plan;0.0558;25-Aug-2023</v>
      </c>
      <c r="B7245" s="1"/>
    </row>
    <row r="7246">
      <c r="A7246" s="1" t="str">
        <f>IFERROR(__xludf.DUMMYFUNCTION("""COMPUTED_VALUE"""),"147685;INF204KB13G8;-;Nippon India Equity Hybrid Fund - Segregated Portfolio 1 - Growth Plan;0.0518;25-Aug-2023")</f>
        <v>147685;INF204KB13G8;-;Nippon India Equity Hybrid Fund - Segregated Portfolio 1 - Growth Plan;0.0518;25-Aug-2023</v>
      </c>
      <c r="B7246" s="1"/>
    </row>
    <row r="7247">
      <c r="A7247" s="1" t="str">
        <f>IFERROR(__xludf.DUMMYFUNCTION("""COMPUTED_VALUE"""),"148265;INF204KB13T1;-;Nippon India Equity Hybrid Fund - Segregated Portfolio 2 - Direct Plan - Growth Plan;0.0000;25-Aug-2023")</f>
        <v>148265;INF204KB13T1;-;Nippon India Equity Hybrid Fund - Segregated Portfolio 2 - Direct Plan - Growth Plan;0.0000;25-Aug-2023</v>
      </c>
      <c r="B7247" s="1"/>
    </row>
    <row r="7248">
      <c r="A7248" s="1" t="str">
        <f>IFERROR(__xludf.DUMMYFUNCTION("""COMPUTED_VALUE"""),"148271;INF204KB10U5;-;Nippon India Equity Hybrid Fund - Segregated Portfolio 2 - Growth Plan;0.0000;25-Aug-2023")</f>
        <v>148271;INF204KB10U5;-;Nippon India Equity Hybrid Fund - Segregated Portfolio 2 - Growth Plan;0.0000;25-Aug-2023</v>
      </c>
      <c r="B7248" s="1"/>
    </row>
    <row r="7249">
      <c r="A7249" s="1"/>
      <c r="B7249" s="1"/>
    </row>
    <row r="7250">
      <c r="A7250" s="1" t="str">
        <f>IFERROR(__xludf.DUMMYFUNCTION("""COMPUTED_VALUE"""),"PGIM India Mutual Fund")</f>
        <v>PGIM India Mutual Fund</v>
      </c>
      <c r="B7250" s="1"/>
    </row>
    <row r="7251">
      <c r="A7251" s="1"/>
      <c r="B7251" s="1"/>
    </row>
    <row r="7252">
      <c r="A7252" s="1" t="str">
        <f>IFERROR(__xludf.DUMMYFUNCTION("""COMPUTED_VALUE"""),"138385;INF223J01903;-;PGIM India Hybrid Equity Fund - BONUS OPTION;16.60;25-Jul-2016")</f>
        <v>138385;INF223J01903;-;PGIM India Hybrid Equity Fund - BONUS OPTION;16.60;25-Jul-2016</v>
      </c>
      <c r="B7252" s="1"/>
    </row>
    <row r="7253">
      <c r="A7253" s="1" t="str">
        <f>IFERROR(__xludf.DUMMYFUNCTION("""COMPUTED_VALUE"""),"142422;INF663L01ZC6;INF663L01ZD4;PGIM India Hybrid Equity Fund - Direct Plan - Annual Dividend Option;13.27;05-Mar-2021")</f>
        <v>142422;INF663L01ZC6;INF663L01ZD4;PGIM India Hybrid Equity Fund - Direct Plan - Annual Dividend Option;13.27;05-Mar-2021</v>
      </c>
      <c r="B7253" s="1"/>
    </row>
    <row r="7254">
      <c r="A7254" s="1" t="str">
        <f>IFERROR(__xludf.DUMMYFUNCTION("""COMPUTED_VALUE"""),"138387;INF663L01GY0;INF663L01GZ7;PGIM India Hybrid Equity Fund - Direct Plan - Dividend;24.62;25-Aug-2023")</f>
        <v>138387;INF663L01GY0;INF663L01GZ7;PGIM India Hybrid Equity Fund - Direct Plan - Dividend;24.62;25-Aug-2023</v>
      </c>
      <c r="B7254" s="1"/>
    </row>
    <row r="7255">
      <c r="A7255" s="1" t="str">
        <f>IFERROR(__xludf.DUMMYFUNCTION("""COMPUTED_VALUE"""),"138386;INF663L01GX2;-;PGIM India Hybrid Equity Fund - Direct Plan - Growth;117.92;25-Aug-2023")</f>
        <v>138386;INF663L01GX2;-;PGIM India Hybrid Equity Fund - Direct Plan - Growth;117.92;25-Aug-2023</v>
      </c>
      <c r="B7255" s="1"/>
    </row>
    <row r="7256">
      <c r="A7256" s="1" t="str">
        <f>IFERROR(__xludf.DUMMYFUNCTION("""COMPUTED_VALUE"""),"138381;INF663L01HA8;INF663L01HB6;PGIM India Hybrid Equity Fund - Dividend Option;14.33;25-Aug-2023")</f>
        <v>138381;INF663L01HA8;INF663L01HB6;PGIM India Hybrid Equity Fund - Dividend Option;14.33;25-Aug-2023</v>
      </c>
      <c r="B7256" s="1"/>
    </row>
    <row r="7257">
      <c r="A7257" s="1" t="str">
        <f>IFERROR(__xludf.DUMMYFUNCTION("""COMPUTED_VALUE"""),"138382;INF663L01HC4;-;PGIM India Hybrid Equity Fund - Growth Option;101.78;25-Aug-2023")</f>
        <v>138382;INF663L01HC4;-;PGIM India Hybrid Equity Fund - Growth Option;101.78;25-Aug-2023</v>
      </c>
      <c r="B7257" s="1"/>
    </row>
    <row r="7258">
      <c r="A7258" s="1" t="str">
        <f>IFERROR(__xludf.DUMMYFUNCTION("""COMPUTED_VALUE"""),"142421;INF663L01ZA0;INF663L01ZB8;PGIM India Hybrid Equity Fund - Regular Plan - Annual Dividend Option;12.98;05-Mar-2021")</f>
        <v>142421;INF663L01ZA0;INF663L01ZB8;PGIM India Hybrid Equity Fund - Regular Plan - Annual Dividend Option;12.98;05-Mar-2021</v>
      </c>
      <c r="B7258" s="1"/>
    </row>
    <row r="7259">
      <c r="A7259" s="1" t="str">
        <f>IFERROR(__xludf.DUMMYFUNCTION("""COMPUTED_VALUE"""),"138384;INF223J01309;-;PGIM India Hybrid Equity Fund Wealth Plan- Dividend Option;16.48;28-Jul-2019")</f>
        <v>138384;INF223J01309;-;PGIM India Hybrid Equity Fund Wealth Plan- Dividend Option;16.48;28-Jul-2019</v>
      </c>
      <c r="B7259" s="1"/>
    </row>
    <row r="7260">
      <c r="A7260" s="1" t="str">
        <f>IFERROR(__xludf.DUMMYFUNCTION("""COMPUTED_VALUE"""),"138383;INF223J01325;-;PGIM India Hybrid Equity Fund Wealth Plan- Growth Option;30.02;28-Jul-2019")</f>
        <v>138383;INF223J01325;-;PGIM India Hybrid Equity Fund Wealth Plan- Growth Option;30.02;28-Jul-2019</v>
      </c>
      <c r="B7260" s="1"/>
    </row>
    <row r="7261">
      <c r="A7261" s="1" t="str">
        <f>IFERROR(__xludf.DUMMYFUNCTION("""COMPUTED_VALUE"""),"139820;INF663L01OA4;INF663L01OB2;PGIM India Hybrid Equity Fund-Direct Plan-Monthly Dividend Option;24.14;25-Aug-2023")</f>
        <v>139820;INF663L01OA4;INF663L01OB2;PGIM India Hybrid Equity Fund-Direct Plan-Monthly Dividend Option;24.14;25-Aug-2023</v>
      </c>
      <c r="B7261" s="1"/>
    </row>
    <row r="7262">
      <c r="A7262" s="1" t="str">
        <f>IFERROR(__xludf.DUMMYFUNCTION("""COMPUTED_VALUE"""),"139823;INF663L01OE6;INF663L01OF3;PGIM India Hybrid Equity Fund-Direct Plan-Quarterly Divdend Option;21.55;05-Mar-2021")</f>
        <v>139823;INF663L01OE6;INF663L01OF3;PGIM India Hybrid Equity Fund-Direct Plan-Quarterly Divdend Option;21.55;05-Mar-2021</v>
      </c>
      <c r="B7262" s="1"/>
    </row>
    <row r="7263">
      <c r="A7263" s="1" t="str">
        <f>IFERROR(__xludf.DUMMYFUNCTION("""COMPUTED_VALUE"""),"139821;INF663L01NY6;INF663L01NZ3;PGIM India Hybrid Equity Fund-Monthly Dividend Option;22.3;25-Aug-2023")</f>
        <v>139821;INF663L01NY6;INF663L01NZ3;PGIM India Hybrid Equity Fund-Monthly Dividend Option;22.3;25-Aug-2023</v>
      </c>
      <c r="B7263" s="1"/>
    </row>
    <row r="7264">
      <c r="A7264" s="1" t="str">
        <f>IFERROR(__xludf.DUMMYFUNCTION("""COMPUTED_VALUE"""),"139822;INF663L01OC0;INF663L01OD8;PGIM India Hybrid Equity Fund-Quarterly Dividend Option;20.99;05-Mar-2021")</f>
        <v>139822;INF663L01OC0;INF663L01OD8;PGIM India Hybrid Equity Fund-Quarterly Dividend Option;20.99;05-Mar-2021</v>
      </c>
      <c r="B7264" s="1"/>
    </row>
    <row r="7265">
      <c r="A7265" s="1"/>
      <c r="B7265" s="1"/>
    </row>
    <row r="7266">
      <c r="A7266" s="1" t="str">
        <f>IFERROR(__xludf.DUMMYFUNCTION("""COMPUTED_VALUE"""),"quant Mutual Fund")</f>
        <v>quant Mutual Fund</v>
      </c>
      <c r="B7266" s="1"/>
    </row>
    <row r="7267">
      <c r="A7267" s="1"/>
      <c r="B7267" s="1"/>
    </row>
    <row r="7268">
      <c r="A7268" s="1" t="str">
        <f>IFERROR(__xludf.DUMMYFUNCTION("""COMPUTED_VALUE"""),"101070;INF966L01267;-;quant Absolute Fund - Growth Option - Regular Plan;317.6505;25-Aug-2023")</f>
        <v>101070;INF966L01267;-;quant Absolute Fund - Growth Option - Regular Plan;317.6505;25-Aug-2023</v>
      </c>
      <c r="B7268" s="1"/>
    </row>
    <row r="7269">
      <c r="A7269" s="1" t="str">
        <f>IFERROR(__xludf.DUMMYFUNCTION("""COMPUTED_VALUE"""),"120819;INF966L01556;-;quant Absolute Fund-Growth Option-Direct Plan;337.5743;25-Aug-2023")</f>
        <v>120819;INF966L01556;-;quant Absolute Fund-Growth Option-Direct Plan;337.5743;25-Aug-2023</v>
      </c>
      <c r="B7269" s="1"/>
    </row>
    <row r="7270">
      <c r="A7270" s="1" t="str">
        <f>IFERROR(__xludf.DUMMYFUNCTION("""COMPUTED_VALUE"""),"101069;INF966L01242;INF966L01259;quant Absolute Fund-IDCW Option - Regular Plan;43.8157;25-Aug-2023")</f>
        <v>101069;INF966L01242;INF966L01259;quant Absolute Fund-IDCW Option - Regular Plan;43.8157;25-Aug-2023</v>
      </c>
      <c r="B7270" s="1"/>
    </row>
    <row r="7271">
      <c r="A7271" s="1" t="str">
        <f>IFERROR(__xludf.DUMMYFUNCTION("""COMPUTED_VALUE"""),"120818;INF966L01531;INF966L01549;quant Absolute Fund-IDCW Option-Direct Plan;46.7551;25-Aug-2023")</f>
        <v>120818;INF966L01531;INF966L01549;quant Absolute Fund-IDCW Option-Direct Plan;46.7551;25-Aug-2023</v>
      </c>
      <c r="B7271" s="1"/>
    </row>
    <row r="7272">
      <c r="A7272" s="1"/>
      <c r="B7272" s="1"/>
    </row>
    <row r="7273">
      <c r="A7273" s="1" t="str">
        <f>IFERROR(__xludf.DUMMYFUNCTION("""COMPUTED_VALUE"""),"SBI Mutual Fund")</f>
        <v>SBI Mutual Fund</v>
      </c>
      <c r="B7273" s="1"/>
    </row>
    <row r="7274">
      <c r="A7274" s="1"/>
      <c r="B7274" s="1"/>
    </row>
    <row r="7275">
      <c r="A7275" s="1" t="str">
        <f>IFERROR(__xludf.DUMMYFUNCTION("""COMPUTED_VALUE"""),"119609;INF200K01RY0;-;SBI EQUITY HYBRID FUND - DIRECT PLAN - Growth;240.6948;25-Aug-2023")</f>
        <v>119609;INF200K01RY0;-;SBI EQUITY HYBRID FUND - DIRECT PLAN - Growth;240.6948;25-Aug-2023</v>
      </c>
      <c r="B7275" s="1"/>
    </row>
    <row r="7276">
      <c r="A7276" s="1" t="str">
        <f>IFERROR(__xludf.DUMMYFUNCTION("""COMPUTED_VALUE"""),"119604;INF200K01RW4;INF200K01RX2;SBI Equity Hybrid Fund - Direct Plan - Income Distribution cum Capital Withdrawal Option (IDCW);70.4325;25-Aug-2023")</f>
        <v>119604;INF200K01RW4;INF200K01RX2;SBI Equity Hybrid Fund - Direct Plan - Income Distribution cum Capital Withdrawal Option (IDCW);70.4325;25-Aug-2023</v>
      </c>
      <c r="B7276" s="1"/>
    </row>
    <row r="7277">
      <c r="A7277" s="1" t="str">
        <f>IFERROR(__xludf.DUMMYFUNCTION("""COMPUTED_VALUE"""),"101551;INF200K01115;INF200K01123;SBI Equity Hybrid Fund - Regular Plan - Income Distribution cum Capital Withdrawal Option (IDCW);46.7631;25-Aug-2023")</f>
        <v>101551;INF200K01115;INF200K01123;SBI Equity Hybrid Fund - Regular Plan - Income Distribution cum Capital Withdrawal Option (IDCW);46.7631;25-Aug-2023</v>
      </c>
      <c r="B7277" s="1"/>
    </row>
    <row r="7278">
      <c r="A7278" s="1" t="str">
        <f>IFERROR(__xludf.DUMMYFUNCTION("""COMPUTED_VALUE"""),"102885;INF200K01107;-;SBI EQUITY HYBRID FUND - REGULAR PLAN -Growth;220.6803;25-Aug-2023")</f>
        <v>102885;INF200K01107;-;SBI EQUITY HYBRID FUND - REGULAR PLAN -Growth;220.6803;25-Aug-2023</v>
      </c>
      <c r="B7278" s="1"/>
    </row>
    <row r="7279">
      <c r="A7279" s="1"/>
      <c r="B7279" s="1"/>
    </row>
    <row r="7280">
      <c r="A7280" s="1" t="str">
        <f>IFERROR(__xludf.DUMMYFUNCTION("""COMPUTED_VALUE"""),"Shriram Mutual Fund")</f>
        <v>Shriram Mutual Fund</v>
      </c>
      <c r="B7280" s="1"/>
    </row>
    <row r="7281">
      <c r="A7281" s="1"/>
      <c r="B7281" s="1"/>
    </row>
    <row r="7282">
      <c r="A7282" s="1" t="str">
        <f>IFERROR(__xludf.DUMMYFUNCTION("""COMPUTED_VALUE"""),"125711;INF680P01042;-;Shriram Aggressive Hybrid Fund- Direct Growth;27.3916;25-Aug-2023")</f>
        <v>125711;INF680P01042;-;Shriram Aggressive Hybrid Fund- Direct Growth;27.3916;25-Aug-2023</v>
      </c>
      <c r="B7282" s="1"/>
    </row>
    <row r="7283">
      <c r="A7283" s="1" t="str">
        <f>IFERROR(__xludf.DUMMYFUNCTION("""COMPUTED_VALUE"""),"125712;INF680P01059;INF680P01067;Shriram Aggressive Hybrid Fund- Direct- IDCW;21.6992;25-Aug-2023")</f>
        <v>125712;INF680P01059;INF680P01067;Shriram Aggressive Hybrid Fund- Direct- IDCW;21.6992;25-Aug-2023</v>
      </c>
      <c r="B7283" s="1"/>
    </row>
    <row r="7284">
      <c r="A7284" s="1" t="str">
        <f>IFERROR(__xludf.DUMMYFUNCTION("""COMPUTED_VALUE"""),"125713;INF680P01018;-;Shriram Aggressive Hybrid Fund- Regular Growth;24.6953;25-Aug-2023")</f>
        <v>125713;INF680P01018;-;Shriram Aggressive Hybrid Fund- Regular Growth;24.6953;25-Aug-2023</v>
      </c>
      <c r="B7284" s="1"/>
    </row>
    <row r="7285">
      <c r="A7285" s="1" t="str">
        <f>IFERROR(__xludf.DUMMYFUNCTION("""COMPUTED_VALUE"""),"125714;INF680P01026;INF680P01034;Shriram Aggressive Hybrid Fund- Regular-IDCW;19.7414;25-Aug-2023")</f>
        <v>125714;INF680P01026;INF680P01034;Shriram Aggressive Hybrid Fund- Regular-IDCW;19.7414;25-Aug-2023</v>
      </c>
      <c r="B7285" s="1"/>
    </row>
    <row r="7286">
      <c r="A7286" s="1"/>
      <c r="B7286" s="1"/>
    </row>
    <row r="7287">
      <c r="A7287" s="1" t="str">
        <f>IFERROR(__xludf.DUMMYFUNCTION("""COMPUTED_VALUE"""),"Sundaram Mutual Fund")</f>
        <v>Sundaram Mutual Fund</v>
      </c>
      <c r="B7287" s="1"/>
    </row>
    <row r="7288">
      <c r="A7288" s="1"/>
      <c r="B7288" s="1"/>
    </row>
    <row r="7289">
      <c r="A7289" s="1" t="str">
        <f>IFERROR(__xludf.DUMMYFUNCTION("""COMPUTED_VALUE"""),"149601;INF173K01FE6;-;Sundaram Aggressive Hybrid Fund (Formerly Known as Principal Hybrid Equity Fund)- Direct Plan - Growth Option;137.8067;25-Aug-2023")</f>
        <v>149601;INF173K01FE6;-;Sundaram Aggressive Hybrid Fund (Formerly Known as Principal Hybrid Equity Fund)- Direct Plan - Growth Option;137.8067;25-Aug-2023</v>
      </c>
      <c r="B7289" s="1"/>
    </row>
    <row r="7290">
      <c r="A7290" s="1" t="str">
        <f>IFERROR(__xludf.DUMMYFUNCTION("""COMPUTED_VALUE"""),"149600;INF173K01CI4;INF173K01CJ2;Sundaram Aggressive Hybrid Fund (Formerly Known as Principal Hybrid Equity Fund)- Monthly Income Distribution CUM Capital Withdrawal;26.0456;25-Aug-2023")</f>
        <v>149600;INF173K01CI4;INF173K01CJ2;Sundaram Aggressive Hybrid Fund (Formerly Known as Principal Hybrid Equity Fund)- Monthly Income Distribution CUM Capital Withdrawal;26.0456;25-Aug-2023</v>
      </c>
      <c r="B7290" s="1"/>
    </row>
    <row r="7291">
      <c r="A7291" s="1" t="str">
        <f>IFERROR(__xludf.DUMMYFUNCTION("""COMPUTED_VALUE"""),"149599;INF173K01CL8;-;Sundaram Aggressive Hybrid Fund (Formerly Known as Principal Hybrid Equity Fund)-Growth;122.8269;25-Aug-2023")</f>
        <v>149599;INF173K01CL8;-;Sundaram Aggressive Hybrid Fund (Formerly Known as Principal Hybrid Equity Fund)-Growth;122.8269;25-Aug-2023</v>
      </c>
      <c r="B7291" s="1"/>
    </row>
    <row r="7292">
      <c r="A7292" s="1" t="str">
        <f>IFERROR(__xludf.DUMMYFUNCTION("""COMPUTED_VALUE"""),"149602;INF173K01FB2;INF173K01FC0;Sundaram Aggressive Hybrid Fund(Formerly Known as Principal Hybrid Equity Fund)-Direct Plan - Monthly Income Distribution CUM Capital Withdrawal Option;38.6467;25-Aug-2023")</f>
        <v>149602;INF173K01FB2;INF173K01FC0;Sundaram Aggressive Hybrid Fund(Formerly Known as Principal Hybrid Equity Fund)-Direct Plan - Monthly Income Distribution CUM Capital Withdrawal Option;38.6467;25-Aug-2023</v>
      </c>
      <c r="B7292" s="1"/>
    </row>
    <row r="7293">
      <c r="A7293" s="1"/>
      <c r="B7293" s="1"/>
    </row>
    <row r="7294">
      <c r="A7294" s="1" t="str">
        <f>IFERROR(__xludf.DUMMYFUNCTION("""COMPUTED_VALUE"""),"Tata Mutual Fund")</f>
        <v>Tata Mutual Fund</v>
      </c>
      <c r="B7294" s="1"/>
    </row>
    <row r="7295">
      <c r="A7295" s="1"/>
      <c r="B7295" s="1"/>
    </row>
    <row r="7296">
      <c r="A7296" s="1" t="str">
        <f>IFERROR(__xludf.DUMMYFUNCTION("""COMPUTED_VALUE"""),"119053;INF277K01MN2;-;Tata Hybrid Equity Fund -Direct Plan- Growth Option;379.2063;25-Aug-2023")</f>
        <v>119053;INF277K01MN2;-;Tata Hybrid Equity Fund -Direct Plan- Growth Option;379.2063;25-Aug-2023</v>
      </c>
      <c r="B7296" s="1"/>
    </row>
    <row r="7297">
      <c r="A7297" s="1" t="str">
        <f>IFERROR(__xludf.DUMMYFUNCTION("""COMPUTED_VALUE"""),"119057;INF277K01MO0;INF277K01MP7;Tata Hybrid Equity Fund- Direct Plan - Monthly Payout of IDCW Option;87.0055;25-Aug-2023")</f>
        <v>119057;INF277K01MO0;INF277K01MP7;Tata Hybrid Equity Fund- Direct Plan - Monthly Payout of IDCW Option;87.0055;25-Aug-2023</v>
      </c>
      <c r="B7297" s="1"/>
    </row>
    <row r="7298">
      <c r="A7298" s="1" t="str">
        <f>IFERROR(__xludf.DUMMYFUNCTION("""COMPUTED_VALUE"""),"119058;INF277K01ML6;INF277K01MM4;Tata Hybrid Equity Fund- Direct Plan - Periodic Payout of IDCW Option;94.7248;25-Aug-2023")</f>
        <v>119058;INF277K01ML6;INF277K01MM4;Tata Hybrid Equity Fund- Direct Plan - Periodic Payout of IDCW Option;94.7248;25-Aug-2023</v>
      </c>
      <c r="B7298" s="1"/>
    </row>
    <row r="7299">
      <c r="A7299" s="1" t="str">
        <f>IFERROR(__xludf.DUMMYFUNCTION("""COMPUTED_VALUE"""),"100414;INF277K01303;-;Tata Hybrid Equity Fund- Regular Plan - Growth Option;343.8980;25-Aug-2023")</f>
        <v>100414;INF277K01303;-;Tata Hybrid Equity Fund- Regular Plan - Growth Option;343.8980;25-Aug-2023</v>
      </c>
      <c r="B7299" s="1"/>
    </row>
    <row r="7300">
      <c r="A7300" s="1" t="str">
        <f>IFERROR(__xludf.DUMMYFUNCTION("""COMPUTED_VALUE"""),"113134;INF277K01CS2;INF277K01CW4;Tata Hybrid Equity Fund- Regular Plan - Monthly Payout of IDCW Option;75.9227;25-Aug-2023")</f>
        <v>113134;INF277K01CS2;INF277K01CW4;Tata Hybrid Equity Fund- Regular Plan - Monthly Payout of IDCW Option;75.9227;25-Aug-2023</v>
      </c>
      <c r="B7300" s="1"/>
    </row>
    <row r="7301">
      <c r="A7301" s="1" t="str">
        <f>IFERROR(__xludf.DUMMYFUNCTION("""COMPUTED_VALUE"""),"101222;INF277K01DB6;INF277K01295;Tata Hybrid Equity Fund- Regular Plan - Periodic Payout of IDCW Option;81.7655;25-Aug-2023")</f>
        <v>101222;INF277K01DB6;INF277K01295;Tata Hybrid Equity Fund- Regular Plan - Periodic Payout of IDCW Option;81.7655;25-Aug-2023</v>
      </c>
      <c r="B7301" s="1"/>
    </row>
    <row r="7302">
      <c r="A7302" s="1"/>
      <c r="B7302" s="1"/>
    </row>
    <row r="7303">
      <c r="A7303" s="1" t="str">
        <f>IFERROR(__xludf.DUMMYFUNCTION("""COMPUTED_VALUE"""),"Union Mutual Fund")</f>
        <v>Union Mutual Fund</v>
      </c>
      <c r="B7303" s="1"/>
    </row>
    <row r="7304">
      <c r="A7304" s="1"/>
      <c r="B7304" s="1"/>
    </row>
    <row r="7305">
      <c r="A7305" s="1" t="str">
        <f>IFERROR(__xludf.DUMMYFUNCTION("""COMPUTED_VALUE"""),"148592;INF582M01GY0;-;Union Hybrid Equity Fund - Direct Plan - Growth Option;14.24;25-Aug-2023")</f>
        <v>148592;INF582M01GY0;-;Union Hybrid Equity Fund - Direct Plan - Growth Option;14.24;25-Aug-2023</v>
      </c>
      <c r="B7305" s="1"/>
    </row>
    <row r="7306">
      <c r="A7306" s="1" t="str">
        <f>IFERROR(__xludf.DUMMYFUNCTION("""COMPUTED_VALUE"""),"148593;INF582M01HA8;INF582M01GZ7;Union Hybrid Equity Fund - Direct Plan - IDCW Option;14.24;25-Aug-2023")</f>
        <v>148593;INF582M01HA8;INF582M01GZ7;Union Hybrid Equity Fund - Direct Plan - IDCW Option;14.24;25-Aug-2023</v>
      </c>
      <c r="B7306" s="1"/>
    </row>
    <row r="7307">
      <c r="A7307" s="1" t="str">
        <f>IFERROR(__xludf.DUMMYFUNCTION("""COMPUTED_VALUE"""),"148591;INF582M01HC4;-;Union Hybrid Equity Fund - Regular Plan - Growth Option;13.82;25-Aug-2023")</f>
        <v>148591;INF582M01HC4;-;Union Hybrid Equity Fund - Regular Plan - Growth Option;13.82;25-Aug-2023</v>
      </c>
      <c r="B7307" s="1"/>
    </row>
    <row r="7308">
      <c r="A7308" s="1" t="str">
        <f>IFERROR(__xludf.DUMMYFUNCTION("""COMPUTED_VALUE"""),"148590;INF582M01HE0;INF582M01HD2;Union Hybrid Equity Fund - Regular Plan - IDCW Option;13.82;25-Aug-2023")</f>
        <v>148590;INF582M01HE0;INF582M01HD2;Union Hybrid Equity Fund - Regular Plan - IDCW Option;13.82;25-Aug-2023</v>
      </c>
      <c r="B7308" s="1"/>
    </row>
    <row r="7309">
      <c r="A7309" s="1"/>
      <c r="B7309" s="1"/>
    </row>
    <row r="7310">
      <c r="A7310" s="1" t="str">
        <f>IFERROR(__xludf.DUMMYFUNCTION("""COMPUTED_VALUE"""),"UTI Mutual Fund")</f>
        <v>UTI Mutual Fund</v>
      </c>
      <c r="B7310" s="1"/>
    </row>
    <row r="7311">
      <c r="A7311" s="1"/>
      <c r="B7311" s="1"/>
    </row>
    <row r="7312">
      <c r="A7312" s="1" t="str">
        <f>IFERROR(__xludf.DUMMYFUNCTION("""COMPUTED_VALUE"""),"100684;INF789F01323;-;UTI - Hybrid Equity Fund - Regular Plan - Growth;294.6968;25-Aug-2023")</f>
        <v>100684;INF789F01323;-;UTI - Hybrid Equity Fund - Regular Plan - Growth;294.6968;25-Aug-2023</v>
      </c>
      <c r="B7312" s="1"/>
    </row>
    <row r="7313">
      <c r="A7313" s="1" t="str">
        <f>IFERROR(__xludf.DUMMYFUNCTION("""COMPUTED_VALUE"""),"120674;INF789F01SK9;-;UTI - Hybrid Equity Fund -Direct Plan - Growth;313.1535;25-Aug-2023")</f>
        <v>120674;INF789F01SK9;-;UTI - Hybrid Equity Fund -Direct Plan - Growth;313.1535;25-Aug-2023</v>
      </c>
      <c r="B7313" s="1"/>
    </row>
    <row r="7314">
      <c r="A7314" s="1" t="str">
        <f>IFERROR(__xludf.DUMMYFUNCTION("""COMPUTED_VALUE"""),"120673;INF789F01SI3;INF789F01SJ1;UTI Hybrid Equity Fund - Direct Plan - IDCW;39.5006;25-Aug-2023")</f>
        <v>120673;INF789F01SI3;INF789F01SJ1;UTI Hybrid Equity Fund - Direct Plan - IDCW;39.5006;25-Aug-2023</v>
      </c>
      <c r="B7314" s="1"/>
    </row>
    <row r="7315">
      <c r="A7315" s="1" t="str">
        <f>IFERROR(__xludf.DUMMYFUNCTION("""COMPUTED_VALUE"""),"100685;INF789F01307;INF789F01315;UTI Hybrid Equity Fund - Regular Plan - IDCW;36.2481;25-Aug-2023")</f>
        <v>100685;INF789F01307;INF789F01315;UTI Hybrid Equity Fund - Regular Plan - IDCW;36.2481;25-Aug-2023</v>
      </c>
      <c r="B7315" s="1"/>
    </row>
    <row r="7316">
      <c r="A7316" s="1"/>
      <c r="B7316" s="1"/>
    </row>
    <row r="7317">
      <c r="A7317" s="1" t="str">
        <f>IFERROR(__xludf.DUMMYFUNCTION("""COMPUTED_VALUE"""),"Open Ended Schemes(Hybrid Scheme - Arbitrage Fund)")</f>
        <v>Open Ended Schemes(Hybrid Scheme - Arbitrage Fund)</v>
      </c>
      <c r="B7317" s="1"/>
    </row>
    <row r="7318">
      <c r="A7318" s="1"/>
      <c r="B7318" s="1"/>
    </row>
    <row r="7319">
      <c r="A7319" s="1" t="str">
        <f>IFERROR(__xludf.DUMMYFUNCTION("""COMPUTED_VALUE"""),"Aditya Birla Sun Life Mutual Fund")</f>
        <v>Aditya Birla Sun Life Mutual Fund</v>
      </c>
      <c r="B7319" s="1"/>
    </row>
    <row r="7320">
      <c r="A7320" s="1"/>
      <c r="B7320" s="1"/>
    </row>
    <row r="7321">
      <c r="A7321" s="1" t="str">
        <f>IFERROR(__xludf.DUMMYFUNCTION("""COMPUTED_VALUE"""),"119526;INF209K01VP1;-;Aditya Birla Sun Life Arbitrage Fund - Growth - Direct Plan;24.841;25-Aug-2023")</f>
        <v>119526;INF209K01VP1;-;Aditya Birla Sun Life Arbitrage Fund - Growth - Direct Plan;24.841;25-Aug-2023</v>
      </c>
      <c r="B7321" s="1"/>
    </row>
    <row r="7322">
      <c r="A7322" s="1" t="str">
        <f>IFERROR(__xludf.DUMMYFUNCTION("""COMPUTED_VALUE"""),"112088;INF209K01264;-;Aditya BIRLA SUN LIFE ARBITRAGE FUND - REGULAR PLAN - GROWTH;23.3508;25-Aug-2023")</f>
        <v>112088;INF209K01264;-;Aditya BIRLA SUN LIFE ARBITRAGE FUND - REGULAR PLAN - GROWTH;23.3508;25-Aug-2023</v>
      </c>
      <c r="B7322" s="1"/>
    </row>
    <row r="7323">
      <c r="A7323" s="1" t="str">
        <f>IFERROR(__xludf.DUMMYFUNCTION("""COMPUTED_VALUE"""),"119525;INF209K01P80;INF209K01VQ9;Aditya Birla Sun Life Arbitrage Fund-DIRECT - IDCW;11.4764;25-Aug-2023")</f>
        <v>119525;INF209K01P80;INF209K01VQ9;Aditya Birla Sun Life Arbitrage Fund-DIRECT - IDCW;11.4764;25-Aug-2023</v>
      </c>
      <c r="B7323" s="1"/>
    </row>
    <row r="7324">
      <c r="A7324" s="1" t="str">
        <f>IFERROR(__xludf.DUMMYFUNCTION("""COMPUTED_VALUE"""),"112087;INF209K01256;INF209K01CI6;Aditya Birla Sun Life Arbitrage Fund-Regular - IDCW;11.2679;25-Aug-2023")</f>
        <v>112087;INF209K01256;INF209K01CI6;Aditya Birla Sun Life Arbitrage Fund-Regular - IDCW;11.2679;25-Aug-2023</v>
      </c>
      <c r="B7324" s="1"/>
    </row>
    <row r="7325">
      <c r="A7325" s="1"/>
      <c r="B7325" s="1"/>
    </row>
    <row r="7326">
      <c r="A7326" s="1" t="str">
        <f>IFERROR(__xludf.DUMMYFUNCTION("""COMPUTED_VALUE"""),"Axis Mutual Fund")</f>
        <v>Axis Mutual Fund</v>
      </c>
      <c r="B7326" s="1"/>
    </row>
    <row r="7327">
      <c r="A7327" s="1"/>
      <c r="B7327" s="1"/>
    </row>
    <row r="7328">
      <c r="A7328" s="1" t="str">
        <f>IFERROR(__xludf.DUMMYFUNCTION("""COMPUTED_VALUE"""),"130773;INF846K01PZ1;-;Axis Arbitrage Fund - Direct Plan - Growth;17.6396;25-Aug-2023")</f>
        <v>130773;INF846K01PZ1;-;Axis Arbitrage Fund - Direct Plan - Growth;17.6396;25-Aug-2023</v>
      </c>
      <c r="B7328" s="1"/>
    </row>
    <row r="7329">
      <c r="A7329" s="1" t="str">
        <f>IFERROR(__xludf.DUMMYFUNCTION("""COMPUTED_VALUE"""),"130774;INF846K01QA2;INF846K01QB0;Axis Arbitrage Fund - Direct Plan - IDCW;11.6404;25-Aug-2023")</f>
        <v>130774;INF846K01QA2;INF846K01QB0;Axis Arbitrage Fund - Direct Plan - IDCW;11.6404;25-Aug-2023</v>
      </c>
      <c r="B7329" s="1"/>
    </row>
    <row r="7330">
      <c r="A7330" s="1" t="str">
        <f>IFERROR(__xludf.DUMMYFUNCTION("""COMPUTED_VALUE"""),"130771;INF846K01QC8;-;Axis Arbitrage Fund - Regular Plan - Growth;16.4391;25-Aug-2023")</f>
        <v>130771;INF846K01QC8;-;Axis Arbitrage Fund - Regular Plan - Growth;16.4391;25-Aug-2023</v>
      </c>
      <c r="B7330" s="1"/>
    </row>
    <row r="7331">
      <c r="A7331" s="1" t="str">
        <f>IFERROR(__xludf.DUMMYFUNCTION("""COMPUTED_VALUE"""),"130776;INF846K01QD6;INF846K01QE4;Axis Arbitrage Fund - Regular Plan - IDCW;10.8125;25-Aug-2023")</f>
        <v>130776;INF846K01QD6;INF846K01QE4;Axis Arbitrage Fund - Regular Plan - IDCW;10.8125;25-Aug-2023</v>
      </c>
      <c r="B7331" s="1"/>
    </row>
    <row r="7332">
      <c r="A7332" s="1"/>
      <c r="B7332" s="1"/>
    </row>
    <row r="7333">
      <c r="A7333" s="1" t="str">
        <f>IFERROR(__xludf.DUMMYFUNCTION("""COMPUTED_VALUE"""),"Bandhan Mutual Fund")</f>
        <v>Bandhan Mutual Fund</v>
      </c>
      <c r="B7333" s="1"/>
    </row>
    <row r="7334">
      <c r="A7334" s="1"/>
      <c r="B7334" s="1"/>
    </row>
    <row r="7335">
      <c r="A7335" s="1" t="str">
        <f>IFERROR(__xludf.DUMMYFUNCTION("""COMPUTED_VALUE"""),"108844;INF194K01623;INF194K01631;BANDHAN Arbitrage Fund - Plan B - Dividend;14.86269632;17-Feb-2017")</f>
        <v>108844;INF194K01623;INF194K01631;BANDHAN Arbitrage Fund - Plan B - Dividend;14.86269632;17-Feb-2017</v>
      </c>
      <c r="B7335" s="1"/>
    </row>
    <row r="7336">
      <c r="A7336" s="1" t="str">
        <f>IFERROR(__xludf.DUMMYFUNCTION("""COMPUTED_VALUE"""),"108846;INF194K01615;-;BANDHAN Arbitrage Fund - Plan B - Growth;21.25167644;17-Feb-2017")</f>
        <v>108846;INF194K01615;-;BANDHAN Arbitrage Fund - Plan B - Growth;21.25167644;17-Feb-2017</v>
      </c>
      <c r="B7336" s="1"/>
    </row>
    <row r="7337">
      <c r="A7337" s="1" t="str">
        <f>IFERROR(__xludf.DUMMYFUNCTION("""COMPUTED_VALUE"""),"133680;INF194KA1YD2;INF194KA1YE0;BANDHAN Arbitrage Fund - Regular Plan - Annual IDCW;10.8534;25-Aug-2023")</f>
        <v>133680;INF194KA1YD2;INF194KA1YE0;BANDHAN Arbitrage Fund - Regular Plan - Annual IDCW;10.8534;25-Aug-2023</v>
      </c>
      <c r="B7337" s="1"/>
    </row>
    <row r="7338">
      <c r="A7338" s="1" t="str">
        <f>IFERROR(__xludf.DUMMYFUNCTION("""COMPUTED_VALUE"""),"108845;INF194K01649;-;BANDHAN Arbitrage Fund - Regular Plan - Growth;28.5430;25-Aug-2023")</f>
        <v>108845;INF194K01649;-;BANDHAN Arbitrage Fund - Regular Plan - Growth;28.5430;25-Aug-2023</v>
      </c>
      <c r="B7338" s="1"/>
    </row>
    <row r="7339">
      <c r="A7339" s="1" t="str">
        <f>IFERROR(__xludf.DUMMYFUNCTION("""COMPUTED_VALUE"""),"108847;INF194K01656;INF194K01664;BANDHAN Arbitrage Fund - Regular Plan - Monthly IDCW;13.0944;25-Aug-2023")</f>
        <v>108847;INF194K01656;INF194K01664;BANDHAN Arbitrage Fund - Regular Plan - Monthly IDCW;13.0944;25-Aug-2023</v>
      </c>
      <c r="B7339" s="1"/>
    </row>
    <row r="7340">
      <c r="A7340" s="1" t="str">
        <f>IFERROR(__xludf.DUMMYFUNCTION("""COMPUTED_VALUE"""),"118474;INF194K01Y60;-;BANDHAN Arbitrage Fund-Direct Plan- Growth;30.4826;25-Aug-2023")</f>
        <v>118474;INF194K01Y60;-;BANDHAN Arbitrage Fund-Direct Plan- Growth;30.4826;25-Aug-2023</v>
      </c>
      <c r="B7340" s="1"/>
    </row>
    <row r="7341">
      <c r="A7341" s="1" t="str">
        <f>IFERROR(__xludf.DUMMYFUNCTION("""COMPUTED_VALUE"""),"133679;INF194KA1YG5;INF194KA1YH3;BANDHAN Arbitrage Fund-Direct Plan-Annual IDCW;12.3253;25-Aug-2023")</f>
        <v>133679;INF194KA1YG5;INF194KA1YH3;BANDHAN Arbitrage Fund-Direct Plan-Annual IDCW;12.3253;25-Aug-2023</v>
      </c>
      <c r="B7341" s="1"/>
    </row>
    <row r="7342">
      <c r="A7342" s="1" t="str">
        <f>IFERROR(__xludf.DUMMYFUNCTION("""COMPUTED_VALUE"""),"118475;INF194K01Y78;INF194K01Y86;BANDHAN Arbitrage Fund-Direct Plan-Monthly IDCW;13.9438;25-Aug-2023")</f>
        <v>118475;INF194K01Y78;INF194K01Y86;BANDHAN Arbitrage Fund-Direct Plan-Monthly IDCW;13.9438;25-Aug-2023</v>
      </c>
      <c r="B7342" s="1"/>
    </row>
    <row r="7343">
      <c r="A7343" s="1"/>
      <c r="B7343" s="1"/>
    </row>
    <row r="7344">
      <c r="A7344" s="1" t="str">
        <f>IFERROR(__xludf.DUMMYFUNCTION("""COMPUTED_VALUE"""),"Bank of India Mutual Fund")</f>
        <v>Bank of India Mutual Fund</v>
      </c>
      <c r="B7344" s="1"/>
    </row>
    <row r="7345">
      <c r="A7345" s="1"/>
      <c r="B7345" s="1"/>
    </row>
    <row r="7346">
      <c r="A7346" s="1" t="str">
        <f>IFERROR(__xludf.DUMMYFUNCTION("""COMPUTED_VALUE"""),"143613;INF761K01EI2;INF761K01EJ0;BANK OF INDIA Arbitrage Fund Direct Plan Annual IDCW;11.4330;25-Aug-2023")</f>
        <v>143613;INF761K01EI2;INF761K01EJ0;BANK OF INDIA Arbitrage Fund Direct Plan Annual IDCW;11.4330;25-Aug-2023</v>
      </c>
      <c r="B7346" s="1"/>
    </row>
    <row r="7347">
      <c r="A7347" s="1" t="str">
        <f>IFERROR(__xludf.DUMMYFUNCTION("""COMPUTED_VALUE"""),"143614;INF761K01ED3;-;BANK OF INDIA Arbitrage Fund Direct Plan Growth;12.6370;25-Aug-2023")</f>
        <v>143614;INF761K01ED3;-;BANK OF INDIA Arbitrage Fund Direct Plan Growth;12.6370;25-Aug-2023</v>
      </c>
      <c r="B7347" s="1"/>
    </row>
    <row r="7348">
      <c r="A7348" s="1" t="str">
        <f>IFERROR(__xludf.DUMMYFUNCTION("""COMPUTED_VALUE"""),"143615;INF761K01EE1;INF761K01EF8;BANK OF INDIA Arbitrage Fund Direct Plan Monthly IDCW;11.3983;25-Aug-2023")</f>
        <v>143615;INF761K01EE1;INF761K01EF8;BANK OF INDIA Arbitrage Fund Direct Plan Monthly IDCW;11.3983;25-Aug-2023</v>
      </c>
      <c r="B7348" s="1"/>
    </row>
    <row r="7349">
      <c r="A7349" s="1" t="str">
        <f>IFERROR(__xludf.DUMMYFUNCTION("""COMPUTED_VALUE"""),"143616;INF761K01EG6;INF761K01EH4;BANK OF INDIA Arbitrage Fund Direct Plan Quarterly IDCW;12.0126;25-Aug-2023")</f>
        <v>143616;INF761K01EG6;INF761K01EH4;BANK OF INDIA Arbitrage Fund Direct Plan Quarterly IDCW;12.0126;25-Aug-2023</v>
      </c>
      <c r="B7349" s="1"/>
    </row>
    <row r="7350">
      <c r="A7350" s="1" t="str">
        <f>IFERROR(__xludf.DUMMYFUNCTION("""COMPUTED_VALUE"""),"143620;INF761K01DW5;-;BANK OF INDIA Arbitrage Fund Regular Growth;12.2560;25-Aug-2023")</f>
        <v>143620;INF761K01DW5;-;BANK OF INDIA Arbitrage Fund Regular Growth;12.2560;25-Aug-2023</v>
      </c>
      <c r="B7350" s="1"/>
    </row>
    <row r="7351">
      <c r="A7351" s="1" t="str">
        <f>IFERROR(__xludf.DUMMYFUNCTION("""COMPUTED_VALUE"""),"143617;INF761K01EB7;INF761K01EC5;BANK OF INDIA Arbitrage Fund Regular Plan IDCW Annual IDCW;11.3236;25-Aug-2023")</f>
        <v>143617;INF761K01EB7;INF761K01EC5;BANK OF INDIA Arbitrage Fund Regular Plan IDCW Annual IDCW;11.3236;25-Aug-2023</v>
      </c>
      <c r="B7351" s="1"/>
    </row>
    <row r="7352">
      <c r="A7352" s="1" t="str">
        <f>IFERROR(__xludf.DUMMYFUNCTION("""COMPUTED_VALUE"""),"143618;INF761K01DX3;INF761K01DY1;BANK OF INDIA Arbitrage Fund Regular Plan IDCW Monthly IDCW;11.1065;25-Aug-2023")</f>
        <v>143618;INF761K01DX3;INF761K01DY1;BANK OF INDIA Arbitrage Fund Regular Plan IDCW Monthly IDCW;11.1065;25-Aug-2023</v>
      </c>
      <c r="B7352" s="1"/>
    </row>
    <row r="7353">
      <c r="A7353" s="1" t="str">
        <f>IFERROR(__xludf.DUMMYFUNCTION("""COMPUTED_VALUE"""),"143619;INF761K01DZ8;INF761K01EA9;BANK OF INDIA Arbitrage Fund Regular Plan IDCW Quarterly IDCW;11.7241;25-Aug-2023")</f>
        <v>143619;INF761K01DZ8;INF761K01EA9;BANK OF INDIA Arbitrage Fund Regular Plan IDCW Quarterly IDCW;11.7241;25-Aug-2023</v>
      </c>
      <c r="B7353" s="1"/>
    </row>
    <row r="7354">
      <c r="A7354" s="1"/>
      <c r="B7354" s="1"/>
    </row>
    <row r="7355">
      <c r="A7355" s="1" t="str">
        <f>IFERROR(__xludf.DUMMYFUNCTION("""COMPUTED_VALUE"""),"Baroda BNP Paribas Mutual Fund")</f>
        <v>Baroda BNP Paribas Mutual Fund</v>
      </c>
      <c r="B7355" s="1"/>
    </row>
    <row r="7356">
      <c r="A7356" s="1"/>
      <c r="B7356" s="1"/>
    </row>
    <row r="7357">
      <c r="A7357" s="1" t="str">
        <f>IFERROR(__xludf.DUMMYFUNCTION("""COMPUTED_VALUE"""),"150252;INF251K01OV6;INF251K01OU8;BARODA BNP PARIBAS ARBITRAGE FUND -DIRECT PLAN - ADHOC IDCW OPTION;10.8041;25-Aug-2023")</f>
        <v>150252;INF251K01OV6;INF251K01OU8;BARODA BNP PARIBAS ARBITRAGE FUND -DIRECT PLAN - ADHOC IDCW OPTION;10.8041;25-Aug-2023</v>
      </c>
      <c r="B7357" s="1"/>
    </row>
    <row r="7358">
      <c r="A7358" s="1" t="str">
        <f>IFERROR(__xludf.DUMMYFUNCTION("""COMPUTED_VALUE"""),"150255;INF251K01PF6;INF251K01PE9;BARODA BNP PARIBAS ARBITRAGE FUND DIRECT PLAN MONTHLY IDCW Option;10.6180;25-Aug-2023")</f>
        <v>150255;INF251K01PF6;INF251K01PE9;BARODA BNP PARIBAS ARBITRAGE FUND DIRECT PLAN MONTHLY IDCW Option;10.6180;25-Aug-2023</v>
      </c>
      <c r="B7358" s="1"/>
    </row>
    <row r="7359">
      <c r="A7359" s="1" t="str">
        <f>IFERROR(__xludf.DUMMYFUNCTION("""COMPUTED_VALUE"""),"150256;INF251K01PJ8;INF251K01PI0;BARODA BNP PARIBAS ARBITRAGE FUND DIRECT PLAN QUARTERLY IDCW Option;10.8099;25-Aug-2023")</f>
        <v>150256;INF251K01PJ8;INF251K01PI0;BARODA BNP PARIBAS ARBITRAGE FUND DIRECT PLAN QUARTERLY IDCW Option;10.8099;25-Aug-2023</v>
      </c>
      <c r="B7359" s="1"/>
    </row>
    <row r="7360">
      <c r="A7360" s="1" t="str">
        <f>IFERROR(__xludf.DUMMYFUNCTION("""COMPUTED_VALUE"""),"150254;INF251K01PD1;INF251K01PC3;BARODA BNP PARIBAS ARBITRAGE FUND REGULAR PLAN MONTHLY IDCW Option;10.2919;25-Aug-2023")</f>
        <v>150254;INF251K01PD1;INF251K01PC3;BARODA BNP PARIBAS ARBITRAGE FUND REGULAR PLAN MONTHLY IDCW Option;10.2919;25-Aug-2023</v>
      </c>
      <c r="B7360" s="1"/>
    </row>
    <row r="7361">
      <c r="A7361" s="1" t="str">
        <f>IFERROR(__xludf.DUMMYFUNCTION("""COMPUTED_VALUE"""),"150257;INF251K01PH2;INF251K01PG4;BARODA BNP PARIBAS ARBITRAGE FUND REGULAR PLAN QUARTERLY IDCW Option;10.4464;25-Aug-2023")</f>
        <v>150257;INF251K01PH2;INF251K01PG4;BARODA BNP PARIBAS ARBITRAGE FUND REGULAR PLAN QUARTERLY IDCW Option;10.4464;25-Aug-2023</v>
      </c>
      <c r="B7361" s="1"/>
    </row>
    <row r="7362">
      <c r="A7362" s="1" t="str">
        <f>IFERROR(__xludf.DUMMYFUNCTION("""COMPUTED_VALUE"""),"150250;INF251K01ON3;-;BARODA BNP PARIBAS ARBITRAGE FUND- REGULAR PLAN- GROWTH OPTION;14.1535;25-Aug-2023")</f>
        <v>150250;INF251K01ON3;-;BARODA BNP PARIBAS ARBITRAGE FUND- REGULAR PLAN- GROWTH OPTION;14.1535;25-Aug-2023</v>
      </c>
      <c r="B7362" s="1"/>
    </row>
    <row r="7363">
      <c r="A7363" s="1" t="str">
        <f>IFERROR(__xludf.DUMMYFUNCTION("""COMPUTED_VALUE"""),"150251;INF251K01OT0;-;BARODA BNP PARIBAS ARBITRAGE FUND-DIRECT PLAN-GROWTH OPTION;14.7446;25-Aug-2023")</f>
        <v>150251;INF251K01OT0;-;BARODA BNP PARIBAS ARBITRAGE FUND-DIRECT PLAN-GROWTH OPTION;14.7446;25-Aug-2023</v>
      </c>
      <c r="B7363" s="1"/>
    </row>
    <row r="7364">
      <c r="A7364" s="1" t="str">
        <f>IFERROR(__xludf.DUMMYFUNCTION("""COMPUTED_VALUE"""),"150253;INF251K01OP8;INF251K01OO1;BARODA BNP PARIBAS ARBITRAGE FUND-REGULAR PLAN- ADHOC IDCW OPTION;10.5881;25-Aug-2023")</f>
        <v>150253;INF251K01OP8;INF251K01OO1;BARODA BNP PARIBAS ARBITRAGE FUND-REGULAR PLAN- ADHOC IDCW OPTION;10.5881;25-Aug-2023</v>
      </c>
      <c r="B7364" s="1"/>
    </row>
    <row r="7365">
      <c r="A7365" s="1"/>
      <c r="B7365" s="1"/>
    </row>
    <row r="7366">
      <c r="A7366" s="1" t="str">
        <f>IFERROR(__xludf.DUMMYFUNCTION("""COMPUTED_VALUE"""),"DSP Mutual Fund")</f>
        <v>DSP Mutual Fund</v>
      </c>
      <c r="B7366" s="1"/>
    </row>
    <row r="7367">
      <c r="A7367" s="1"/>
      <c r="B7367" s="1"/>
    </row>
    <row r="7368">
      <c r="A7368" s="1" t="str">
        <f>IFERROR(__xludf.DUMMYFUNCTION("""COMPUTED_VALUE"""),"142283;INF740KA1DN4;-;DSP Arbitrage Fund - Direct - Growth;13.614;25-Aug-2023")</f>
        <v>142283;INF740KA1DN4;-;DSP Arbitrage Fund - Direct - Growth;13.614;25-Aug-2023</v>
      </c>
      <c r="B7368" s="1"/>
    </row>
    <row r="7369">
      <c r="A7369" s="1" t="str">
        <f>IFERROR(__xludf.DUMMYFUNCTION("""COMPUTED_VALUE"""),"142279;INF740KA1DO2;INF740KA1DP9;DSP Arbitrage Fund - Direct - IDCW;11.325;25-Aug-2023")</f>
        <v>142279;INF740KA1DO2;INF740KA1DP9;DSP Arbitrage Fund - Direct - IDCW;11.325;25-Aug-2023</v>
      </c>
      <c r="B7369" s="1"/>
    </row>
    <row r="7370">
      <c r="A7370" s="1" t="str">
        <f>IFERROR(__xludf.DUMMYFUNCTION("""COMPUTED_VALUE"""),"142281;INF740KA1DQ7;INF740KA1DR5;DSP Arbitrage Fund - Direct - IDCW - Monthly;11.991;25-Aug-2023")</f>
        <v>142281;INF740KA1DQ7;INF740KA1DR5;DSP Arbitrage Fund - Direct - IDCW - Monthly;11.991;25-Aug-2023</v>
      </c>
      <c r="B7370" s="1"/>
    </row>
    <row r="7371">
      <c r="A7371" s="1" t="str">
        <f>IFERROR(__xludf.DUMMYFUNCTION("""COMPUTED_VALUE"""),"142282;INF740KA1DI4;-;DSP Arbitrage Fund - Regular - Growth;13.163;25-Aug-2023")</f>
        <v>142282;INF740KA1DI4;-;DSP Arbitrage Fund - Regular - Growth;13.163;25-Aug-2023</v>
      </c>
      <c r="B7371" s="1"/>
    </row>
    <row r="7372">
      <c r="A7372" s="1" t="str">
        <f>IFERROR(__xludf.DUMMYFUNCTION("""COMPUTED_VALUE"""),"142280;INF740KA1DJ2;INF740KA1DK0;DSP Arbitrage Fund - Regular - IDCW;11.001;25-Aug-2023")</f>
        <v>142280;INF740KA1DJ2;INF740KA1DK0;DSP Arbitrage Fund - Regular - IDCW;11.001;25-Aug-2023</v>
      </c>
      <c r="B7372" s="1"/>
    </row>
    <row r="7373">
      <c r="A7373" s="1" t="str">
        <f>IFERROR(__xludf.DUMMYFUNCTION("""COMPUTED_VALUE"""),"142278;INF740KA1DL8;INF740KA1DM6;DSP Arbitrage Fund - Regular - IDCW - Monthly;11.056;25-Aug-2023")</f>
        <v>142278;INF740KA1DL8;INF740KA1DM6;DSP Arbitrage Fund - Regular - IDCW - Monthly;11.056;25-Aug-2023</v>
      </c>
      <c r="B7373" s="1"/>
    </row>
    <row r="7374">
      <c r="A7374" s="1"/>
      <c r="B7374" s="1"/>
    </row>
    <row r="7375">
      <c r="A7375" s="1" t="str">
        <f>IFERROR(__xludf.DUMMYFUNCTION("""COMPUTED_VALUE"""),"Edelweiss Mutual Fund")</f>
        <v>Edelweiss Mutual Fund</v>
      </c>
      <c r="B7375" s="1"/>
    </row>
    <row r="7376">
      <c r="A7376" s="1"/>
      <c r="B7376" s="1"/>
    </row>
    <row r="7377">
      <c r="A7377" s="1" t="str">
        <f>IFERROR(__xludf.DUMMYFUNCTION("""COMPUTED_VALUE"""),"130209;INF754K01EB2;INF754K01EC0;Edelweiss Arbitrage Fund - Direct Plan - IDCW Option;12.8944;25-Aug-2023")</f>
        <v>130209;INF754K01EB2;INF754K01EC0;Edelweiss Arbitrage Fund - Direct Plan - IDCW Option;12.8944;25-Aug-2023</v>
      </c>
      <c r="B7377" s="1"/>
    </row>
    <row r="7378">
      <c r="A7378" s="1" t="str">
        <f>IFERROR(__xludf.DUMMYFUNCTION("""COMPUTED_VALUE"""),"141606;INF754K01HW1;INF754K01HX9;Edelweiss Arbitrage Fund - Monthly  Direct Plan - IDCW Option;14.8174;25-Aug-2023")</f>
        <v>141606;INF754K01HW1;INF754K01HX9;Edelweiss Arbitrage Fund - Monthly  Direct Plan - IDCW Option;14.8174;25-Aug-2023</v>
      </c>
      <c r="B7378" s="1"/>
    </row>
    <row r="7379">
      <c r="A7379" s="1" t="str">
        <f>IFERROR(__xludf.DUMMYFUNCTION("""COMPUTED_VALUE"""),"141605;INF754K01HT7;INF754K01HU5;Edelweiss Arbitrage Fund - Monthly  Regular Plan - IDCW Option;13.9071;25-Aug-2023")</f>
        <v>141605;INF754K01HT7;INF754K01HU5;Edelweiss Arbitrage Fund - Monthly  Regular Plan - IDCW Option;13.9071;25-Aug-2023</v>
      </c>
      <c r="B7379" s="1"/>
    </row>
    <row r="7380">
      <c r="A7380" s="1" t="str">
        <f>IFERROR(__xludf.DUMMYFUNCTION("""COMPUTED_VALUE"""),"130207;INF754K01EG1;INF754K01EH9;Edelweiss Arbitrage Fund - Regular Plan - IDCW Option;12.4914;25-Aug-2023")</f>
        <v>130207;INF754K01EG1;INF754K01EH9;Edelweiss Arbitrage Fund - Regular Plan - IDCW Option;12.4914;25-Aug-2023</v>
      </c>
      <c r="B7380" s="1"/>
    </row>
    <row r="7381">
      <c r="A7381" s="1" t="str">
        <f>IFERROR(__xludf.DUMMYFUNCTION("""COMPUTED_VALUE"""),"130206;INF754K01EA4;-;Edelweiss Arbitrage Fund- Direct Plan- Growth Option;18.037;25-Aug-2023")</f>
        <v>130206;INF754K01EA4;-;Edelweiss Arbitrage Fund- Direct Plan- Growth Option;18.037;25-Aug-2023</v>
      </c>
      <c r="B7381" s="1"/>
    </row>
    <row r="7382">
      <c r="A7382" s="1" t="str">
        <f>IFERROR(__xludf.DUMMYFUNCTION("""COMPUTED_VALUE"""),"130208;INF754K01EJ5;-;Edelweiss Arbitrage Fund- Regular Plan -Bonus Option;17.0261;25-Aug-2023")</f>
        <v>130208;INF754K01EJ5;-;Edelweiss Arbitrage Fund- Regular Plan -Bonus Option;17.0261;25-Aug-2023</v>
      </c>
      <c r="B7382" s="1"/>
    </row>
    <row r="7383">
      <c r="A7383" s="1" t="str">
        <f>IFERROR(__xludf.DUMMYFUNCTION("""COMPUTED_VALUE"""),"130205;INF754K01EF3;-;Edelweiss Arbitrage Fund- Regular Plan- Growth Option;17.0223;25-Aug-2023")</f>
        <v>130205;INF754K01EF3;-;Edelweiss Arbitrage Fund- Regular Plan- Growth Option;17.0223;25-Aug-2023</v>
      </c>
      <c r="B7383" s="1"/>
    </row>
    <row r="7384">
      <c r="A7384" s="1"/>
      <c r="B7384" s="1"/>
    </row>
    <row r="7385">
      <c r="A7385" s="1" t="str">
        <f>IFERROR(__xludf.DUMMYFUNCTION("""COMPUTED_VALUE"""),"Groww Mutual Fund")</f>
        <v>Groww Mutual Fund</v>
      </c>
      <c r="B7385" s="1"/>
    </row>
    <row r="7386">
      <c r="A7386" s="1"/>
      <c r="B7386" s="1"/>
    </row>
    <row r="7387">
      <c r="A7387" s="1" t="str">
        <f>IFERROR(__xludf.DUMMYFUNCTION("""COMPUTED_VALUE"""),"133181;INF666M01AW8;-;Groww Arbitrage Fund (formerly known as Indiabulls Arbitrage Fund) - Direct Plan - Growth Option;16.2598;25-Aug-2023")</f>
        <v>133181;INF666M01AW8;-;Groww Arbitrage Fund (formerly known as Indiabulls Arbitrage Fund) - Direct Plan - Growth Option;16.2598;25-Aug-2023</v>
      </c>
      <c r="B7387" s="1"/>
    </row>
    <row r="7388">
      <c r="A7388" s="1" t="str">
        <f>IFERROR(__xludf.DUMMYFUNCTION("""COMPUTED_VALUE"""),"140805;INF666M01CE2;INF666M01CF9;Groww Arbitrage Fund (formerly known as Indiabulls Arbitrage Fund) - Direct Plan- Half Yearly - Income Distribution cum capital withdrawal Option (Payout &amp; Reinvestment);12.955;25-Aug-2023")</f>
        <v>140805;INF666M01CE2;INF666M01CF9;Groww Arbitrage Fund (formerly known as Indiabulls Arbitrage Fund) - Direct Plan- Half Yearly - Income Distribution cum capital withdrawal Option (Payout &amp; Reinvestment);12.955;25-Aug-2023</v>
      </c>
      <c r="B7388" s="1"/>
    </row>
    <row r="7389">
      <c r="A7389" s="1" t="str">
        <f>IFERROR(__xludf.DUMMYFUNCTION("""COMPUTED_VALUE"""),"140807;INF666M01CC6;INF666M01CD4;Groww Arbitrage Fund (formerly known as Indiabulls Arbitrage Fund) - Direct Plan- Yearly Income Distribution cum capital withdrawal Option (Payout &amp; Reinvestment);12.8397;25-Aug-2023")</f>
        <v>140807;INF666M01CC6;INF666M01CD4;Groww Arbitrage Fund (formerly known as Indiabulls Arbitrage Fund) - Direct Plan- Yearly Income Distribution cum capital withdrawal Option (Payout &amp; Reinvestment);12.8397;25-Aug-2023</v>
      </c>
      <c r="B7389" s="1"/>
    </row>
    <row r="7390">
      <c r="A7390" s="1" t="str">
        <f>IFERROR(__xludf.DUMMYFUNCTION("""COMPUTED_VALUE"""),"133184;INF666M01BA2;-;Groww Arbitrage Fund (formerly known as Indiabulls Arbitrage Fund) - Regular Plan - Growth Option;15.4079;25-Aug-2023")</f>
        <v>133184;INF666M01BA2;-;Groww Arbitrage Fund (formerly known as Indiabulls Arbitrage Fund) - Regular Plan - Growth Option;15.4079;25-Aug-2023</v>
      </c>
      <c r="B7390" s="1"/>
    </row>
    <row r="7391">
      <c r="A7391" s="1" t="str">
        <f>IFERROR(__xludf.DUMMYFUNCTION("""COMPUTED_VALUE"""),"140801;INF666M01AX6;INF666M01AY4;Groww Arbitrage Fund (formerly known as Indiabulls Arbitrage Fund)- Direct Plan- Monthly - Income Distribution cum capital withdrawal Option (Payout &amp; Reinvestment);11.9399;25-Aug-2023")</f>
        <v>140801;INF666M01AX6;INF666M01AY4;Groww Arbitrage Fund (formerly known as Indiabulls Arbitrage Fund)- Direct Plan- Monthly - Income Distribution cum capital withdrawal Option (Payout &amp; Reinvestment);11.9399;25-Aug-2023</v>
      </c>
      <c r="B7391" s="1"/>
    </row>
    <row r="7392">
      <c r="A7392" s="1" t="str">
        <f>IFERROR(__xludf.DUMMYFUNCTION("""COMPUTED_VALUE"""),"140803;INF666M01CA0;INF666M01CB8;Groww Arbitrage Fund (formerly known as Indiabulls Arbitrage Fund)- Direct Plan- Quarterly - Income Distribution cum capital withdrawal Option (Payout &amp; Reinvestment);12.8723;25-Aug-2023")</f>
        <v>140803;INF666M01CA0;INF666M01CB8;Groww Arbitrage Fund (formerly known as Indiabulls Arbitrage Fund)- Direct Plan- Quarterly - Income Distribution cum capital withdrawal Option (Payout &amp; Reinvestment);12.8723;25-Aug-2023</v>
      </c>
      <c r="B7392" s="1"/>
    </row>
    <row r="7393">
      <c r="A7393" s="1" t="str">
        <f>IFERROR(__xludf.DUMMYFUNCTION("""COMPUTED_VALUE"""),"140806;INF666M01CK9;INF666M01CL7;Groww Arbitrage Fund (formerly known as Indiabulls Arbitrage Fund)- Regular Plan- Half Yearly - Income Distribution cum capital withdrawal Option (Payout &amp; Reinvestment);12.3974;25-Aug-2023")</f>
        <v>140806;INF666M01CK9;INF666M01CL7;Groww Arbitrage Fund (formerly known as Indiabulls Arbitrage Fund)- Regular Plan- Half Yearly - Income Distribution cum capital withdrawal Option (Payout &amp; Reinvestment);12.3974;25-Aug-2023</v>
      </c>
      <c r="B7393" s="1"/>
    </row>
    <row r="7394">
      <c r="A7394" s="1" t="str">
        <f>IFERROR(__xludf.DUMMYFUNCTION("""COMPUTED_VALUE"""),"140802;INF666M01BB0;INF666M01BC8;Groww Arbitrage Fund (formerly known as Indiabulls Arbitrage Fund)- Regular Plan- Monthly - Income Distribution cum capital withdrawal Option (Payout &amp; Reinvestment);11.5368;25-Aug-2023")</f>
        <v>140802;INF666M01BB0;INF666M01BC8;Groww Arbitrage Fund (formerly known as Indiabulls Arbitrage Fund)- Regular Plan- Monthly - Income Distribution cum capital withdrawal Option (Payout &amp; Reinvestment);11.5368;25-Aug-2023</v>
      </c>
      <c r="B7394" s="1"/>
    </row>
    <row r="7395">
      <c r="A7395" s="1" t="str">
        <f>IFERROR(__xludf.DUMMYFUNCTION("""COMPUTED_VALUE"""),"140804;INF666M01CG7;INF666M01CH5;Groww Arbitrage Fund (formerly known as Indiabulls Arbitrage Fund)- Regular Plan- Quarterly - Income Distribution cum capital withdrawal Option (Payout &amp; Reinvestment);12.4742;25-Aug-2023")</f>
        <v>140804;INF666M01CG7;INF666M01CH5;Groww Arbitrage Fund (formerly known as Indiabulls Arbitrage Fund)- Regular Plan- Quarterly - Income Distribution cum capital withdrawal Option (Payout &amp; Reinvestment);12.4742;25-Aug-2023</v>
      </c>
      <c r="B7395" s="1"/>
    </row>
    <row r="7396">
      <c r="A7396" s="1" t="str">
        <f>IFERROR(__xludf.DUMMYFUNCTION("""COMPUTED_VALUE"""),"140808;INF666M01CI3;INF666M01CJ1;Groww Arbitrage Fund (formerly known as Indiabulls Arbitrage Fund)- Regular Plan- Yearly - Income Distribution cum capital withdrawal Option (Payout &amp; Reinvestment);12.467;25-Aug-2023")</f>
        <v>140808;INF666M01CI3;INF666M01CJ1;Groww Arbitrage Fund (formerly known as Indiabulls Arbitrage Fund)- Regular Plan- Yearly - Income Distribution cum capital withdrawal Option (Payout &amp; Reinvestment);12.467;25-Aug-2023</v>
      </c>
      <c r="B7396" s="1"/>
    </row>
    <row r="7397">
      <c r="A7397" s="1"/>
      <c r="B7397" s="1"/>
    </row>
    <row r="7398">
      <c r="A7398" s="1" t="str">
        <f>IFERROR(__xludf.DUMMYFUNCTION("""COMPUTED_VALUE"""),"HDFC Mutual Fund")</f>
        <v>HDFC Mutual Fund</v>
      </c>
      <c r="B7398" s="1"/>
    </row>
    <row r="7399">
      <c r="A7399" s="1"/>
      <c r="B7399" s="1"/>
    </row>
    <row r="7400">
      <c r="A7400" s="1" t="str">
        <f>IFERROR(__xludf.DUMMYFUNCTION("""COMPUTED_VALUE"""),"118931;INF179K01UU8;-;HDFC ARBITRAGE FUND - Growth Option - Direct Plan;27.796;25-Aug-2023")</f>
        <v>118931;INF179K01UU8;-;HDFC ARBITRAGE FUND - Growth Option - Direct Plan;27.796;25-Aug-2023</v>
      </c>
      <c r="B7400" s="1"/>
    </row>
    <row r="7401">
      <c r="A7401" s="1" t="str">
        <f>IFERROR(__xludf.DUMMYFUNCTION("""COMPUTED_VALUE"""),"118930;INF179K01UV6;INF179K01UW4;HDFC ARBITRAGE FUND - Quarterly IDCW Option - Direct Plan;21.064;25-Aug-2023")</f>
        <v>118930;INF179K01UV6;INF179K01UW4;HDFC ARBITRAGE FUND - Quarterly IDCW Option - Direct Plan;21.064;25-Aug-2023</v>
      </c>
      <c r="B7401" s="1"/>
    </row>
    <row r="7402">
      <c r="A7402" s="1" t="str">
        <f>IFERROR(__xludf.DUMMYFUNCTION("""COMPUTED_VALUE"""),"106796;INF179K01319;-;HDFC ARBITRAGE FUND - Retail Growth Option;26.117;25-Aug-2023")</f>
        <v>106796;INF179K01319;-;HDFC ARBITRAGE FUND - Retail Growth Option;26.117;25-Aug-2023</v>
      </c>
      <c r="B7402" s="1"/>
    </row>
    <row r="7403">
      <c r="A7403" s="1" t="str">
        <f>IFERROR(__xludf.DUMMYFUNCTION("""COMPUTED_VALUE"""),"106799;-;-;HDFC ARBITRAGE FUND - Retail IDCW Option;19.464;25-Aug-2023")</f>
        <v>106799;-;-;HDFC ARBITRAGE FUND - Retail IDCW Option;19.464;25-Aug-2023</v>
      </c>
      <c r="B7403" s="1"/>
    </row>
    <row r="7404">
      <c r="A7404" s="1" t="str">
        <f>IFERROR(__xludf.DUMMYFUNCTION("""COMPUTED_VALUE"""),"106797;INF179K01327;-;HDFC ARBITRAGE FUND - Retail Quarterly IDCW Option;18.618;25-Aug-2023")</f>
        <v>106797;INF179K01327;-;HDFC ARBITRAGE FUND - Retail Quarterly IDCW Option;18.618;25-Aug-2023</v>
      </c>
      <c r="B7404" s="1"/>
    </row>
    <row r="7405">
      <c r="A7405" s="1" t="str">
        <f>IFERROR(__xludf.DUMMYFUNCTION("""COMPUTED_VALUE"""),"106793;INF179K01343;-;HDFC ARBITRAGE FUND - Wholesale Growth Option;26.898;25-Aug-2023")</f>
        <v>106793;INF179K01343;-;HDFC ARBITRAGE FUND - Wholesale Growth Option;26.898;25-Aug-2023</v>
      </c>
      <c r="B7405" s="1"/>
    </row>
    <row r="7406">
      <c r="A7406" s="1" t="str">
        <f>IFERROR(__xludf.DUMMYFUNCTION("""COMPUTED_VALUE"""),"129052;INF179KA1KT6;-;HDFC ARBITRAGE FUND - Wholesale Growth Option - Direct Plan;17.535;25-Aug-2023")</f>
        <v>129052;INF179KA1KT6;-;HDFC ARBITRAGE FUND - Wholesale Growth Option - Direct Plan;17.535;25-Aug-2023</v>
      </c>
      <c r="B7406" s="1"/>
    </row>
    <row r="7407">
      <c r="A7407" s="1" t="str">
        <f>IFERROR(__xludf.DUMMYFUNCTION("""COMPUTED_VALUE"""),"106795;INF179KA1KM1;INF179KA1KL3;HDFC ARBITRAGE FUND - Wholesale IDCW Option;10.596;25-Aug-2023")</f>
        <v>106795;INF179KA1KM1;INF179KA1KL3;HDFC ARBITRAGE FUND - Wholesale IDCW Option;10.596;25-Aug-2023</v>
      </c>
      <c r="B7407" s="1"/>
    </row>
    <row r="7408">
      <c r="A7408" s="1" t="str">
        <f>IFERROR(__xludf.DUMMYFUNCTION("""COMPUTED_VALUE"""),"129053;INF179KA1KQ2;INF179KA1KP4;HDFC ARBITRAGE FUND - Wholesale IDCW Option - Direct Plan;11.077;25-Aug-2023")</f>
        <v>129053;INF179KA1KQ2;INF179KA1KP4;HDFC ARBITRAGE FUND - Wholesale IDCW Option - Direct Plan;11.077;25-Aug-2023</v>
      </c>
      <c r="B7408" s="1"/>
    </row>
    <row r="7409">
      <c r="A7409" s="1" t="str">
        <f>IFERROR(__xludf.DUMMYFUNCTION("""COMPUTED_VALUE"""),"129054;INF179KA1KS8;INF179KA1KR0;HDFC ARBITRAGE FUND - Wholesale Monthly IDCW - Direct Plan;10.748;25-Aug-2023")</f>
        <v>129054;INF179KA1KS8;INF179KA1KR0;HDFC ARBITRAGE FUND - Wholesale Monthly IDCW - Direct Plan;10.748;25-Aug-2023</v>
      </c>
      <c r="B7409" s="1"/>
    </row>
    <row r="7410">
      <c r="A7410" s="1" t="str">
        <f>IFERROR(__xludf.DUMMYFUNCTION("""COMPUTED_VALUE"""),"129051;INF179KA1KO7;INF179KA1KN9;HDFC ARBITRAGE FUND - Wholesale Monthly IDCW Option  ;10.988;25-Aug-2023")</f>
        <v>129051;INF179KA1KO7;INF179KA1KN9;HDFC ARBITRAGE FUND - Wholesale Monthly IDCW Option  ;10.988;25-Aug-2023</v>
      </c>
      <c r="B7410" s="1"/>
    </row>
    <row r="7411">
      <c r="A7411" s="1"/>
      <c r="B7411" s="1"/>
    </row>
    <row r="7412">
      <c r="A7412" s="1" t="str">
        <f>IFERROR(__xludf.DUMMYFUNCTION("""COMPUTED_VALUE"""),"HSBC Mutual Fund")</f>
        <v>HSBC Mutual Fund</v>
      </c>
      <c r="B7412" s="1"/>
    </row>
    <row r="7413">
      <c r="A7413" s="1"/>
      <c r="B7413" s="1"/>
    </row>
    <row r="7414">
      <c r="A7414" s="1" t="str">
        <f>IFERROR(__xludf.DUMMYFUNCTION("""COMPUTED_VALUE"""),"151138;INF917K01QR5;-;HSBC Arbitrage Fund - Direct Growth;17.7012;25-Aug-2023")</f>
        <v>151138;INF917K01QR5;-;HSBC Arbitrage Fund - Direct Growth;17.7012;25-Aug-2023</v>
      </c>
      <c r="B7414" s="1"/>
    </row>
    <row r="7415">
      <c r="A7415" s="1" t="str">
        <f>IFERROR(__xludf.DUMMYFUNCTION("""COMPUTED_VALUE"""),"151135;INF917K01QT1;INF917K01QS3;HSBC Arbitrage Fund - Direct Monthly IDCW;10.5426;25-Aug-2023")</f>
        <v>151135;INF917K01QT1;INF917K01QS3;HSBC Arbitrage Fund - Direct Monthly IDCW;10.5426;25-Aug-2023</v>
      </c>
      <c r="B7415" s="1"/>
    </row>
    <row r="7416">
      <c r="A7416" s="1" t="str">
        <f>IFERROR(__xludf.DUMMYFUNCTION("""COMPUTED_VALUE"""),"151136;INF917K01QV7;INF917K01QU9;HSBC Arbitrage Fund - Direct Quarterly IDCW;11.4208;25-Aug-2023")</f>
        <v>151136;INF917K01QV7;INF917K01QU9;HSBC Arbitrage Fund - Direct Quarterly IDCW;11.4208;25-Aug-2023</v>
      </c>
      <c r="B7416" s="1"/>
    </row>
    <row r="7417">
      <c r="A7417" s="1" t="str">
        <f>IFERROR(__xludf.DUMMYFUNCTION("""COMPUTED_VALUE"""),"151134;INF917K01QL8;-;HSBC Arbitrage Fund - Regular Growth;16.7398;25-Aug-2023")</f>
        <v>151134;INF917K01QL8;-;HSBC Arbitrage Fund - Regular Growth;16.7398;25-Aug-2023</v>
      </c>
      <c r="B7417" s="1"/>
    </row>
    <row r="7418">
      <c r="A7418" s="1" t="str">
        <f>IFERROR(__xludf.DUMMYFUNCTION("""COMPUTED_VALUE"""),"151140;INF917K01QN4;INF917K01QM6;HSBC Arbitrage Fund - Regular Monthly IDCW;10.4484;25-Aug-2023")</f>
        <v>151140;INF917K01QN4;INF917K01QM6;HSBC Arbitrage Fund - Regular Monthly IDCW;10.4484;25-Aug-2023</v>
      </c>
      <c r="B7418" s="1"/>
    </row>
    <row r="7419">
      <c r="A7419" s="1" t="str">
        <f>IFERROR(__xludf.DUMMYFUNCTION("""COMPUTED_VALUE"""),"151137;INF917K01QP9;INF917K01QO2;HSBC Arbitrage Fund - Regular Quarterly IDCW;11.167;25-Aug-2023")</f>
        <v>151137;INF917K01QP9;INF917K01QO2;HSBC Arbitrage Fund - Regular Quarterly IDCW;11.167;25-Aug-2023</v>
      </c>
      <c r="B7419" s="1"/>
    </row>
    <row r="7420">
      <c r="A7420" s="1"/>
      <c r="B7420" s="1"/>
    </row>
    <row r="7421">
      <c r="A7421" s="1" t="str">
        <f>IFERROR(__xludf.DUMMYFUNCTION("""COMPUTED_VALUE"""),"ICICI Prudential Mutual Fund")</f>
        <v>ICICI Prudential Mutual Fund</v>
      </c>
      <c r="B7421" s="1"/>
    </row>
    <row r="7422">
      <c r="A7422" s="1"/>
      <c r="B7422" s="1"/>
    </row>
    <row r="7423">
      <c r="A7423" s="1" t="str">
        <f>IFERROR(__xludf.DUMMYFUNCTION("""COMPUTED_VALUE"""),"104684;INF109K01BD1;-;ICICI Prudential Equity - Arbitrage Fund-Institutional Growth Option;26.3343;24-Apr-2020")</f>
        <v>104684;INF109K01BD1;-;ICICI Prudential Equity - Arbitrage Fund-Institutional Growth Option;26.3343;24-Apr-2020</v>
      </c>
      <c r="B7423" s="1"/>
    </row>
    <row r="7424">
      <c r="A7424" s="1" t="str">
        <f>IFERROR(__xludf.DUMMYFUNCTION("""COMPUTED_VALUE"""),"130898;INF109KA1C15;-;ICICI Prudential Equity Arbitrage Fund - Bonus;11.8080;17-Jan-2017")</f>
        <v>130898;INF109KA1C15;-;ICICI Prudential Equity Arbitrage Fund - Bonus;11.8080;17-Jan-2017</v>
      </c>
      <c r="B7424" s="1"/>
    </row>
    <row r="7425">
      <c r="A7425" s="1" t="str">
        <f>IFERROR(__xludf.DUMMYFUNCTION("""COMPUTED_VALUE"""),"120364;INF109K016O4;-;ICICI Prudential Equity Arbitrage Fund - Direct Plan - Growth;31.9769;25-Aug-2023")</f>
        <v>120364;INF109K016O4;-;ICICI Prudential Equity Arbitrage Fund - Direct Plan - Growth;31.9769;25-Aug-2023</v>
      </c>
      <c r="B7425" s="1"/>
    </row>
    <row r="7426">
      <c r="A7426" s="1" t="str">
        <f>IFERROR(__xludf.DUMMYFUNCTION("""COMPUTED_VALUE"""),"120365;INF109K017O2;INF109K015O6;ICICI Prudential Equity Arbitrage Fund - Direct Plan - IDCW;16.0665;25-Aug-2023")</f>
        <v>120365;INF109K017O2;INF109K015O6;ICICI Prudential Equity Arbitrage Fund - Direct Plan - IDCW;16.0665;25-Aug-2023</v>
      </c>
      <c r="B7426" s="1"/>
    </row>
    <row r="7427">
      <c r="A7427" s="1" t="str">
        <f>IFERROR(__xludf.DUMMYFUNCTION("""COMPUTED_VALUE"""),"130951;INF109KA1C07;-;ICICI Prudential Equity Arbitrage Fund - Direct Plan Bonus;14.7363;24-Apr-2020")</f>
        <v>130951;INF109KA1C07;-;ICICI Prudential Equity Arbitrage Fund - Direct Plan Bonus;14.7363;24-Apr-2020</v>
      </c>
      <c r="B7427" s="1"/>
    </row>
    <row r="7428">
      <c r="A7428" s="1" t="str">
        <f>IFERROR(__xludf.DUMMYFUNCTION("""COMPUTED_VALUE"""),"104683;INF109K01BF6;-;ICICI Prudential Equity Arbitrage Fund - Growth;30.1374;25-Aug-2023")</f>
        <v>104683;INF109K01BF6;-;ICICI Prudential Equity Arbitrage Fund - Growth;30.1374;25-Aug-2023</v>
      </c>
      <c r="B7428" s="1"/>
    </row>
    <row r="7429">
      <c r="A7429" s="1" t="str">
        <f>IFERROR(__xludf.DUMMYFUNCTION("""COMPUTED_VALUE"""),"104681;INF109K01EF0;INF109K01BE9;ICICI Prudential Equity Arbitrage Fund - IDCW;14.3209;25-Aug-2023")</f>
        <v>104681;INF109K01EF0;INF109K01BE9;ICICI Prudential Equity Arbitrage Fund - IDCW;14.3209;25-Aug-2023</v>
      </c>
      <c r="B7429" s="1"/>
    </row>
    <row r="7430">
      <c r="A7430" s="1"/>
      <c r="B7430" s="1"/>
    </row>
    <row r="7431">
      <c r="A7431" s="1" t="str">
        <f>IFERROR(__xludf.DUMMYFUNCTION("""COMPUTED_VALUE"""),"Invesco Mutual Fund")</f>
        <v>Invesco Mutual Fund</v>
      </c>
      <c r="B7431" s="1"/>
    </row>
    <row r="7432">
      <c r="A7432" s="1"/>
      <c r="B7432" s="1"/>
    </row>
    <row r="7433">
      <c r="A7433" s="1" t="str">
        <f>IFERROR(__xludf.DUMMYFUNCTION("""COMPUTED_VALUE"""),"130787;INF205K01P68;-;Invesco India Arbitrage Fund - Direct Plan - Annual Bonus;29.9182;25-Aug-2023")</f>
        <v>130787;INF205K01P68;-;Invesco India Arbitrage Fund - Direct Plan - Annual Bonus;29.9182;25-Aug-2023</v>
      </c>
      <c r="B7433" s="1"/>
    </row>
    <row r="7434">
      <c r="A7434" s="1" t="str">
        <f>IFERROR(__xludf.DUMMYFUNCTION("""COMPUTED_VALUE"""),"120401;INF205K01KR8;-;Invesco India Arbitrage Fund - Direct Plan - Growth Option;29.9257;25-Aug-2023")</f>
        <v>120401;INF205K01KR8;-;Invesco India Arbitrage Fund - Direct Plan - Growth Option;29.9257;25-Aug-2023</v>
      </c>
      <c r="B7434" s="1"/>
    </row>
    <row r="7435">
      <c r="A7435" s="1" t="str">
        <f>IFERROR(__xludf.DUMMYFUNCTION("""COMPUTED_VALUE"""),"120400;INF205K01KP2;INF205K01KQ0;Invesco India Arbitrage Fund - Direct Plan - IDCW (Payout / Reinvestment);16.25;25-Aug-2023")</f>
        <v>120400;INF205K01KP2;INF205K01KQ0;Invesco India Arbitrage Fund - Direct Plan - IDCW (Payout / Reinvestment);16.25;25-Aug-2023</v>
      </c>
      <c r="B7435" s="1"/>
    </row>
    <row r="7436">
      <c r="A7436" s="1" t="str">
        <f>IFERROR(__xludf.DUMMYFUNCTION("""COMPUTED_VALUE"""),"105603;INF205K01122;-;Invesco India Arbitrage Fund - Growth Option;28.0174;25-Aug-2023")</f>
        <v>105603;INF205K01122;-;Invesco India Arbitrage Fund - Growth Option;28.0174;25-Aug-2023</v>
      </c>
      <c r="B7436" s="1"/>
    </row>
    <row r="7437">
      <c r="A7437" s="1" t="str">
        <f>IFERROR(__xludf.DUMMYFUNCTION("""COMPUTED_VALUE"""),"105604;INF205K01148;INF205K01130;Invesco India Arbitrage Fund - IDCW (Payout / Reinvestment);14.9525;25-Aug-2023")</f>
        <v>105604;INF205K01148;INF205K01130;Invesco India Arbitrage Fund - IDCW (Payout / Reinvestment);14.9525;25-Aug-2023</v>
      </c>
      <c r="B7437" s="1"/>
    </row>
    <row r="7438">
      <c r="A7438" s="1"/>
      <c r="B7438" s="1"/>
    </row>
    <row r="7439">
      <c r="A7439" s="1" t="str">
        <f>IFERROR(__xludf.DUMMYFUNCTION("""COMPUTED_VALUE"""),"ITI Mutual Fund")</f>
        <v>ITI Mutual Fund</v>
      </c>
      <c r="B7439" s="1"/>
    </row>
    <row r="7440">
      <c r="A7440" s="1"/>
      <c r="B7440" s="1"/>
    </row>
    <row r="7441">
      <c r="A7441" s="1" t="str">
        <f>IFERROR(__xludf.DUMMYFUNCTION("""COMPUTED_VALUE"""),"147617;INF00XX01440;-;ITI Arbitrage Fund - Direct Plan - Growth Option;11.7726;25-Aug-2023")</f>
        <v>147617;INF00XX01440;-;ITI Arbitrage Fund - Direct Plan - Growth Option;11.7726;25-Aug-2023</v>
      </c>
      <c r="B7441" s="1"/>
    </row>
    <row r="7442">
      <c r="A7442" s="1" t="str">
        <f>IFERROR(__xludf.DUMMYFUNCTION("""COMPUTED_VALUE"""),"147615;INF00XX01457;INF00XX01465;ITI Arbitrage Fund - Direct Plan - IDCW Option;11.7726;25-Aug-2023")</f>
        <v>147615;INF00XX01457;INF00XX01465;ITI Arbitrage Fund - Direct Plan - IDCW Option;11.7726;25-Aug-2023</v>
      </c>
      <c r="B7442" s="1"/>
    </row>
    <row r="7443">
      <c r="A7443" s="1" t="str">
        <f>IFERROR(__xludf.DUMMYFUNCTION("""COMPUTED_VALUE"""),"147618;INF00XX01416;-;ITI Arbitrage Fund - Regular Plan - Growth Option;11.4257;25-Aug-2023")</f>
        <v>147618;INF00XX01416;-;ITI Arbitrage Fund - Regular Plan - Growth Option;11.4257;25-Aug-2023</v>
      </c>
      <c r="B7443" s="1"/>
    </row>
    <row r="7444">
      <c r="A7444" s="1" t="str">
        <f>IFERROR(__xludf.DUMMYFUNCTION("""COMPUTED_VALUE"""),"147616;INF00XX01424;INF00XX01432;ITI Arbitrage Fund - Regular Plan - IDCW Option;11.4257;25-Aug-2023")</f>
        <v>147616;INF00XX01424;INF00XX01432;ITI Arbitrage Fund - Regular Plan - IDCW Option;11.4257;25-Aug-2023</v>
      </c>
      <c r="B7444" s="1"/>
    </row>
    <row r="7445">
      <c r="A7445" s="1"/>
      <c r="B7445" s="1"/>
    </row>
    <row r="7446">
      <c r="A7446" s="1" t="str">
        <f>IFERROR(__xludf.DUMMYFUNCTION("""COMPUTED_VALUE"""),"JM Financial Mutual Fund")</f>
        <v>JM Financial Mutual Fund</v>
      </c>
      <c r="B7446" s="1"/>
    </row>
    <row r="7447">
      <c r="A7447" s="1"/>
      <c r="B7447" s="1"/>
    </row>
    <row r="7448">
      <c r="A7448" s="1" t="str">
        <f>IFERROR(__xludf.DUMMYFUNCTION("""COMPUTED_VALUE"""),"133395;INF192K01GX4;-;JM Arbitrage Fund (Direct) - Annual Bonus Option - Principal Units;15.6233;25-Aug-2023")</f>
        <v>133395;INF192K01GX4;-;JM Arbitrage Fund (Direct) - Annual Bonus Option - Principal Units;15.6233;25-Aug-2023</v>
      </c>
      <c r="B7448" s="1"/>
    </row>
    <row r="7449">
      <c r="A7449" s="1" t="str">
        <f>IFERROR(__xludf.DUMMYFUNCTION("""COMPUTED_VALUE"""),"135173;INF192K01KY4;INF192K01KZ1;JM Arbitrage Fund (Direct) - Annual IDCW;13.8420;25-Aug-2023")</f>
        <v>135173;INF192K01KY4;INF192K01KZ1;JM Arbitrage Fund (Direct) - Annual IDCW;13.8420;25-Aug-2023</v>
      </c>
      <c r="B7449" s="1"/>
    </row>
    <row r="7450">
      <c r="A7450" s="1" t="str">
        <f>IFERROR(__xludf.DUMMYFUNCTION("""COMPUTED_VALUE"""),"130604;INF192K01GL9;-;JM Arbitrage Fund (Direct) - Bonus Option - Principal Units;16.2786;25-Aug-2023")</f>
        <v>130604;INF192K01GL9;-;JM Arbitrage Fund (Direct) - Bonus Option - Principal Units;16.2786;25-Aug-2023</v>
      </c>
      <c r="B7450" s="1"/>
    </row>
    <row r="7451">
      <c r="A7451" s="1" t="str">
        <f>IFERROR(__xludf.DUMMYFUNCTION("""COMPUTED_VALUE"""),"120482;INF192K01BN6;-;JM Arbitrage Fund (Direct) - Growth Option;30.4170;25-Aug-2023")</f>
        <v>120482;INF192K01BN6;-;JM Arbitrage Fund (Direct) - Growth Option;30.4170;25-Aug-2023</v>
      </c>
      <c r="B7451" s="1"/>
    </row>
    <row r="7452">
      <c r="A7452" s="1" t="str">
        <f>IFERROR(__xludf.DUMMYFUNCTION("""COMPUTED_VALUE"""),"133397;INF192K01ID2;-;JM Arbitrage Fund (Direct) - Half Yearly Bonus Option - Principal Units;30.4605;25-Aug-2023")</f>
        <v>133397;INF192K01ID2;-;JM Arbitrage Fund (Direct) - Half Yearly Bonus Option - Principal Units;30.4605;25-Aug-2023</v>
      </c>
      <c r="B7452" s="1"/>
    </row>
    <row r="7453">
      <c r="A7453" s="1" t="str">
        <f>IFERROR(__xludf.DUMMYFUNCTION("""COMPUTED_VALUE"""),"135171;INF192K01KU2;INF192K01KV0;JM Arbitrage Fund (Direct) - Half Yearly IDCW;14.0703;25-Aug-2023")</f>
        <v>135171;INF192K01KU2;INF192K01KV0;JM Arbitrage Fund (Direct) - Half Yearly IDCW;14.0703;25-Aug-2023</v>
      </c>
      <c r="B7453" s="1"/>
    </row>
    <row r="7454">
      <c r="A7454" s="1" t="str">
        <f>IFERROR(__xludf.DUMMYFUNCTION("""COMPUTED_VALUE"""),"135172;INF192K01KM9;INF192K01KN7;JM Arbitrage Fund (Direct) - Monthly IDCW;12.2832;25-Aug-2023")</f>
        <v>135172;INF192K01KM9;INF192K01KN7;JM Arbitrage Fund (Direct) - Monthly IDCW;12.2832;25-Aug-2023</v>
      </c>
      <c r="B7454" s="1"/>
    </row>
    <row r="7455">
      <c r="A7455" s="1" t="str">
        <f>IFERROR(__xludf.DUMMYFUNCTION("""COMPUTED_VALUE"""),"133398;INF192K01IH3;-;JM Arbitrage Fund (Direct) - Quarterly Bonus Option - Principal Units;30.4694;25-Aug-2023")</f>
        <v>133398;INF192K01IH3;-;JM Arbitrage Fund (Direct) - Quarterly Bonus Option - Principal Units;30.4694;25-Aug-2023</v>
      </c>
      <c r="B7455" s="1"/>
    </row>
    <row r="7456">
      <c r="A7456" s="1" t="str">
        <f>IFERROR(__xludf.DUMMYFUNCTION("""COMPUTED_VALUE"""),"135174;INF192K01KQ0;INF192K01KR8;JM Arbitrage Fund (Direct) - Quarterly IDCW;14.4514;25-Aug-2023")</f>
        <v>135174;INF192K01KQ0;INF192K01KR8;JM Arbitrage Fund (Direct) - Quarterly IDCW;14.4514;25-Aug-2023</v>
      </c>
      <c r="B7456" s="1"/>
    </row>
    <row r="7457">
      <c r="A7457" s="1" t="str">
        <f>IFERROR(__xludf.DUMMYFUNCTION("""COMPUTED_VALUE"""),"120481;INF192K01BL0;INF192K01BM8;JM Arbitrage Fund (Direct)- IDCW;14.3335;25-Aug-2023")</f>
        <v>120481;INF192K01BL0;INF192K01BM8;JM Arbitrage Fund (Direct)- IDCW;14.3335;25-Aug-2023</v>
      </c>
      <c r="B7457" s="1"/>
    </row>
    <row r="7458">
      <c r="A7458" s="1" t="str">
        <f>IFERROR(__xludf.DUMMYFUNCTION("""COMPUTED_VALUE"""),"133394;INF192K01GV8;-;JM Arbitrage Fund (Regular) - Annual Bonus Option - Principal Units;29.1645;25-Aug-2023")</f>
        <v>133394;INF192K01GV8;-;JM Arbitrage Fund (Regular) - Annual Bonus Option - Principal Units;29.1645;25-Aug-2023</v>
      </c>
      <c r="B7458" s="1"/>
    </row>
    <row r="7459">
      <c r="A7459" s="1" t="str">
        <f>IFERROR(__xludf.DUMMYFUNCTION("""COMPUTED_VALUE"""),"135167;INF192K01KW8;INF192K01KX6;JM Arbitrage Fund (Regular) - Annual IDCW;12.7632;25-Aug-2023")</f>
        <v>135167;INF192K01KW8;INF192K01KX6;JM Arbitrage Fund (Regular) - Annual IDCW;12.7632;25-Aug-2023</v>
      </c>
      <c r="B7459" s="1"/>
    </row>
    <row r="7460">
      <c r="A7460" s="1" t="str">
        <f>IFERROR(__xludf.DUMMYFUNCTION("""COMPUTED_VALUE"""),"130603;INF192K01GJ3;-;JM Arbitrage Fund (Regular) - Bonus Option - Principal Units;15.7057;25-Aug-2023")</f>
        <v>130603;INF192K01GJ3;-;JM Arbitrage Fund (Regular) - Bonus Option - Principal Units;15.7057;25-Aug-2023</v>
      </c>
      <c r="B7460" s="1"/>
    </row>
    <row r="7461">
      <c r="A7461" s="1" t="str">
        <f>IFERROR(__xludf.DUMMYFUNCTION("""COMPUTED_VALUE"""),"103780;INF192K01510;-;JM Arbitrage Fund (Regular) - Growth Option;28.8895;25-Aug-2023")</f>
        <v>103780;INF192K01510;-;JM Arbitrage Fund (Regular) - Growth Option;28.8895;25-Aug-2023</v>
      </c>
      <c r="B7461" s="1"/>
    </row>
    <row r="7462">
      <c r="A7462" s="1" t="str">
        <f>IFERROR(__xludf.DUMMYFUNCTION("""COMPUTED_VALUE"""),"133399;INF192K01IB6;-;JM Arbitrage Fund (Regular) - Half Yearly Bonus Option - Principal Units;29.2145;25-Aug-2023")</f>
        <v>133399;INF192K01IB6;-;JM Arbitrage Fund (Regular) - Half Yearly Bonus Option - Principal Units;29.2145;25-Aug-2023</v>
      </c>
      <c r="B7462" s="1"/>
    </row>
    <row r="7463">
      <c r="A7463" s="1" t="str">
        <f>IFERROR(__xludf.DUMMYFUNCTION("""COMPUTED_VALUE"""),"135170;INF192K01KS6;INF192K01KT4;JM Arbitrage Fund (Regular) - Half Yearly IDCW;12.8561;25-Aug-2023")</f>
        <v>135170;INF192K01KS6;INF192K01KT4;JM Arbitrage Fund (Regular) - Half Yearly IDCW;12.8561;25-Aug-2023</v>
      </c>
      <c r="B7463" s="1"/>
    </row>
    <row r="7464">
      <c r="A7464" s="1" t="str">
        <f>IFERROR(__xludf.DUMMYFUNCTION("""COMPUTED_VALUE"""),"103781;INF192K01494;INF192K01502;JM Arbitrage Fund (Regular) - IDCW ;13.4087;25-Aug-2023")</f>
        <v>103781;INF192K01494;INF192K01502;JM Arbitrage Fund (Regular) - IDCW ;13.4087;25-Aug-2023</v>
      </c>
      <c r="B7464" s="1"/>
    </row>
    <row r="7465">
      <c r="A7465" s="1" t="str">
        <f>IFERROR(__xludf.DUMMYFUNCTION("""COMPUTED_VALUE"""),"135168;INF192K01KK3;INF192K01KL1;JM Arbitrage Fund (Regular) - Monthly IDCW;11.3582;25-Aug-2023")</f>
        <v>135168;INF192K01KK3;INF192K01KL1;JM Arbitrage Fund (Regular) - Monthly IDCW;11.3582;25-Aug-2023</v>
      </c>
      <c r="B7465" s="1"/>
    </row>
    <row r="7466">
      <c r="A7466" s="1" t="str">
        <f>IFERROR(__xludf.DUMMYFUNCTION("""COMPUTED_VALUE"""),"133396;INF192K01IF7;-;JM Arbitrage Fund (Regular) - Quarterly Bonus Option - Principal Units;29.2145;25-Aug-2023")</f>
        <v>133396;INF192K01IF7;-;JM Arbitrage Fund (Regular) - Quarterly Bonus Option - Principal Units;29.2145;25-Aug-2023</v>
      </c>
      <c r="B7466" s="1"/>
    </row>
    <row r="7467">
      <c r="A7467" s="1" t="str">
        <f>IFERROR(__xludf.DUMMYFUNCTION("""COMPUTED_VALUE"""),"135169;INF192K01KO5;INF192K01KP2;JM Arbitrage Fund (Regular) - Quarterly IDCW;13.0465;25-Aug-2023")</f>
        <v>135169;INF192K01KO5;INF192K01KP2;JM Arbitrage Fund (Regular) - Quarterly IDCW;13.0465;25-Aug-2023</v>
      </c>
      <c r="B7467" s="1"/>
    </row>
    <row r="7468">
      <c r="A7468" s="1"/>
      <c r="B7468" s="1"/>
    </row>
    <row r="7469">
      <c r="A7469" s="1" t="str">
        <f>IFERROR(__xludf.DUMMYFUNCTION("""COMPUTED_VALUE"""),"Kotak Mahindra Mutual Fund")</f>
        <v>Kotak Mahindra Mutual Fund</v>
      </c>
      <c r="B7469" s="1"/>
    </row>
    <row r="7470">
      <c r="A7470" s="1"/>
      <c r="B7470" s="1"/>
    </row>
    <row r="7471">
      <c r="A7471" s="1" t="str">
        <f>IFERROR(__xludf.DUMMYFUNCTION("""COMPUTED_VALUE"""),"105968;INF174K01302;-;Kotak Equity Arbitrage Fund - Growth;32.8128;25-Aug-2023")</f>
        <v>105968;INF174K01302;-;Kotak Equity Arbitrage Fund - Growth;32.8128;25-Aug-2023</v>
      </c>
      <c r="B7471" s="1"/>
    </row>
    <row r="7472">
      <c r="A7472" s="1" t="str">
        <f>IFERROR(__xludf.DUMMYFUNCTION("""COMPUTED_VALUE"""),"119771;INF174K01LC6;-;Kotak Equity Arbitrage Fund - Growth - Direct;34.6822;25-Aug-2023")</f>
        <v>119771;INF174K01LC6;-;Kotak Equity Arbitrage Fund - Growth - Direct;34.6822;25-Aug-2023</v>
      </c>
      <c r="B7472" s="1"/>
    </row>
    <row r="7473">
      <c r="A7473" s="1" t="str">
        <f>IFERROR(__xludf.DUMMYFUNCTION("""COMPUTED_VALUE"""),"105967;INF174K01328;INF174K01310;Kotak Equity Arbitrage Fund - Payout of Income Distribution cum capital withdrawal option;10.792;25-Aug-2023")</f>
        <v>105967;INF174K01328;INF174K01310;Kotak Equity Arbitrage Fund - Payout of Income Distribution cum capital withdrawal option;10.792;25-Aug-2023</v>
      </c>
      <c r="B7473" s="1"/>
    </row>
    <row r="7474">
      <c r="A7474" s="1" t="str">
        <f>IFERROR(__xludf.DUMMYFUNCTION("""COMPUTED_VALUE"""),"119770;INF174K01LE2;INF174K01LD4;Kotak Equity Arbitrage Fund - Payout of Income Distribution cum capital withdrawal option - Direct;11.2824;25-Aug-2023")</f>
        <v>119770;INF174K01LE2;INF174K01LD4;Kotak Equity Arbitrage Fund - Payout of Income Distribution cum capital withdrawal option - Direct;11.2824;25-Aug-2023</v>
      </c>
      <c r="B7474" s="1"/>
    </row>
    <row r="7475">
      <c r="A7475" s="1"/>
      <c r="B7475" s="1"/>
    </row>
    <row r="7476">
      <c r="A7476" s="1" t="str">
        <f>IFERROR(__xludf.DUMMYFUNCTION("""COMPUTED_VALUE"""),"LIC Mutual Fund")</f>
        <v>LIC Mutual Fund</v>
      </c>
      <c r="B7476" s="1"/>
    </row>
    <row r="7477">
      <c r="A7477" s="1"/>
      <c r="B7477" s="1"/>
    </row>
    <row r="7478">
      <c r="A7478" s="1" t="str">
        <f>IFERROR(__xludf.DUMMYFUNCTION("""COMPUTED_VALUE"""),"145895;INF767K01PP0;-;LIC MF Arbitrage Fund-Direct Plan-Growth;12.6284;25-Aug-2023")</f>
        <v>145895;INF767K01PP0;-;LIC MF Arbitrage Fund-Direct Plan-Growth;12.6284;25-Aug-2023</v>
      </c>
      <c r="B7478" s="1"/>
    </row>
    <row r="7479">
      <c r="A7479" s="1" t="str">
        <f>IFERROR(__xludf.DUMMYFUNCTION("""COMPUTED_VALUE"""),"145894;INF767K01PR6;INF767K01PS4;LIC MF Arbitrage Fund-Direct Plan-Monthly IDCW;11.4808;25-Aug-2023")</f>
        <v>145894;INF767K01PR6;INF767K01PS4;LIC MF Arbitrage Fund-Direct Plan-Monthly IDCW;11.4808;25-Aug-2023</v>
      </c>
      <c r="B7479" s="1"/>
    </row>
    <row r="7480">
      <c r="A7480" s="1" t="str">
        <f>IFERROR(__xludf.DUMMYFUNCTION("""COMPUTED_VALUE"""),"145891;-;INF767K01PQ8;LIC MF Arbitrage Fund-Direct Plan-Weekly IDCW;11.8664;25-Aug-2023")</f>
        <v>145891;-;INF767K01PQ8;LIC MF Arbitrage Fund-Direct Plan-Weekly IDCW;11.8664;25-Aug-2023</v>
      </c>
      <c r="B7480" s="1"/>
    </row>
    <row r="7481">
      <c r="A7481" s="1" t="str">
        <f>IFERROR(__xludf.DUMMYFUNCTION("""COMPUTED_VALUE"""),"145890;INF767K01PL9;-;LIC MF Arbitrage Fund-Regular Plan-Growth;12.2282;25-Aug-2023")</f>
        <v>145890;INF767K01PL9;-;LIC MF Arbitrage Fund-Regular Plan-Growth;12.2282;25-Aug-2023</v>
      </c>
      <c r="B7481" s="1"/>
    </row>
    <row r="7482">
      <c r="A7482" s="1" t="str">
        <f>IFERROR(__xludf.DUMMYFUNCTION("""COMPUTED_VALUE"""),"145892;INF767K01PN5;INF767K01PO3;LIC MF Arbitrage Fund-Regular Plan-Monthly IDCW;11.947;25-Aug-2023")</f>
        <v>145892;INF767K01PN5;INF767K01PO3;LIC MF Arbitrage Fund-Regular Plan-Monthly IDCW;11.947;25-Aug-2023</v>
      </c>
      <c r="B7482" s="1"/>
    </row>
    <row r="7483">
      <c r="A7483" s="1" t="str">
        <f>IFERROR(__xludf.DUMMYFUNCTION("""COMPUTED_VALUE"""),"145893;-;INF767K01PM7;LIC MF Arbitrage Fund-Regular Plan-Weekly IDCW;11.8707;25-Aug-2023")</f>
        <v>145893;-;INF767K01PM7;LIC MF Arbitrage Fund-Regular Plan-Weekly IDCW;11.8707;25-Aug-2023</v>
      </c>
      <c r="B7483" s="1"/>
    </row>
    <row r="7484">
      <c r="A7484" s="1"/>
      <c r="B7484" s="1"/>
    </row>
    <row r="7485">
      <c r="A7485" s="1" t="str">
        <f>IFERROR(__xludf.DUMMYFUNCTION("""COMPUTED_VALUE"""),"Mahindra Manulife Mutual Fund")</f>
        <v>Mahindra Manulife Mutual Fund</v>
      </c>
      <c r="B7485" s="1"/>
    </row>
    <row r="7486">
      <c r="A7486" s="1"/>
      <c r="B7486" s="1"/>
    </row>
    <row r="7487">
      <c r="A7487" s="1" t="str">
        <f>IFERROR(__xludf.DUMMYFUNCTION("""COMPUTED_VALUE"""),"148470;INF174V01AC6;INF174V01AB8;Mahindra Manulife Arbitrage Fund - Direct Plan - IDCW;11.3977;25-Aug-2023")</f>
        <v>148470;INF174V01AC6;INF174V01AB8;Mahindra Manulife Arbitrage Fund - Direct Plan - IDCW;11.3977;25-Aug-2023</v>
      </c>
      <c r="B7487" s="1"/>
    </row>
    <row r="7488">
      <c r="A7488" s="1" t="str">
        <f>IFERROR(__xludf.DUMMYFUNCTION("""COMPUTED_VALUE"""),"148468;INF174V01AA0;-;Mahindra Manulife Arbitrage Fund - Direct Plan -Growth;11.3977;25-Aug-2023")</f>
        <v>148468;INF174V01AA0;-;Mahindra Manulife Arbitrage Fund - Direct Plan -Growth;11.3977;25-Aug-2023</v>
      </c>
      <c r="B7488" s="1"/>
    </row>
    <row r="7489">
      <c r="A7489" s="1" t="str">
        <f>IFERROR(__xludf.DUMMYFUNCTION("""COMPUTED_VALUE"""),"148467;INF174V01978;-;Mahindra Manulife Arbitrage Fund - Regular Plan - Growth;11.1133;25-Aug-2023")</f>
        <v>148467;INF174V01978;-;Mahindra Manulife Arbitrage Fund - Regular Plan - Growth;11.1133;25-Aug-2023</v>
      </c>
      <c r="B7489" s="1"/>
    </row>
    <row r="7490">
      <c r="A7490" s="1" t="str">
        <f>IFERROR(__xludf.DUMMYFUNCTION("""COMPUTED_VALUE"""),"148469;INF174V01994;INF174V01986;Mahindra Manulife Arbitrage Fund - Regular Plan - IDCW;11.1133;25-Aug-2023")</f>
        <v>148469;INF174V01994;INF174V01986;Mahindra Manulife Arbitrage Fund - Regular Plan - IDCW;11.1133;25-Aug-2023</v>
      </c>
      <c r="B7490" s="1"/>
    </row>
    <row r="7491">
      <c r="A7491" s="1"/>
      <c r="B7491" s="1"/>
    </row>
    <row r="7492">
      <c r="A7492" s="1" t="str">
        <f>IFERROR(__xludf.DUMMYFUNCTION("""COMPUTED_VALUE"""),"Mirae Asset Mutual Fund")</f>
        <v>Mirae Asset Mutual Fund</v>
      </c>
      <c r="B7492" s="1"/>
    </row>
    <row r="7493">
      <c r="A7493" s="1"/>
      <c r="B7493" s="1"/>
    </row>
    <row r="7494">
      <c r="A7494" s="1" t="str">
        <f>IFERROR(__xludf.DUMMYFUNCTION("""COMPUTED_VALUE"""),"148401;INF769K01FS1;-;Mirae Asset Arbitrage Fund Direct Growth;11.733;25-Aug-2023")</f>
        <v>148401;INF769K01FS1;-;Mirae Asset Arbitrage Fund Direct Growth;11.733;25-Aug-2023</v>
      </c>
      <c r="B7494" s="1"/>
    </row>
    <row r="7495">
      <c r="A7495" s="1" t="str">
        <f>IFERROR(__xludf.DUMMYFUNCTION("""COMPUTED_VALUE"""),"148402;INF769K01FR3;INF769K01FT9;Mirae Asset Arbitrage Fund Direct IDCW;11.719;25-Aug-2023")</f>
        <v>148402;INF769K01FR3;INF769K01FT9;Mirae Asset Arbitrage Fund Direct IDCW;11.719;25-Aug-2023</v>
      </c>
      <c r="B7495" s="1"/>
    </row>
    <row r="7496">
      <c r="A7496" s="1" t="str">
        <f>IFERROR(__xludf.DUMMYFUNCTION("""COMPUTED_VALUE"""),"148400;INF769K01FP7;-;Mirae Asset Arbitrage Fund Regular Growth;11.474;25-Aug-2023")</f>
        <v>148400;INF769K01FP7;-;Mirae Asset Arbitrage Fund Regular Growth;11.474;25-Aug-2023</v>
      </c>
      <c r="B7496" s="1"/>
    </row>
    <row r="7497">
      <c r="A7497" s="1" t="str">
        <f>IFERROR(__xludf.DUMMYFUNCTION("""COMPUTED_VALUE"""),"148403;INF769K01FO0;INF769K01FQ5;Mirae Asset Arbitrage Fund Regular IDCW;11.474;25-Aug-2023")</f>
        <v>148403;INF769K01FO0;INF769K01FQ5;Mirae Asset Arbitrage Fund Regular IDCW;11.474;25-Aug-2023</v>
      </c>
      <c r="B7497" s="1"/>
    </row>
    <row r="7498">
      <c r="A7498" s="1"/>
      <c r="B7498" s="1"/>
    </row>
    <row r="7499">
      <c r="A7499" s="1" t="str">
        <f>IFERROR(__xludf.DUMMYFUNCTION("""COMPUTED_VALUE"""),"Nippon India Mutual Fund")</f>
        <v>Nippon India Mutual Fund</v>
      </c>
      <c r="B7499" s="1"/>
    </row>
    <row r="7500">
      <c r="A7500" s="1"/>
      <c r="B7500" s="1"/>
    </row>
    <row r="7501">
      <c r="A7501" s="1" t="str">
        <f>IFERROR(__xludf.DUMMYFUNCTION("""COMPUTED_VALUE"""),"118587;INF204K01YA8;INF204K01YB6;NIPPON INDIA ARBITRAGE FUND - DIRECT Plan - IDCW Option;15.3627;25-Aug-2023")</f>
        <v>118587;INF204K01YA8;INF204K01YB6;NIPPON INDIA ARBITRAGE FUND - DIRECT Plan - IDCW Option;15.3627;25-Aug-2023</v>
      </c>
      <c r="B7501" s="1"/>
    </row>
    <row r="7502">
      <c r="A7502" s="1" t="str">
        <f>IFERROR(__xludf.DUMMYFUNCTION("""COMPUTED_VALUE"""),"128821;INF204KA1MV7;INF204KA1MW5;NIPPON INDIA ARBITRAGE FUND - DIRECT Plan - MONTHLY IDCW Option;13.0595;25-Aug-2023")</f>
        <v>128821;INF204KA1MV7;INF204KA1MW5;NIPPON INDIA ARBITRAGE FUND - DIRECT Plan - MONTHLY IDCW Option;13.0595;25-Aug-2023</v>
      </c>
      <c r="B7502" s="1"/>
    </row>
    <row r="7503">
      <c r="A7503" s="1" t="str">
        <f>IFERROR(__xludf.DUMMYFUNCTION("""COMPUTED_VALUE"""),"118585;INF204K01XZ7;-;Nippon India Arbitrage Fund - Direct Plan Growth Plan - Growth Option;24.9517;25-Aug-2023")</f>
        <v>118585;INF204K01XZ7;-;Nippon India Arbitrage Fund - Direct Plan Growth Plan - Growth Option;24.9517;25-Aug-2023</v>
      </c>
      <c r="B7503" s="1"/>
    </row>
    <row r="7504">
      <c r="A7504" s="1" t="str">
        <f>IFERROR(__xludf.DUMMYFUNCTION("""COMPUTED_VALUE"""),"113345;INF204K01IY1;-;Nippon India Arbitrage Fund - Growth Plan - Growth Option;23.3867;25-Aug-2023")</f>
        <v>113345;INF204K01IY1;-;Nippon India Arbitrage Fund - Growth Plan - Growth Option;23.3867;25-Aug-2023</v>
      </c>
      <c r="B7504" s="1"/>
    </row>
    <row r="7505">
      <c r="A7505" s="1" t="str">
        <f>IFERROR(__xludf.DUMMYFUNCTION("""COMPUTED_VALUE"""),"113346;INF204K01IZ8;INF204K01JA9;NIPPON INDIA ARBITRAGE FUND - IDCW Option;14.0155;25-Aug-2023")</f>
        <v>113346;INF204K01IZ8;INF204K01JA9;NIPPON INDIA ARBITRAGE FUND - IDCW Option;14.0155;25-Aug-2023</v>
      </c>
      <c r="B7505" s="1"/>
    </row>
    <row r="7506">
      <c r="A7506" s="1" t="str">
        <f>IFERROR(__xludf.DUMMYFUNCTION("""COMPUTED_VALUE"""),"128820;INF204KA1MT1;INF204KA1MU9;NIPPON INDIA ARBITRAGE FUND - MONTHLY IDCW Option;12.1900;25-Aug-2023")</f>
        <v>128820;INF204KA1MT1;INF204KA1MU9;NIPPON INDIA ARBITRAGE FUND - MONTHLY IDCW Option;12.1900;25-Aug-2023</v>
      </c>
      <c r="B7506" s="1"/>
    </row>
    <row r="7507">
      <c r="A7507" s="1"/>
      <c r="B7507" s="1"/>
    </row>
    <row r="7508">
      <c r="A7508" s="1" t="str">
        <f>IFERROR(__xludf.DUMMYFUNCTION("""COMPUTED_VALUE"""),"NJ Mutual Fund")</f>
        <v>NJ Mutual Fund</v>
      </c>
      <c r="B7508" s="1"/>
    </row>
    <row r="7509">
      <c r="A7509" s="1"/>
      <c r="B7509" s="1"/>
    </row>
    <row r="7510">
      <c r="A7510" s="1" t="str">
        <f>IFERROR(__xludf.DUMMYFUNCTION("""COMPUTED_VALUE"""),"150367;INF0J8L01065;-;NJ Arbitrage Fund - Direct Plan - Growth Option;10.7338;25-Aug-2023")</f>
        <v>150367;INF0J8L01065;-;NJ Arbitrage Fund - Direct Plan - Growth Option;10.7338;25-Aug-2023</v>
      </c>
      <c r="B7510" s="1"/>
    </row>
    <row r="7511">
      <c r="A7511" s="1" t="str">
        <f>IFERROR(__xludf.DUMMYFUNCTION("""COMPUTED_VALUE"""),"150366;INF0J8L01057;-;NJ Arbitrage Fund - Regular Plan - Growth Option;10.6593;25-Aug-2023")</f>
        <v>150366;INF0J8L01057;-;NJ Arbitrage Fund - Regular Plan - Growth Option;10.6593;25-Aug-2023</v>
      </c>
      <c r="B7511" s="1"/>
    </row>
    <row r="7512">
      <c r="A7512" s="1"/>
      <c r="B7512" s="1"/>
    </row>
    <row r="7513">
      <c r="A7513" s="1" t="str">
        <f>IFERROR(__xludf.DUMMYFUNCTION("""COMPUTED_VALUE"""),"PGIM India Mutual Fund")</f>
        <v>PGIM India Mutual Fund</v>
      </c>
      <c r="B7513" s="1"/>
    </row>
    <row r="7514">
      <c r="A7514" s="1"/>
      <c r="B7514" s="1"/>
    </row>
    <row r="7515">
      <c r="A7515" s="1" t="str">
        <f>IFERROR(__xludf.DUMMYFUNCTION("""COMPUTED_VALUE"""),"138880;INF223J012N9;-;PGIM India Arbitrage Fund - Direct Plan - Annual Dividend;11.7225;05-Mar-2021")</f>
        <v>138880;INF223J012N9;-;PGIM India Arbitrage Fund - Direct Plan - Annual Dividend;11.7225;05-Mar-2021</v>
      </c>
      <c r="B7515" s="1"/>
    </row>
    <row r="7516">
      <c r="A7516" s="1" t="str">
        <f>IFERROR(__xludf.DUMMYFUNCTION("""COMPUTED_VALUE"""),"138875;INF223J013N7;-;PGIM India Arbitrage Fund - Direct Plan - Growth;17.1356;25-Aug-2023")</f>
        <v>138875;INF223J013N7;-;PGIM India Arbitrage Fund - Direct Plan - Growth;17.1356;25-Aug-2023</v>
      </c>
      <c r="B7516" s="1"/>
    </row>
    <row r="7517">
      <c r="A7517" s="1" t="str">
        <f>IFERROR(__xludf.DUMMYFUNCTION("""COMPUTED_VALUE"""),"142424;INF663L01YU1;INF663L01YV9;PGIM India Arbitrage Fund - Direct Plan - Half yearly Dividend Option;11.0011;06-Aug-2019")</f>
        <v>142424;INF663L01YU1;INF663L01YV9;PGIM India Arbitrage Fund - Direct Plan - Half yearly Dividend Option;11.0011;06-Aug-2019</v>
      </c>
      <c r="B7517" s="1"/>
    </row>
    <row r="7518">
      <c r="A7518" s="1" t="str">
        <f>IFERROR(__xludf.DUMMYFUNCTION("""COMPUTED_VALUE"""),"138878;INF223J011N1;INF223J016N0;PGIM India Arbitrage Fund - Direct Plan - Monthly Dividend;10.8288;25-Aug-2023")</f>
        <v>138878;INF223J011N1;INF223J016N0;PGIM India Arbitrage Fund - Direct Plan - Monthly Dividend;10.8288;25-Aug-2023</v>
      </c>
      <c r="B7518" s="1"/>
    </row>
    <row r="7519">
      <c r="A7519" s="1" t="str">
        <f>IFERROR(__xludf.DUMMYFUNCTION("""COMPUTED_VALUE"""),"138879;INF223J010N3;INF223J015N2;PGIM India Arbitrage Fund - Direct Plan - Quarterly Dividend;10.9435;05-Mar-2021")</f>
        <v>138879;INF223J010N3;INF223J015N2;PGIM India Arbitrage Fund - Direct Plan - Quarterly Dividend;10.9435;05-Mar-2021</v>
      </c>
      <c r="B7519" s="1"/>
    </row>
    <row r="7520">
      <c r="A7520" s="1" t="str">
        <f>IFERROR(__xludf.DUMMYFUNCTION("""COMPUTED_VALUE"""),"138877;INF223J019M6;INF223J014N5;PGIM India Arbitrage Fund - Direct Plan - Regular Dividend;12.0981;25-Aug-2023")</f>
        <v>138877;INF223J019M6;INF223J014N5;PGIM India Arbitrage Fund - Direct Plan - Regular Dividend;12.0981;25-Aug-2023</v>
      </c>
      <c r="B7520" s="1"/>
    </row>
    <row r="7521">
      <c r="A7521" s="1" t="str">
        <f>IFERROR(__xludf.DUMMYFUNCTION("""COMPUTED_VALUE"""),"138885;INF223J012M1;INF223J016M2;PGIM India Arbitrage Fund - Regular Plan - Annual Dividend;11.4278;05-Mar-2021")</f>
        <v>138885;INF223J012M1;INF223J016M2;PGIM India Arbitrage Fund - Regular Plan - Annual Dividend;11.4278;05-Mar-2021</v>
      </c>
      <c r="B7521" s="1"/>
    </row>
    <row r="7522">
      <c r="A7522" s="1" t="str">
        <f>IFERROR(__xludf.DUMMYFUNCTION("""COMPUTED_VALUE"""),"138876;INF223J019N4;-;PGIM India Arbitrage Fund - Regular Plan - Growth;16.2467;25-Aug-2023")</f>
        <v>138876;INF223J019N4;-;PGIM India Arbitrage Fund - Regular Plan - Growth;16.2467;25-Aug-2023</v>
      </c>
      <c r="B7522" s="1"/>
    </row>
    <row r="7523">
      <c r="A7523" s="1" t="str">
        <f>IFERROR(__xludf.DUMMYFUNCTION("""COMPUTED_VALUE"""),"138883;INF223J011M3;INF223J015M4;PGIM India Arbitrage Fund - Regular Plan - Monthly Dividend;10.7452;25-Aug-2023")</f>
        <v>138883;INF223J011M3;INF223J015M4;PGIM India Arbitrage Fund - Regular Plan - Monthly Dividend;10.7452;25-Aug-2023</v>
      </c>
      <c r="B7523" s="1"/>
    </row>
    <row r="7524">
      <c r="A7524" s="1" t="str">
        <f>IFERROR(__xludf.DUMMYFUNCTION("""COMPUTED_VALUE"""),"138884;INF223J010M5;INF223J014M7;PGIM India Arbitrage Fund - Regular Plan - Quarterly Dividend;10.7541;05-Mar-2021")</f>
        <v>138884;INF223J010M5;INF223J014M7;PGIM India Arbitrage Fund - Regular Plan - Quarterly Dividend;10.7541;05-Mar-2021</v>
      </c>
      <c r="B7524" s="1"/>
    </row>
    <row r="7525">
      <c r="A7525" s="1" t="str">
        <f>IFERROR(__xludf.DUMMYFUNCTION("""COMPUTED_VALUE"""),"138887;INF223J019L8;INF223J013M9;PGIM India Arbitrage Fund - Regular Plan - Regular Dividend;11.425;25-Aug-2023")</f>
        <v>138887;INF223J019L8;INF223J013M9;PGIM India Arbitrage Fund - Regular Plan - Regular Dividend;11.425;25-Aug-2023</v>
      </c>
      <c r="B7525" s="1"/>
    </row>
    <row r="7526">
      <c r="A7526" s="1"/>
      <c r="B7526" s="1"/>
    </row>
    <row r="7527">
      <c r="A7527" s="1" t="str">
        <f>IFERROR(__xludf.DUMMYFUNCTION("""COMPUTED_VALUE"""),"SBI Mutual Fund")</f>
        <v>SBI Mutual Fund</v>
      </c>
      <c r="B7527" s="1"/>
    </row>
    <row r="7528">
      <c r="A7528" s="1"/>
      <c r="B7528" s="1"/>
    </row>
    <row r="7529">
      <c r="A7529" s="1" t="str">
        <f>IFERROR(__xludf.DUMMYFUNCTION("""COMPUTED_VALUE"""),"119574;INF200K01QU0;-;SBI Arbitrage Opportunities Fund - Direct Plan - Gr;31.2704;25-Aug-2023")</f>
        <v>119574;INF200K01QU0;-;SBI Arbitrage Opportunities Fund - Direct Plan - Gr;31.2704;25-Aug-2023</v>
      </c>
      <c r="B7529" s="1"/>
    </row>
    <row r="7530">
      <c r="A7530" s="1" t="str">
        <f>IFERROR(__xludf.DUMMYFUNCTION("""COMPUTED_VALUE"""),"119567;INF200K01QS4;INF200K01QT2;SBI Arbitrage Opportunities Fund - Direct Plan - Income Distribution cum Capital Withdrawal Option (IDCW);16.8957;25-Aug-2023")</f>
        <v>119567;INF200K01QS4;INF200K01QT2;SBI Arbitrage Opportunities Fund - Direct Plan - Income Distribution cum Capital Withdrawal Option (IDCW);16.8957;25-Aug-2023</v>
      </c>
      <c r="B7530" s="1"/>
    </row>
    <row r="7531">
      <c r="A7531" s="1" t="str">
        <f>IFERROR(__xludf.DUMMYFUNCTION("""COMPUTED_VALUE"""),"104457;INF200K01156;-;SBI Arbitrage Opportunities Fund - Regular Plan - Gr;29.6998;25-Aug-2023")</f>
        <v>104457;INF200K01156;-;SBI Arbitrage Opportunities Fund - Regular Plan - Gr;29.6998;25-Aug-2023</v>
      </c>
      <c r="B7531" s="1"/>
    </row>
    <row r="7532">
      <c r="A7532" s="1" t="str">
        <f>IFERROR(__xludf.DUMMYFUNCTION("""COMPUTED_VALUE"""),"104458;INF200K01131;INF200K01149;SBI Arbitrage Opportunities Fund - Regular Plan - Income Distribution cum Capital Withdrawal Option (IDCW);15.6187;25-Aug-2023")</f>
        <v>104458;INF200K01131;INF200K01149;SBI Arbitrage Opportunities Fund - Regular Plan - Income Distribution cum Capital Withdrawal Option (IDCW);15.6187;25-Aug-2023</v>
      </c>
      <c r="B7532" s="1"/>
    </row>
    <row r="7533">
      <c r="A7533" s="1"/>
      <c r="B7533" s="1"/>
    </row>
    <row r="7534">
      <c r="A7534" s="1" t="str">
        <f>IFERROR(__xludf.DUMMYFUNCTION("""COMPUTED_VALUE"""),"Sundaram Mutual Fund")</f>
        <v>Sundaram Mutual Fund</v>
      </c>
      <c r="B7534" s="1"/>
    </row>
    <row r="7535">
      <c r="A7535" s="1"/>
      <c r="B7535" s="1"/>
    </row>
    <row r="7536">
      <c r="A7536" s="1" t="str">
        <f>IFERROR(__xludf.DUMMYFUNCTION("""COMPUTED_VALUE"""),"149552;INF173K01NB6;-;Sundaram Arbitrage Fund (Formerly Know as Principal Arbitrage Fund) - Regular Plan - Growth;12.7692;25-Aug-2023")</f>
        <v>149552;INF173K01NB6;-;Sundaram Arbitrage Fund (Formerly Know as Principal Arbitrage Fund) - Regular Plan - Growth;12.7692;25-Aug-2023</v>
      </c>
      <c r="B7536" s="1"/>
    </row>
    <row r="7537">
      <c r="A7537" s="1" t="str">
        <f>IFERROR(__xludf.DUMMYFUNCTION("""COMPUTED_VALUE"""),"149551;INF173K01MY0;INF173K01NA8;Sundaram Arbitrage Fund (Formerly Known as Principal Arbitrage Fund)- Regular Plan - Monthly Income Distribution CUM Capital Withdrawal;11.2267;25-Aug-2023")</f>
        <v>149551;INF173K01MY0;INF173K01NA8;Sundaram Arbitrage Fund (Formerly Known as Principal Arbitrage Fund)- Regular Plan - Monthly Income Distribution CUM Capital Withdrawal;11.2267;25-Aug-2023</v>
      </c>
      <c r="B7537" s="1"/>
    </row>
    <row r="7538">
      <c r="A7538" s="1" t="str">
        <f>IFERROR(__xludf.DUMMYFUNCTION("""COMPUTED_VALUE"""),"149550;INF173K01NF7;-;Sundaram Arbitrage Fund (Formerly Known as Prinicpal Arbitrage Fund) - Direct Plan - Growth;13.2949;25-Aug-2023")</f>
        <v>149550;INF173K01NF7;-;Sundaram Arbitrage Fund (Formerly Known as Prinicpal Arbitrage Fund) - Direct Plan - Growth;13.2949;25-Aug-2023</v>
      </c>
      <c r="B7538" s="1"/>
    </row>
    <row r="7539">
      <c r="A7539" s="1" t="str">
        <f>IFERROR(__xludf.DUMMYFUNCTION("""COMPUTED_VALUE"""),"149549;INF173K01NC4;INF173K01NE0;Sundaram Arbitrage Fund( Formerly Known as Principal Arbitrage Fund) - Direct Plan- Monthly Income Distribution CUM Capital Withdrawal;11.4966;25-Aug-2023")</f>
        <v>149549;INF173K01NC4;INF173K01NE0;Sundaram Arbitrage Fund( Formerly Known as Principal Arbitrage Fund) - Direct Plan- Monthly Income Distribution CUM Capital Withdrawal;11.4966;25-Aug-2023</v>
      </c>
      <c r="B7539" s="1"/>
    </row>
    <row r="7540">
      <c r="A7540" s="1"/>
      <c r="B7540" s="1"/>
    </row>
    <row r="7541">
      <c r="A7541" s="1" t="str">
        <f>IFERROR(__xludf.DUMMYFUNCTION("""COMPUTED_VALUE"""),"Tata Mutual Fund")</f>
        <v>Tata Mutual Fund</v>
      </c>
      <c r="B7541" s="1"/>
    </row>
    <row r="7542">
      <c r="A7542" s="1"/>
      <c r="B7542" s="1"/>
    </row>
    <row r="7543">
      <c r="A7543" s="1" t="str">
        <f>IFERROR(__xludf.DUMMYFUNCTION("""COMPUTED_VALUE"""),"145727;INF277K018Q1;-;TATA Arbitrage Fund Direct Plan - Monthly Payout of Income Distribution cum capital withdrawal option ;12.5822;25-Aug-2023")</f>
        <v>145727;INF277K018Q1;-;TATA Arbitrage Fund Direct Plan - Monthly Payout of Income Distribution cum capital withdrawal option ;12.5822;25-Aug-2023</v>
      </c>
      <c r="B7543" s="1"/>
    </row>
    <row r="7544">
      <c r="A7544" s="1" t="str">
        <f>IFERROR(__xludf.DUMMYFUNCTION("""COMPUTED_VALUE"""),"145725;-;INF277K019Q9;TATA Arbitrage Fund Direct Plan - Monthly Reinvestment of Income Distribution cum capital withdrawal option;12.5822;25-Aug-2023")</f>
        <v>145725;-;INF277K019Q9;TATA Arbitrage Fund Direct Plan - Monthly Reinvestment of Income Distribution cum capital withdrawal option;12.5822;25-Aug-2023</v>
      </c>
      <c r="B7544" s="1"/>
    </row>
    <row r="7545">
      <c r="A7545" s="1" t="str">
        <f>IFERROR(__xludf.DUMMYFUNCTION("""COMPUTED_VALUE"""),"145728;INF277K016Q5;-;TATA Arbitrage Fund Regular Plan - Monthly Payout of Income Distribution cum capital withdrawal option ;12.0744;25-Aug-2023")</f>
        <v>145728;INF277K016Q5;-;TATA Arbitrage Fund Regular Plan - Monthly Payout of Income Distribution cum capital withdrawal option ;12.0744;25-Aug-2023</v>
      </c>
      <c r="B7545" s="1"/>
    </row>
    <row r="7546">
      <c r="A7546" s="1" t="str">
        <f>IFERROR(__xludf.DUMMYFUNCTION("""COMPUTED_VALUE"""),"145726;-;INF277K010R6;TATA Arbitrage Fund Regular Plan - Monthly Reinvestment of Income Distribution cum capital withdrawal option ;12.0744;25-Aug-2023")</f>
        <v>145726;-;INF277K010R6;TATA Arbitrage Fund Regular Plan - Monthly Reinvestment of Income Distribution cum capital withdrawal option ;12.0744;25-Aug-2023</v>
      </c>
      <c r="B7546" s="1"/>
    </row>
    <row r="7547">
      <c r="A7547" s="1" t="str">
        <f>IFERROR(__xludf.DUMMYFUNCTION("""COMPUTED_VALUE"""),"145724;INF277K017Q3;-;Tata Arbitrage Fund-Direct Plan-Growth;13.0980;25-Aug-2023")</f>
        <v>145724;INF277K017Q3;-;Tata Arbitrage Fund-Direct Plan-Growth;13.0980;25-Aug-2023</v>
      </c>
      <c r="B7547" s="1"/>
    </row>
    <row r="7548">
      <c r="A7548" s="1" t="str">
        <f>IFERROR(__xludf.DUMMYFUNCTION("""COMPUTED_VALUE"""),"145723;INF277K015Q7;-;Tata Arbitrage Fund-Regular Plan-Growth;12.6326;25-Aug-2023")</f>
        <v>145723;INF277K015Q7;-;Tata Arbitrage Fund-Regular Plan-Growth;12.6326;25-Aug-2023</v>
      </c>
      <c r="B7548" s="1"/>
    </row>
    <row r="7549">
      <c r="A7549" s="1"/>
      <c r="B7549" s="1"/>
    </row>
    <row r="7550">
      <c r="A7550" s="1" t="str">
        <f>IFERROR(__xludf.DUMMYFUNCTION("""COMPUTED_VALUE"""),"Union Mutual Fund")</f>
        <v>Union Mutual Fund</v>
      </c>
      <c r="B7550" s="1"/>
    </row>
    <row r="7551">
      <c r="A7551" s="1"/>
      <c r="B7551" s="1"/>
    </row>
    <row r="7552">
      <c r="A7552" s="1" t="str">
        <f>IFERROR(__xludf.DUMMYFUNCTION("""COMPUTED_VALUE"""),"146297;INF582M01ES7;-;Union Arbitrage Fund - Direct Plan - Growth Option;12.6511;25-Aug-2023")</f>
        <v>146297;INF582M01ES7;-;Union Arbitrage Fund - Direct Plan - Growth Option;12.6511;25-Aug-2023</v>
      </c>
      <c r="B7552" s="1"/>
    </row>
    <row r="7553">
      <c r="A7553" s="1" t="str">
        <f>IFERROR(__xludf.DUMMYFUNCTION("""COMPUTED_VALUE"""),"146296;INF582M01EU3;INF582M01ET5;Union Arbitrage Fund - Direct Plan - IDCW Option;12.3508;25-Aug-2023")</f>
        <v>146296;INF582M01EU3;INF582M01ET5;Union Arbitrage Fund - Direct Plan - IDCW Option;12.3508;25-Aug-2023</v>
      </c>
      <c r="B7553" s="1"/>
    </row>
    <row r="7554">
      <c r="A7554" s="1" t="str">
        <f>IFERROR(__xludf.DUMMYFUNCTION("""COMPUTED_VALUE"""),"146294;INF582M01EW9;-;Union Arbitrage Fund - Regular Plan - Growth Option;12.3592;25-Aug-2023")</f>
        <v>146294;INF582M01EW9;-;Union Arbitrage Fund - Regular Plan - Growth Option;12.3592;25-Aug-2023</v>
      </c>
      <c r="B7554" s="1"/>
    </row>
    <row r="7555">
      <c r="A7555" s="1" t="str">
        <f>IFERROR(__xludf.DUMMYFUNCTION("""COMPUTED_VALUE"""),"146295;INF582M01EY5;INF582M01EX7;Union Arbitrage Fund - Regular Plan - IDCW Option;12.0678;25-Aug-2023")</f>
        <v>146295;INF582M01EY5;INF582M01EX7;Union Arbitrage Fund - Regular Plan - IDCW Option;12.0678;25-Aug-2023</v>
      </c>
      <c r="B7555" s="1"/>
    </row>
    <row r="7556">
      <c r="A7556" s="1"/>
      <c r="B7556" s="1"/>
    </row>
    <row r="7557">
      <c r="A7557" s="1" t="str">
        <f>IFERROR(__xludf.DUMMYFUNCTION("""COMPUTED_VALUE"""),"UTI Mutual Fund")</f>
        <v>UTI Mutual Fund</v>
      </c>
      <c r="B7557" s="1"/>
    </row>
    <row r="7558">
      <c r="A7558" s="1"/>
      <c r="B7558" s="1"/>
    </row>
    <row r="7559">
      <c r="A7559" s="1" t="str">
        <f>IFERROR(__xludf.DUMMYFUNCTION("""COMPUTED_VALUE"""),"120795;INF789FB1RG6;-;UTI Arbitrage Fund - Direct Plan - Growth Option;32.3925;25-Aug-2023")</f>
        <v>120795;INF789FB1RG6;-;UTI Arbitrage Fund - Direct Plan - Growth Option;32.3925;25-Aug-2023</v>
      </c>
      <c r="B7559" s="1"/>
    </row>
    <row r="7560">
      <c r="A7560" s="1" t="str">
        <f>IFERROR(__xludf.DUMMYFUNCTION("""COMPUTED_VALUE"""),"120796;INF789FB1RE1;INF789FB1RF8;UTI Arbitrage Fund - Direct Plan - IDCW;18.9482;25-Aug-2023")</f>
        <v>120796;INF789FB1RE1;INF789FB1RF8;UTI Arbitrage Fund - Direct Plan - IDCW;18.9482;25-Aug-2023</v>
      </c>
      <c r="B7560" s="1"/>
    </row>
    <row r="7561">
      <c r="A7561" s="1" t="str">
        <f>IFERROR(__xludf.DUMMYFUNCTION("""COMPUTED_VALUE"""),"104075;INF789FB1RJ0;-;UTI Arbitrage Fund - Regular Plan - Growth Option;30.7254;25-Aug-2023")</f>
        <v>104075;INF789FB1RJ0;-;UTI Arbitrage Fund - Regular Plan - Growth Option;30.7254;25-Aug-2023</v>
      </c>
      <c r="B7561" s="1"/>
    </row>
    <row r="7562">
      <c r="A7562" s="1" t="str">
        <f>IFERROR(__xludf.DUMMYFUNCTION("""COMPUTED_VALUE"""),"104074;INF789FB1RH4;INF789FB1RI2;UTI Arbitrage Fund - Regular Plan - IDCW;17.3575;25-Aug-2023")</f>
        <v>104074;INF789FB1RH4;INF789FB1RI2;UTI Arbitrage Fund - Regular Plan - IDCW;17.3575;25-Aug-2023</v>
      </c>
      <c r="B7562" s="1"/>
    </row>
    <row r="7563">
      <c r="A7563" s="1"/>
      <c r="B7563" s="1"/>
    </row>
    <row r="7564">
      <c r="A7564" s="1" t="str">
        <f>IFERROR(__xludf.DUMMYFUNCTION("""COMPUTED_VALUE"""),"Open Ended Schemes(Hybrid Scheme - Balanced Hybrid Fund)")</f>
        <v>Open Ended Schemes(Hybrid Scheme - Balanced Hybrid Fund)</v>
      </c>
      <c r="B7564" s="1"/>
    </row>
    <row r="7565">
      <c r="A7565" s="1"/>
      <c r="B7565" s="1"/>
    </row>
    <row r="7566">
      <c r="A7566" s="1" t="str">
        <f>IFERROR(__xludf.DUMMYFUNCTION("""COMPUTED_VALUE"""),"Nippon India Mutual Fund")</f>
        <v>Nippon India Mutual Fund</v>
      </c>
      <c r="B7566" s="1"/>
    </row>
    <row r="7567">
      <c r="A7567" s="1"/>
      <c r="B7567" s="1"/>
    </row>
    <row r="7568">
      <c r="A7568" s="1" t="str">
        <f>IFERROR(__xludf.DUMMYFUNCTION("""COMPUTED_VALUE"""),"118738;INF204K01G78;INF204K01G86;NIPPON INDIA BALANCED ADVANTAGE FUND - DIRECT Plan - IDCW Option;38.6455;25-Aug-2023")</f>
        <v>118738;INF204K01G78;INF204K01G86;NIPPON INDIA BALANCED ADVANTAGE FUND - DIRECT Plan - IDCW Option;38.6455;25-Aug-2023</v>
      </c>
      <c r="B7568" s="1"/>
    </row>
    <row r="7569">
      <c r="A7569" s="1" t="str">
        <f>IFERROR(__xludf.DUMMYFUNCTION("""COMPUTED_VALUE"""),"118737;INF204K01G60;-;Nippon India Balanced Advantage Fund - Direct Plan Growth Plan - Bonus Option;9.6826;24-Dec-2015")</f>
        <v>118737;INF204K01G60;-;Nippon India Balanced Advantage Fund - Direct Plan Growth Plan - Bonus Option;9.6826;24-Dec-2015</v>
      </c>
      <c r="B7569" s="1"/>
    </row>
    <row r="7570">
      <c r="A7570" s="1" t="str">
        <f>IFERROR(__xludf.DUMMYFUNCTION("""COMPUTED_VALUE"""),"118736;INF204K01G94;-;Nippon India Balanced Advantage Fund - Direct Plan Growth Plan - Growth Option;150.6906;25-Aug-2023")</f>
        <v>118736;INF204K01G94;-;Nippon India Balanced Advantage Fund - Direct Plan Growth Plan - Growth Option;150.6906;25-Aug-2023</v>
      </c>
      <c r="B7570" s="1"/>
    </row>
    <row r="7571">
      <c r="A7571" s="1" t="str">
        <f>IFERROR(__xludf.DUMMYFUNCTION("""COMPUTED_VALUE"""),"102848;INF204K01570;INF204K01588;NIPPON INDIA BALANCED ADVANTAGE FUND - IDCW Option;29.2673;25-Aug-2023")</f>
        <v>102848;INF204K01570;INF204K01588;NIPPON INDIA BALANCED ADVANTAGE FUND - IDCW Option;29.2673;25-Aug-2023</v>
      </c>
      <c r="B7571" s="1"/>
    </row>
    <row r="7572">
      <c r="A7572" s="1" t="str">
        <f>IFERROR(__xludf.DUMMYFUNCTION("""COMPUTED_VALUE"""),"102847;INF204K01596;-;Nippon India Balanced Advantage Fund-Growth Plan-Bonus Option;136.0911;25-Aug-2023")</f>
        <v>102847;INF204K01596;-;Nippon India Balanced Advantage Fund-Growth Plan-Bonus Option;136.0911;25-Aug-2023</v>
      </c>
      <c r="B7572" s="1"/>
    </row>
    <row r="7573">
      <c r="A7573" s="1" t="str">
        <f>IFERROR(__xludf.DUMMYFUNCTION("""COMPUTED_VALUE"""),"102846;INF204K01604;-;Nippon India Balanced Advantage Fund-Growth Plan-Growth Option;136.0911;25-Aug-2023")</f>
        <v>102846;INF204K01604;-;Nippon India Balanced Advantage Fund-Growth Plan-Growth Option;136.0911;25-Aug-2023</v>
      </c>
      <c r="B7573" s="1"/>
    </row>
    <row r="7574">
      <c r="A7574" s="1"/>
      <c r="B7574" s="1"/>
    </row>
    <row r="7575">
      <c r="A7575" s="1" t="str">
        <f>IFERROR(__xludf.DUMMYFUNCTION("""COMPUTED_VALUE"""),"Open Ended Schemes(Hybrid Scheme - Conservative Hybrid Fund)")</f>
        <v>Open Ended Schemes(Hybrid Scheme - Conservative Hybrid Fund)</v>
      </c>
      <c r="B7575" s="1"/>
    </row>
    <row r="7576">
      <c r="A7576" s="1"/>
      <c r="B7576" s="1"/>
    </row>
    <row r="7577">
      <c r="A7577" s="1" t="str">
        <f>IFERROR(__xludf.DUMMYFUNCTION("""COMPUTED_VALUE"""),"Aditya Birla Sun Life Mutual Fund")</f>
        <v>Aditya Birla Sun Life Mutual Fund</v>
      </c>
      <c r="B7577" s="1"/>
    </row>
    <row r="7578">
      <c r="A7578" s="1"/>
      <c r="B7578" s="1"/>
    </row>
    <row r="7579">
      <c r="A7579" s="1" t="str">
        <f>IFERROR(__xludf.DUMMYFUNCTION("""COMPUTED_VALUE"""),"120550;INF209K01R47;-;Aditya Birla Sun Life Regular Savings Fund - DIRECT - MONTHLY IDCW;25.1688;25-Aug-2023")</f>
        <v>120550;INF209K01R47;-;Aditya Birla Sun Life Regular Savings Fund - DIRECT - MONTHLY IDCW;25.1688;25-Aug-2023</v>
      </c>
      <c r="B7579" s="1"/>
    </row>
    <row r="7580">
      <c r="A7580" s="1" t="str">
        <f>IFERROR(__xludf.DUMMYFUNCTION("""COMPUTED_VALUE"""),"120705;INF209K01XH4;INF209K01XJ0;Aditya Birla Sun Life Regular Savings Fund - Growth / Payment - Direct Plan;61.1274;25-Aug-2023")</f>
        <v>120705;INF209K01XH4;INF209K01XJ0;Aditya Birla Sun Life Regular Savings Fund - Growth / Payment - Direct Plan;61.1274;25-Aug-2023</v>
      </c>
      <c r="B7580" s="1"/>
    </row>
    <row r="7581">
      <c r="A7581" s="1" t="str">
        <f>IFERROR(__xludf.DUMMYFUNCTION("""COMPUTED_VALUE"""),"101818;INF209K01751;INF209K01777;Aditya Birla Sun Life Regular Savings Fund - Growth / Payment - Regular Plan;55.6529;25-Aug-2023")</f>
        <v>101818;INF209K01751;INF209K01777;Aditya Birla Sun Life Regular Savings Fund - Growth / Payment - Regular Plan;55.6529;25-Aug-2023</v>
      </c>
      <c r="B7581" s="1"/>
    </row>
    <row r="7582">
      <c r="A7582" s="1" t="str">
        <f>IFERROR(__xludf.DUMMYFUNCTION("""COMPUTED_VALUE"""),"101816;INF209K01769;INF209K01DF0;Aditya Birla Sun Life Regular Savings Fund - REGULAR - MONTHLY IDCW;15.683;25-Aug-2023")</f>
        <v>101816;INF209K01769;INF209K01DF0;Aditya Birla Sun Life Regular Savings Fund - REGULAR - MONTHLY IDCW;15.683;25-Aug-2023</v>
      </c>
      <c r="B7582" s="1"/>
    </row>
    <row r="7583">
      <c r="A7583" s="1"/>
      <c r="B7583" s="1"/>
    </row>
    <row r="7584">
      <c r="A7584" s="1" t="str">
        <f>IFERROR(__xludf.DUMMYFUNCTION("""COMPUTED_VALUE"""),"Axis Mutual Fund")</f>
        <v>Axis Mutual Fund</v>
      </c>
      <c r="B7584" s="1"/>
    </row>
    <row r="7585">
      <c r="A7585" s="1"/>
      <c r="B7585" s="1"/>
    </row>
    <row r="7586">
      <c r="A7586" s="1" t="str">
        <f>IFERROR(__xludf.DUMMYFUNCTION("""COMPUTED_VALUE"""),"120477;INF846K01DY0;INF846K01DZ7;Axis Regular Saver Fund - Direct Plan - Annual IDCW;14.7052;25-Aug-2023")</f>
        <v>120477;INF846K01DY0;INF846K01DZ7;Axis Regular Saver Fund - Direct Plan - Annual IDCW;14.7052;25-Aug-2023</v>
      </c>
      <c r="B7586" s="1"/>
    </row>
    <row r="7587">
      <c r="A7587" s="1" t="str">
        <f>IFERROR(__xludf.DUMMYFUNCTION("""COMPUTED_VALUE"""),"120478;INF846K01EB6;INF846K01EC4;Axis Regular Saver Fund - Direct Plan - Half Yearly;12.8043;25-Aug-2023")</f>
        <v>120478;INF846K01EB6;INF846K01EC4;Axis Regular Saver Fund - Direct Plan - Half Yearly;12.8043;25-Aug-2023</v>
      </c>
      <c r="B7587" s="1"/>
    </row>
    <row r="7588">
      <c r="A7588" s="1" t="str">
        <f>IFERROR(__xludf.DUMMYFUNCTION("""COMPUTED_VALUE"""),"120479;INF846K01ED2;INF846K01EE0;Axis Regular Saver Fund - Direct Plan - Quarterly;13.2776;25-Aug-2023")</f>
        <v>120479;INF846K01ED2;INF846K01EE0;Axis Regular Saver Fund - Direct Plan - Quarterly;13.2776;25-Aug-2023</v>
      </c>
      <c r="B7588" s="1"/>
    </row>
    <row r="7589">
      <c r="A7589" s="1" t="str">
        <f>IFERROR(__xludf.DUMMYFUNCTION("""COMPUTED_VALUE"""),"112927;INF846K01743;INF846K01750;Axis Regular Saver Fund - Regular Plan - Annual IDCW;12.9103;25-Aug-2023")</f>
        <v>112927;INF846K01743;INF846K01750;Axis Regular Saver Fund - Regular Plan - Annual IDCW;12.9103;25-Aug-2023</v>
      </c>
      <c r="B7589" s="1"/>
    </row>
    <row r="7590">
      <c r="A7590" s="1" t="str">
        <f>IFERROR(__xludf.DUMMYFUNCTION("""COMPUTED_VALUE"""),"112924;INF846K01693;-;Axis Regular Saver Fund - Regular Plan - Growth Option;25.7147;25-Aug-2023")</f>
        <v>112924;INF846K01693;-;Axis Regular Saver Fund - Regular Plan - Growth Option;25.7147;25-Aug-2023</v>
      </c>
      <c r="B7590" s="1"/>
    </row>
    <row r="7591">
      <c r="A7591" s="1" t="str">
        <f>IFERROR(__xludf.DUMMYFUNCTION("""COMPUTED_VALUE"""),"112926;INF846K01727;INF846K01735;Axis Regular Saver Fund - Regular Plan - Half Yearly IDCW;12.1091;25-Aug-2023")</f>
        <v>112926;INF846K01727;INF846K01735;Axis Regular Saver Fund - Regular Plan - Half Yearly IDCW;12.1091;25-Aug-2023</v>
      </c>
      <c r="B7591" s="1"/>
    </row>
    <row r="7592">
      <c r="A7592" s="1" t="str">
        <f>IFERROR(__xludf.DUMMYFUNCTION("""COMPUTED_VALUE"""),"112925;INF846K01701;INF846K01719;Axis Regular Saver Fund - Regular Plan - Quarterly IDCW;11.1993;25-Aug-2023")</f>
        <v>112925;INF846K01701;INF846K01719;Axis Regular Saver Fund - Regular Plan - Quarterly IDCW;11.1993;25-Aug-2023</v>
      </c>
      <c r="B7592" s="1"/>
    </row>
    <row r="7593">
      <c r="A7593" s="1" t="str">
        <f>IFERROR(__xludf.DUMMYFUNCTION("""COMPUTED_VALUE"""),"120480;INF846K01EA8;-;Axis Regular Saver Fund- Direct Plan - Growth Option;29.3448;25-Aug-2023")</f>
        <v>120480;INF846K01EA8;-;Axis Regular Saver Fund- Direct Plan - Growth Option;29.3448;25-Aug-2023</v>
      </c>
      <c r="B7593" s="1"/>
    </row>
    <row r="7594">
      <c r="A7594" s="1"/>
      <c r="B7594" s="1"/>
    </row>
    <row r="7595">
      <c r="A7595" s="1" t="str">
        <f>IFERROR(__xludf.DUMMYFUNCTION("""COMPUTED_VALUE"""),"Bandhan Mutual Fund")</f>
        <v>Bandhan Mutual Fund</v>
      </c>
      <c r="B7595" s="1"/>
    </row>
    <row r="7596">
      <c r="A7596" s="1"/>
      <c r="B7596" s="1"/>
    </row>
    <row r="7597">
      <c r="A7597" s="1" t="str">
        <f>IFERROR(__xludf.DUMMYFUNCTION("""COMPUTED_VALUE"""),"112353;INF194K01RW9;-;BANDHAN Regular Savings Fund - Regular Plan - Growth;27.1852;25-Aug-2023")</f>
        <v>112353;INF194K01RW9;-;BANDHAN Regular Savings Fund - Regular Plan - Growth;27.1852;25-Aug-2023</v>
      </c>
      <c r="B7597" s="1"/>
    </row>
    <row r="7598">
      <c r="A7598" s="1" t="str">
        <f>IFERROR(__xludf.DUMMYFUNCTION("""COMPUTED_VALUE"""),"112352;INF194K01RY5;INF194K01RX7;BANDHAN Regular Savings Fund - Regular Plan - IDCW;13.5621;25-Aug-2023")</f>
        <v>112352;INF194K01RY5;INF194K01RX7;BANDHAN Regular Savings Fund - Regular Plan - IDCW;13.5621;25-Aug-2023</v>
      </c>
      <c r="B7598" s="1"/>
    </row>
    <row r="7599">
      <c r="A7599" s="1" t="str">
        <f>IFERROR(__xludf.DUMMYFUNCTION("""COMPUTED_VALUE"""),"113361;INF194K01SB1;INF194K01SA3;BANDHAN Regular Savings Fund - Regular Plan - Quarterly IDCW;13.3269;25-Aug-2023")</f>
        <v>113361;INF194K01SB1;INF194K01SA3;BANDHAN Regular Savings Fund - Regular Plan - Quarterly IDCW;13.3269;25-Aug-2023</v>
      </c>
      <c r="B7599" s="1"/>
    </row>
    <row r="7600">
      <c r="A7600" s="1" t="str">
        <f>IFERROR(__xludf.DUMMYFUNCTION("""COMPUTED_VALUE"""),"118491;INF194K015B9;-;BANDHAN Regular Savings Fund-Direct Plan-Growth;29.8930;25-Aug-2023")</f>
        <v>118491;INF194K015B9;-;BANDHAN Regular Savings Fund-Direct Plan-Growth;29.8930;25-Aug-2023</v>
      </c>
      <c r="B7600" s="1"/>
    </row>
    <row r="7601">
      <c r="A7601" s="1" t="str">
        <f>IFERROR(__xludf.DUMMYFUNCTION("""COMPUTED_VALUE"""),"118490;INF194K017B5;INF194K016B7;BANDHAN Regular Savings Fund-Direct Plan-IDCW;15.1405;25-Aug-2023")</f>
        <v>118490;INF194K017B5;INF194K016B7;BANDHAN Regular Savings Fund-Direct Plan-IDCW;15.1405;25-Aug-2023</v>
      </c>
      <c r="B7601" s="1"/>
    </row>
    <row r="7602">
      <c r="A7602" s="1" t="str">
        <f>IFERROR(__xludf.DUMMYFUNCTION("""COMPUTED_VALUE"""),"118492;INF194K010C8;INF194K019B1;BANDHAN Regular Savings Fund-Direct Plan-Quarterly IDCW;15.5940;25-Aug-2023")</f>
        <v>118492;INF194K010C8;INF194K019B1;BANDHAN Regular Savings Fund-Direct Plan-Quarterly IDCW;15.5940;25-Aug-2023</v>
      </c>
      <c r="B7602" s="1"/>
    </row>
    <row r="7603">
      <c r="A7603" s="1"/>
      <c r="B7603" s="1"/>
    </row>
    <row r="7604">
      <c r="A7604" s="1" t="str">
        <f>IFERROR(__xludf.DUMMYFUNCTION("""COMPUTED_VALUE"""),"Baroda BNP Paribas Mutual Fund")</f>
        <v>Baroda BNP Paribas Mutual Fund</v>
      </c>
      <c r="B7604" s="1"/>
    </row>
    <row r="7605">
      <c r="A7605" s="1"/>
      <c r="B7605" s="1"/>
    </row>
    <row r="7606">
      <c r="A7606" s="1" t="str">
        <f>IFERROR(__xludf.DUMMYFUNCTION("""COMPUTED_VALUE"""),"150206;INF251K01HR8;-;BARODA BNP PARIBAS Conservative Hybrid Fund - Direct Plan - Growth Option;44.6561;25-Aug-2023")</f>
        <v>150206;INF251K01HR8;-;BARODA BNP PARIBAS Conservative Hybrid Fund - Direct Plan - Growth Option;44.6561;25-Aug-2023</v>
      </c>
      <c r="B7606" s="1"/>
    </row>
    <row r="7607">
      <c r="A7607" s="1" t="str">
        <f>IFERROR(__xludf.DUMMYFUNCTION("""COMPUTED_VALUE"""),"150207;INF251K01HS6;INF251K01HT4;BARODA BNP PARIBAS Conservative Hybrid Fund - Direct Plan - Monthly IDCW Option;12.7264;25-Aug-2023")</f>
        <v>150207;INF251K01HS6;INF251K01HT4;BARODA BNP PARIBAS Conservative Hybrid Fund - Direct Plan - Monthly IDCW Option;12.7264;25-Aug-2023</v>
      </c>
      <c r="B7607" s="1"/>
    </row>
    <row r="7608">
      <c r="A7608" s="1" t="str">
        <f>IFERROR(__xludf.DUMMYFUNCTION("""COMPUTED_VALUE"""),"150208;INF251K01HU2;INF251K01HV0;BARODA BNP PARIBAS Conservative Hybrid Fund - Direct Plan - Quarterly IDCW Option;12.4491;25-Aug-2023")</f>
        <v>150208;INF251K01HU2;INF251K01HV0;BARODA BNP PARIBAS Conservative Hybrid Fund - Direct Plan - Quarterly IDCW Option;12.4491;25-Aug-2023</v>
      </c>
      <c r="B7608" s="1"/>
    </row>
    <row r="7609">
      <c r="A7609" s="1" t="str">
        <f>IFERROR(__xludf.DUMMYFUNCTION("""COMPUTED_VALUE"""),"150203;INF251K01845;-;BARODA BNP PARIBAS Conservative Hybrid Fund-Regular Plan-Growth Option;37.6868;25-Aug-2023")</f>
        <v>150203;INF251K01845;-;BARODA BNP PARIBAS Conservative Hybrid Fund-Regular Plan-Growth Option;37.6868;25-Aug-2023</v>
      </c>
      <c r="B7609" s="1"/>
    </row>
    <row r="7610">
      <c r="A7610" s="1" t="str">
        <f>IFERROR(__xludf.DUMMYFUNCTION("""COMPUTED_VALUE"""),"150204;INF251K01852;INF251K01860;BARODA BNP PARIBAS Conservative hybrid Fund-Regular Plan-Monthly IDCW Option;10.7881;25-Aug-2023")</f>
        <v>150204;INF251K01852;INF251K01860;BARODA BNP PARIBAS Conservative hybrid Fund-Regular Plan-Monthly IDCW Option;10.7881;25-Aug-2023</v>
      </c>
      <c r="B7610" s="1"/>
    </row>
    <row r="7611">
      <c r="A7611" s="1" t="str">
        <f>IFERROR(__xludf.DUMMYFUNCTION("""COMPUTED_VALUE"""),"150205;INF251K01878;INF251K01886;BARODA BNP PARIBAS Conservative Hybrid Fund-Regular Plan-Quarterly IDCW Option;11.0566;25-Aug-2023")</f>
        <v>150205;INF251K01878;INF251K01886;BARODA BNP PARIBAS Conservative Hybrid Fund-Regular Plan-Quarterly IDCW Option;11.0566;25-Aug-2023</v>
      </c>
      <c r="B7611" s="1"/>
    </row>
    <row r="7612">
      <c r="A7612" s="1"/>
      <c r="B7612" s="1"/>
    </row>
    <row r="7613">
      <c r="A7613" s="1" t="str">
        <f>IFERROR(__xludf.DUMMYFUNCTION("""COMPUTED_VALUE"""),"Canara Robeco Mutual Fund")</f>
        <v>Canara Robeco Mutual Fund</v>
      </c>
      <c r="B7613" s="1"/>
    </row>
    <row r="7614">
      <c r="A7614" s="1"/>
      <c r="B7614" s="1"/>
    </row>
    <row r="7615">
      <c r="A7615" s="1" t="str">
        <f>IFERROR(__xludf.DUMMYFUNCTION("""COMPUTED_VALUE"""),"118309;INF760K01GB4;-;CANARA ROBECO CONSERVATIVE HYBRID FUND - DIRECT PLAN - GROWTH OPTION;91.2514;25-Aug-2023")</f>
        <v>118309;INF760K01GB4;-;CANARA ROBECO CONSERVATIVE HYBRID FUND - DIRECT PLAN - GROWTH OPTION;91.2514;25-Aug-2023</v>
      </c>
      <c r="B7615" s="1"/>
    </row>
    <row r="7616">
      <c r="A7616" s="1" t="str">
        <f>IFERROR(__xludf.DUMMYFUNCTION("""COMPUTED_VALUE"""),"118311;INF760K01FZ5;INF760K01GA6;CANARA ROBECO CONSERVATIVE HYBRID FUND - DIRECT PLAN - MONTHLY IDCW (Payout/Reinvestment);15.7848;25-Aug-2023")</f>
        <v>118311;INF760K01FZ5;INF760K01GA6;CANARA ROBECO CONSERVATIVE HYBRID FUND - DIRECT PLAN - MONTHLY IDCW (Payout/Reinvestment);15.7848;25-Aug-2023</v>
      </c>
      <c r="B7616" s="1"/>
    </row>
    <row r="7617">
      <c r="A7617" s="1" t="str">
        <f>IFERROR(__xludf.DUMMYFUNCTION("""COMPUTED_VALUE"""),"118310;INF760K01GC2;INF760K01GD0;CANARA ROBECO CONSERVATIVE HYBRID FUND - DIRECT PLAN - QUARTERLY IDCW (Payout/Reinvestment);15.7876;25-Aug-2023")</f>
        <v>118310;INF760K01GC2;INF760K01GD0;CANARA ROBECO CONSERVATIVE HYBRID FUND - DIRECT PLAN - QUARTERLY IDCW (Payout/Reinvestment);15.7876;25-Aug-2023</v>
      </c>
      <c r="B7617" s="1"/>
    </row>
    <row r="7618">
      <c r="A7618" s="1" t="str">
        <f>IFERROR(__xludf.DUMMYFUNCTION("""COMPUTED_VALUE"""),"100601;INF760K01282;-;CANARA ROBECO CONSERVATIVE HYBRID FUND - REGULAR PLAN - GROWTH OPTION;81.2924;25-Aug-2023")</f>
        <v>100601;INF760K01282;-;CANARA ROBECO CONSERVATIVE HYBRID FUND - REGULAR PLAN - GROWTH OPTION;81.2924;25-Aug-2023</v>
      </c>
      <c r="B7618" s="1"/>
    </row>
    <row r="7619">
      <c r="A7619" s="1" t="str">
        <f>IFERROR(__xludf.DUMMYFUNCTION("""COMPUTED_VALUE"""),"100600;INF760K01308;INF760K01316;CANARA ROBECO CONSERVATIVE HYBRID FUND - REGULAR PLAN - MONTHLY IDCW (Payout/Reinvestment);13.2367;25-Aug-2023")</f>
        <v>100600;INF760K01308;INF760K01316;CANARA ROBECO CONSERVATIVE HYBRID FUND - REGULAR PLAN - MONTHLY IDCW (Payout/Reinvestment);13.2367;25-Aug-2023</v>
      </c>
      <c r="B7619" s="1"/>
    </row>
    <row r="7620">
      <c r="A7620" s="1" t="str">
        <f>IFERROR(__xludf.DUMMYFUNCTION("""COMPUTED_VALUE"""),"112378;INF760K01AP7;INF760K01AQ5;CANARA ROBECO CONSERVATIVE HYBRID FUND - REGULAR PLAN - QUARTERLY IDCW (Payout/Reinvestment);13.5789;25-Aug-2023")</f>
        <v>112378;INF760K01AP7;INF760K01AQ5;CANARA ROBECO CONSERVATIVE HYBRID FUND - REGULAR PLAN - QUARTERLY IDCW (Payout/Reinvestment);13.5789;25-Aug-2023</v>
      </c>
      <c r="B7620" s="1"/>
    </row>
    <row r="7621">
      <c r="A7621" s="1"/>
      <c r="B7621" s="1"/>
    </row>
    <row r="7622">
      <c r="A7622" s="1" t="str">
        <f>IFERROR(__xludf.DUMMYFUNCTION("""COMPUTED_VALUE"""),"DSP Mutual Fund")</f>
        <v>DSP Mutual Fund</v>
      </c>
      <c r="B7622" s="1"/>
    </row>
    <row r="7623">
      <c r="A7623" s="1"/>
      <c r="B7623" s="1"/>
    </row>
    <row r="7624">
      <c r="A7624" s="1" t="str">
        <f>IFERROR(__xludf.DUMMYFUNCTION("""COMPUTED_VALUE"""),"118994;INF740K01NO5;-;DSP Regular Savings Fund - Direct Plan - Growth;53.2983;25-Aug-2023")</f>
        <v>118994;INF740K01NO5;-;DSP Regular Savings Fund - Direct Plan - Growth;53.2983;25-Aug-2023</v>
      </c>
      <c r="B7624" s="1"/>
    </row>
    <row r="7625">
      <c r="A7625" s="1" t="str">
        <f>IFERROR(__xludf.DUMMYFUNCTION("""COMPUTED_VALUE"""),"118992;INF740K01NP2;INF740K01NR8;DSP Regular Savings Fund - Direct Plan - IDCW - Monthly;13.2190;25-Aug-2023")</f>
        <v>118992;INF740K01NP2;INF740K01NR8;DSP Regular Savings Fund - Direct Plan - IDCW - Monthly;13.2190;25-Aug-2023</v>
      </c>
      <c r="B7625" s="1"/>
    </row>
    <row r="7626">
      <c r="A7626" s="1" t="str">
        <f>IFERROR(__xludf.DUMMYFUNCTION("""COMPUTED_VALUE"""),"118993;INF740K01NQ0;INF740K01NS6;DSP Regular Savings Fund - Direct Plan - IDCW - Quarterly ;13.1720;25-Aug-2023")</f>
        <v>118993;INF740K01NQ0;INF740K01NS6;DSP Regular Savings Fund - Direct Plan - IDCW - Quarterly ;13.1720;25-Aug-2023</v>
      </c>
      <c r="B7626" s="1"/>
    </row>
    <row r="7627">
      <c r="A7627" s="1" t="str">
        <f>IFERROR(__xludf.DUMMYFUNCTION("""COMPUTED_VALUE"""),"102450;INF740K01458;INF740K01466;DSP Regular Savings Fund - Regular Plan - IDCW - Monthly;10.9502;25-Aug-2023")</f>
        <v>102450;INF740K01458;INF740K01466;DSP Regular Savings Fund - Regular Plan - IDCW - Monthly;10.9502;25-Aug-2023</v>
      </c>
      <c r="B7627" s="1"/>
    </row>
    <row r="7628">
      <c r="A7628" s="1" t="str">
        <f>IFERROR(__xludf.DUMMYFUNCTION("""COMPUTED_VALUE"""),"102451;INF740K01474;INF740K01482;DSP Regular Savings Fund - Regular Plan - IDCW - Quarterly ;11.2926;25-Aug-2023")</f>
        <v>102451;INF740K01474;INF740K01482;DSP Regular Savings Fund - Regular Plan - IDCW - Quarterly ;11.2926;25-Aug-2023</v>
      </c>
      <c r="B7628" s="1"/>
    </row>
    <row r="7629">
      <c r="A7629" s="1" t="str">
        <f>IFERROR(__xludf.DUMMYFUNCTION("""COMPUTED_VALUE"""),"102448;INF740K01441;-;DSP Regular Savings Fund- Regular Plan - Growth;47.9069;25-Aug-2023")</f>
        <v>102448;INF740K01441;-;DSP Regular Savings Fund- Regular Plan - Growth;47.9069;25-Aug-2023</v>
      </c>
      <c r="B7629" s="1"/>
    </row>
    <row r="7630">
      <c r="A7630" s="1"/>
      <c r="B7630" s="1"/>
    </row>
    <row r="7631">
      <c r="A7631" s="1" t="str">
        <f>IFERROR(__xludf.DUMMYFUNCTION("""COMPUTED_VALUE"""),"Franklin Templeton Mutual Fund")</f>
        <v>Franklin Templeton Mutual Fund</v>
      </c>
      <c r="B7631" s="1"/>
    </row>
    <row r="7632">
      <c r="A7632" s="1"/>
      <c r="B7632" s="1"/>
    </row>
    <row r="7633">
      <c r="A7633" s="1" t="str">
        <f>IFERROR(__xludf.DUMMYFUNCTION("""COMPUTED_VALUE"""),"118574;INF090I01GF1;-;Franklin India Debt Hybrid Fund - Direct - GROWTH;80.8811;25-Aug-2023")</f>
        <v>118574;INF090I01GF1;-;Franklin India Debt Hybrid Fund - Direct - GROWTH;80.8811;25-Aug-2023</v>
      </c>
      <c r="B7633" s="1"/>
    </row>
    <row r="7634">
      <c r="A7634" s="1" t="str">
        <f>IFERROR(__xludf.DUMMYFUNCTION("""COMPUTED_VALUE"""),"100948;INF090I01EA7;-;Franklin India Debt Hybrid Fund - Growth;74.5886;25-Aug-2023")</f>
        <v>100948;INF090I01EA7;-;Franklin India Debt Hybrid Fund - Growth;74.5886;25-Aug-2023</v>
      </c>
      <c r="B7634" s="1"/>
    </row>
    <row r="7635">
      <c r="A7635" s="1" t="str">
        <f>IFERROR(__xludf.DUMMYFUNCTION("""COMPUTED_VALUE"""),"118575;INF090I01GG9;INF090I01GH7;Franklin India Debt Hybrid Fund - Plan A - Direct - Monthly - IDCW;14.2013;25-Aug-2023")</f>
        <v>118575;INF090I01GG9;INF090I01GH7;Franklin India Debt Hybrid Fund - Plan A - Direct - Monthly - IDCW;14.2013;25-Aug-2023</v>
      </c>
      <c r="B7635" s="1"/>
    </row>
    <row r="7636">
      <c r="A7636" s="1" t="str">
        <f>IFERROR(__xludf.DUMMYFUNCTION("""COMPUTED_VALUE"""),"118576;INF090I01GI5;INF090I01GJ3;Franklin India Debt Hybrid Fund - Plan A - Direct - Quarterly - IDCW;13.4587;25-Aug-2023")</f>
        <v>118576;INF090I01GI5;INF090I01GJ3;Franklin India Debt Hybrid Fund - Plan A - Direct - Quarterly - IDCW;13.4587;25-Aug-2023</v>
      </c>
      <c r="B7636" s="1"/>
    </row>
    <row r="7637">
      <c r="A7637" s="1" t="str">
        <f>IFERROR(__xludf.DUMMYFUNCTION("""COMPUTED_VALUE"""),"100949;INF090I01EB5;INF090I01EC3;Franklin India Debt Hybrid Fund - Plan A - Monthly - IDCW;12.6336;25-Aug-2023")</f>
        <v>100949;INF090I01EB5;INF090I01EC3;Franklin India Debt Hybrid Fund - Plan A - Monthly - IDCW;12.6336;25-Aug-2023</v>
      </c>
      <c r="B7637" s="1"/>
    </row>
    <row r="7638">
      <c r="A7638" s="1" t="str">
        <f>IFERROR(__xludf.DUMMYFUNCTION("""COMPUTED_VALUE"""),"100950;INF090I01ED1;INF090I01EE9;Franklin India Debt Hybrid Fund - Plan A - Quarterly - IDCW;11.9362;25-Aug-2023")</f>
        <v>100950;INF090I01ED1;INF090I01EE9;Franklin India Debt Hybrid Fund - Plan A - Quarterly - IDCW;11.9362;25-Aug-2023</v>
      </c>
      <c r="B7638" s="1"/>
    </row>
    <row r="7639">
      <c r="A7639" s="1" t="str">
        <f>IFERROR(__xludf.DUMMYFUNCTION("""COMPUTED_VALUE"""),"148302;INF090I01WH4;-;Franklin India Debt Hybrid Fund - Segregated Portfolio 1 (10.25% Yes Bank ltd CO 05Mar20) - Direct Growth Plan;0.0000;11-Jan-2021")</f>
        <v>148302;INF090I01WH4;-;Franklin India Debt Hybrid Fund - Segregated Portfolio 1 (10.25% Yes Bank ltd CO 05Mar20) - Direct Growth Plan;0.0000;11-Jan-2021</v>
      </c>
      <c r="B7639" s="1"/>
    </row>
    <row r="7640">
      <c r="A7640" s="1" t="str">
        <f>IFERROR(__xludf.DUMMYFUNCTION("""COMPUTED_VALUE"""),"148298;INF090I01WI2;-;Franklin India Debt Hybrid Fund - Segregated Portfolio 1 (10.25% Yes Bank Ltd CO 05Mar20) - Direct Quarterly Dividend Plan;0.0000;31-Dec-2020")</f>
        <v>148298;INF090I01WI2;-;Franklin India Debt Hybrid Fund - Segregated Portfolio 1 (10.25% Yes Bank Ltd CO 05Mar20) - Direct Quarterly Dividend Plan;0.0000;31-Dec-2020</v>
      </c>
      <c r="B7640" s="1"/>
    </row>
    <row r="7641">
      <c r="A7641" s="1" t="str">
        <f>IFERROR(__xludf.DUMMYFUNCTION("""COMPUTED_VALUE"""),"148297;INF090I01WE1;-;Franklin India Debt Hybrid Fund - Segregated Portfolio 1 (10.25% Yes bank Ltd CO 05Mar20) - Growth Plan;0.0000;11-Jan-2021")</f>
        <v>148297;INF090I01WE1;-;Franklin India Debt Hybrid Fund - Segregated Portfolio 1 (10.25% Yes bank Ltd CO 05Mar20) - Growth Plan;0.0000;11-Jan-2021</v>
      </c>
      <c r="B7641" s="1"/>
    </row>
    <row r="7642">
      <c r="A7642" s="1" t="str">
        <f>IFERROR(__xludf.DUMMYFUNCTION("""COMPUTED_VALUE"""),"148299;INF090I01WG6;-;Franklin India Debt Hybrid Fund - Segregated Portfolio 1 (10.25% Yes Bank Ltd CO 05Mar20) - Monthly Dividend Plan;0.0000;11-Jan-2021")</f>
        <v>148299;INF090I01WG6;-;Franklin India Debt Hybrid Fund - Segregated Portfolio 1 (10.25% Yes Bank Ltd CO 05Mar20) - Monthly Dividend Plan;0.0000;11-Jan-2021</v>
      </c>
      <c r="B7642" s="1"/>
    </row>
    <row r="7643">
      <c r="A7643" s="1" t="str">
        <f>IFERROR(__xludf.DUMMYFUNCTION("""COMPUTED_VALUE"""),"148300;INF090I01WF8;-;Franklin India Debt Hybrid Fund - Segregated Portfolio 1 (10.25% Yes Bank Ltd CO 05Mar20) - Quarterly Dividend Plan;0.0000;11-Jan-2021")</f>
        <v>148300;INF090I01WF8;-;Franklin India Debt Hybrid Fund - Segregated Portfolio 1 (10.25% Yes Bank Ltd CO 05Mar20) - Quarterly Dividend Plan;0.0000;11-Jan-2021</v>
      </c>
      <c r="B7643" s="1"/>
    </row>
    <row r="7644">
      <c r="A7644" s="1" t="str">
        <f>IFERROR(__xludf.DUMMYFUNCTION("""COMPUTED_VALUE"""),"148301;INF090I01WJ0;-;Franklin India Debt Hybrid Fund - Segregated Portfolio 1 (10.25% Yes Bank Ltd CO05Mar20) - Direct Monthly Dividend Plan;0.0000;11-Jan-2021")</f>
        <v>148301;INF090I01WJ0;-;Franklin India Debt Hybrid Fund - Segregated Portfolio 1 (10.25% Yes Bank Ltd CO05Mar20) - Direct Monthly Dividend Plan;0.0000;11-Jan-2021</v>
      </c>
      <c r="B7644" s="1"/>
    </row>
    <row r="7645">
      <c r="A7645" s="1"/>
      <c r="B7645" s="1"/>
    </row>
    <row r="7646">
      <c r="A7646" s="1" t="str">
        <f>IFERROR(__xludf.DUMMYFUNCTION("""COMPUTED_VALUE"""),"HDFC Mutual Fund")</f>
        <v>HDFC Mutual Fund</v>
      </c>
      <c r="B7646" s="1"/>
    </row>
    <row r="7647">
      <c r="A7647" s="1"/>
      <c r="B7647" s="1"/>
    </row>
    <row r="7648">
      <c r="A7648" s="1" t="str">
        <f>IFERROR(__xludf.DUMMYFUNCTION("""COMPUTED_VALUE"""),"119118;INF179K01XE6;-;HDFC Hybrid Debt Fund - Growth Option - Direct Plan;71.2632;25-Aug-2023")</f>
        <v>119118;INF179K01XE6;-;HDFC Hybrid Debt Fund - Growth Option - Direct Plan;71.2632;25-Aug-2023</v>
      </c>
      <c r="B7648" s="1"/>
    </row>
    <row r="7649">
      <c r="A7649" s="1" t="str">
        <f>IFERROR(__xludf.DUMMYFUNCTION("""COMPUTED_VALUE"""),"102147;INF179K01AE4;-;HDFC Hybrid Debt Fund - Growth Plan;67.677;25-Aug-2023")</f>
        <v>102147;INF179K01AE4;-;HDFC Hybrid Debt Fund - Growth Plan;67.677;25-Aug-2023</v>
      </c>
      <c r="B7649" s="1"/>
    </row>
    <row r="7650">
      <c r="A7650" s="1" t="str">
        <f>IFERROR(__xludf.DUMMYFUNCTION("""COMPUTED_VALUE"""),"102148;INF179K01AA2;INF179K01AB0;HDFC Hybrid Debt Fund - IDCW Monthly;13.7031;25-Aug-2023")</f>
        <v>102148;INF179K01AA2;INF179K01AB0;HDFC Hybrid Debt Fund - IDCW Monthly;13.7031;25-Aug-2023</v>
      </c>
      <c r="B7650" s="1"/>
    </row>
    <row r="7651">
      <c r="A7651" s="1" t="str">
        <f>IFERROR(__xludf.DUMMYFUNCTION("""COMPUTED_VALUE"""),"119119;INF179K01XF3;INF179K01XG1;HDFC Hybrid Debt Fund - IDCW Monthly - Direct Plan;14.8893;25-Aug-2023")</f>
        <v>119119;INF179K01XF3;INF179K01XG1;HDFC Hybrid Debt Fund - IDCW Monthly - Direct Plan;14.8893;25-Aug-2023</v>
      </c>
      <c r="B7651" s="1"/>
    </row>
    <row r="7652">
      <c r="A7652" s="1" t="str">
        <f>IFERROR(__xludf.DUMMYFUNCTION("""COMPUTED_VALUE"""),"102149;INF179K01AC8;INF179K01AD6;HDFC Hybrid Debt Fund - IDCW Quarterly;14.6089;25-Aug-2023")</f>
        <v>102149;INF179K01AC8;INF179K01AD6;HDFC Hybrid Debt Fund - IDCW Quarterly;14.6089;25-Aug-2023</v>
      </c>
      <c r="B7652" s="1"/>
    </row>
    <row r="7653">
      <c r="A7653" s="1" t="str">
        <f>IFERROR(__xludf.DUMMYFUNCTION("""COMPUTED_VALUE"""),"119120;INF179K01XH9;INF179K01XI7;HDFC Hybrid Debt Fund - IDCW Quarterly - Direct Plan;15.858;25-Aug-2023")</f>
        <v>119120;INF179K01XH9;INF179K01XI7;HDFC Hybrid Debt Fund - IDCW Quarterly - Direct Plan;15.858;25-Aug-2023</v>
      </c>
      <c r="B7653" s="1"/>
    </row>
    <row r="7654">
      <c r="A7654" s="1"/>
      <c r="B7654" s="1"/>
    </row>
    <row r="7655">
      <c r="A7655" s="1" t="str">
        <f>IFERROR(__xludf.DUMMYFUNCTION("""COMPUTED_VALUE"""),"HSBC Mutual Fund")</f>
        <v>HSBC Mutual Fund</v>
      </c>
      <c r="B7655" s="1"/>
    </row>
    <row r="7656">
      <c r="A7656" s="1"/>
      <c r="B7656" s="1"/>
    </row>
    <row r="7657">
      <c r="A7657" s="1" t="str">
        <f>IFERROR(__xludf.DUMMYFUNCTION("""COMPUTED_VALUE"""),"120073;INF336L01DW4;-;HSBC Conservative Hybrid Fund - Direct Growth;54.5573;25-Aug-2023")</f>
        <v>120073;INF336L01DW4;-;HSBC Conservative Hybrid Fund - Direct Growth;54.5573;25-Aug-2023</v>
      </c>
      <c r="B7657" s="1"/>
    </row>
    <row r="7658">
      <c r="A7658" s="1" t="str">
        <f>IFERROR(__xludf.DUMMYFUNCTION("""COMPUTED_VALUE"""),"120074;INF336L01DX2;INF336L01DY0;HSBC Conservative Hybrid Fund - Direct Monthly IDCW;16.3742;25-Aug-2023")</f>
        <v>120074;INF336L01DX2;INF336L01DY0;HSBC Conservative Hybrid Fund - Direct Monthly IDCW;16.3742;25-Aug-2023</v>
      </c>
      <c r="B7658" s="1"/>
    </row>
    <row r="7659">
      <c r="A7659" s="1" t="str">
        <f>IFERROR(__xludf.DUMMYFUNCTION("""COMPUTED_VALUE"""),"120075;INF336L01DZ7;INF336L01EA8;HSBC Conservative Hybrid Fund - Direct Quarterly IDCW;14.2308;25-Aug-2023")</f>
        <v>120075;INF336L01DZ7;INF336L01EA8;HSBC Conservative Hybrid Fund - Direct Quarterly IDCW;14.2308;25-Aug-2023</v>
      </c>
      <c r="B7659" s="1"/>
    </row>
    <row r="7660">
      <c r="A7660" s="1" t="str">
        <f>IFERROR(__xludf.DUMMYFUNCTION("""COMPUTED_VALUE"""),"102262;INF336L01099;-;HSBC Conservative Hybrid Fund - Regular Growth;49.5328;25-Aug-2023")</f>
        <v>102262;INF336L01099;-;HSBC Conservative Hybrid Fund - Regular Growth;49.5328;25-Aug-2023</v>
      </c>
      <c r="B7660" s="1"/>
    </row>
    <row r="7661">
      <c r="A7661" s="1" t="str">
        <f>IFERROR(__xludf.DUMMYFUNCTION("""COMPUTED_VALUE"""),"102260;INF336L01107;INF336L01115;HSBC Conservative Hybrid Fund - Regular Monthly IDCW;12.5059;25-Aug-2023")</f>
        <v>102260;INF336L01107;INF336L01115;HSBC Conservative Hybrid Fund - Regular Monthly IDCW;12.5059;25-Aug-2023</v>
      </c>
      <c r="B7661" s="1"/>
    </row>
    <row r="7662">
      <c r="A7662" s="1" t="str">
        <f>IFERROR(__xludf.DUMMYFUNCTION("""COMPUTED_VALUE"""),"102261;INF336L01123;INF336L01131;HSBC Conservative Hybrid Fund - Regular Quarterly IDCW;16.5048;25-Aug-2023")</f>
        <v>102261;INF336L01123;INF336L01131;HSBC Conservative Hybrid Fund - Regular Quarterly IDCW;16.5048;25-Aug-2023</v>
      </c>
      <c r="B7662" s="1"/>
    </row>
    <row r="7663">
      <c r="A7663" s="1"/>
      <c r="B7663" s="1"/>
    </row>
    <row r="7664">
      <c r="A7664" s="1" t="str">
        <f>IFERROR(__xludf.DUMMYFUNCTION("""COMPUTED_VALUE"""),"ICICI Prudential Mutual Fund")</f>
        <v>ICICI Prudential Mutual Fund</v>
      </c>
      <c r="B7664" s="1"/>
    </row>
    <row r="7665">
      <c r="A7665" s="1"/>
      <c r="B7665" s="1"/>
    </row>
    <row r="7666">
      <c r="A7666" s="1" t="str">
        <f>IFERROR(__xludf.DUMMYFUNCTION("""COMPUTED_VALUE"""),"123183;INF109KA1301;-;ICICI Prudential Regular Savings Fund - Direct Plan - Bonus;46.3924;24-Apr-2020")</f>
        <v>123183;INF109KA1301;-;ICICI Prudential Regular Savings Fund - Direct Plan - Bonus;46.3924;24-Apr-2020</v>
      </c>
      <c r="B7666" s="1"/>
    </row>
    <row r="7667">
      <c r="A7667" s="1" t="str">
        <f>IFERROR(__xludf.DUMMYFUNCTION("""COMPUTED_VALUE"""),"120616;INF109K01S39;-;ICICI Prudential Regular Savings Fund - Direct Plan - Growth;67.0830;25-Aug-2023")</f>
        <v>120616;INF109K01S39;-;ICICI Prudential Regular Savings Fund - Direct Plan - Growth;67.0830;25-Aug-2023</v>
      </c>
      <c r="B7667" s="1"/>
    </row>
    <row r="7668">
      <c r="A7668" s="1" t="str">
        <f>IFERROR(__xludf.DUMMYFUNCTION("""COMPUTED_VALUE"""),"120613;INF109K01S47;INF109K01S54;ICICI Prudential Regular Savings Fund - Direct Plan - Half Yearly IDCW;17.0389;25-Aug-2023")</f>
        <v>120613;INF109K01S47;INF109K01S54;ICICI Prudential Regular Savings Fund - Direct Plan - Half Yearly IDCW;17.0389;25-Aug-2023</v>
      </c>
      <c r="B7668" s="1"/>
    </row>
    <row r="7669">
      <c r="A7669" s="1" t="str">
        <f>IFERROR(__xludf.DUMMYFUNCTION("""COMPUTED_VALUE"""),"120615;INF109K01S62;INF109K01S70;ICICI Prudential Regular Savings Fund - Direct Plan - Monthly IDCW;16.1714;25-Aug-2023")</f>
        <v>120615;INF109K01S62;INF109K01S70;ICICI Prudential Regular Savings Fund - Direct Plan - Monthly IDCW;16.1714;25-Aug-2023</v>
      </c>
      <c r="B7669" s="1"/>
    </row>
    <row r="7670">
      <c r="A7670" s="1" t="str">
        <f>IFERROR(__xludf.DUMMYFUNCTION("""COMPUTED_VALUE"""),"120614;INF109K01S88;INF109K01S96;ICICI Prudential Regular Savings Fund - Direct Plan - Quarterly IDCW;14.3204;25-Aug-2023")</f>
        <v>120614;INF109K01S88;INF109K01S96;ICICI Prudential Regular Savings Fund - Direct Plan - Quarterly IDCW;14.3204;25-Aug-2023</v>
      </c>
      <c r="B7670" s="1"/>
    </row>
    <row r="7671">
      <c r="A7671" s="1" t="str">
        <f>IFERROR(__xludf.DUMMYFUNCTION("""COMPUTED_VALUE"""),"128110;INF109KA1319;-;ICICI Prudential Regular Savings Fund - Plan - Bonus;18.3554;24-Apr-2020")</f>
        <v>128110;INF109KA1319;-;ICICI Prudential Regular Savings Fund - Plan - Bonus;18.3554;24-Apr-2020</v>
      </c>
      <c r="B7671" s="1"/>
    </row>
    <row r="7672">
      <c r="A7672" s="1" t="str">
        <f>IFERROR(__xludf.DUMMYFUNCTION("""COMPUTED_VALUE"""),"102330;INF109K01902;-;ICICI Prudential Regular Savings Fund - Plan - Growth;61.8456;25-Aug-2023")</f>
        <v>102330;INF109K01902;-;ICICI Prudential Regular Savings Fund - Plan - Growth;61.8456;25-Aug-2023</v>
      </c>
      <c r="B7672" s="1"/>
    </row>
    <row r="7673">
      <c r="A7673" s="1" t="str">
        <f>IFERROR(__xludf.DUMMYFUNCTION("""COMPUTED_VALUE"""),"113098;INF109K01IW6;INF109K01WX5;ICICI Prudential Regular Savings Fund - Plan - Half Yearly IDCW;13.2722;25-Aug-2023")</f>
        <v>113098;INF109K01IW6;INF109K01WX5;ICICI Prudential Regular Savings Fund - Plan - Half Yearly IDCW;13.2722;25-Aug-2023</v>
      </c>
      <c r="B7673" s="1"/>
    </row>
    <row r="7674">
      <c r="A7674" s="1" t="str">
        <f>IFERROR(__xludf.DUMMYFUNCTION("""COMPUTED_VALUE"""),"102331;INF109K01ER5;INF109K01894;ICICI Prudential Regular Savings Fund - Plan - Monthly IDCW;13.7671;25-Aug-2023")</f>
        <v>102331;INF109K01ER5;INF109K01894;ICICI Prudential Regular Savings Fund - Plan - Monthly IDCW;13.7671;25-Aug-2023</v>
      </c>
      <c r="B7674" s="1"/>
    </row>
    <row r="7675">
      <c r="A7675" s="1" t="str">
        <f>IFERROR(__xludf.DUMMYFUNCTION("""COMPUTED_VALUE"""),"113097;INF109K01IX4;INF109K01WY3;ICICI Prudential Regular Savings Fund - Plan - Quarterly IDCW;11.6579;25-Aug-2023")</f>
        <v>113097;INF109K01IX4;INF109K01WY3;ICICI Prudential Regular Savings Fund - Plan - Quarterly IDCW;11.6579;25-Aug-2023</v>
      </c>
      <c r="B7675" s="1"/>
    </row>
    <row r="7676">
      <c r="A7676" s="1"/>
      <c r="B7676" s="1"/>
    </row>
    <row r="7677">
      <c r="A7677" s="1" t="str">
        <f>IFERROR(__xludf.DUMMYFUNCTION("""COMPUTED_VALUE"""),"ITI Mutual Fund")</f>
        <v>ITI Mutual Fund</v>
      </c>
      <c r="B7677" s="1"/>
    </row>
    <row r="7678">
      <c r="A7678" s="1"/>
      <c r="B7678" s="1"/>
    </row>
    <row r="7679">
      <c r="A7679" s="1" t="str">
        <f>IFERROR(__xludf.DUMMYFUNCTION("""COMPUTED_VALUE"""),"149898;INF00XX01BX0;-;ITI Conservative Hybrid Fund - Regular Plan -Growth;10.7421;25-Aug-2023")</f>
        <v>149898;INF00XX01BX0;-;ITI Conservative Hybrid Fund - Regular Plan -Growth;10.7421;25-Aug-2023</v>
      </c>
      <c r="B7679" s="1"/>
    </row>
    <row r="7680">
      <c r="A7680" s="1" t="str">
        <f>IFERROR(__xludf.DUMMYFUNCTION("""COMPUTED_VALUE"""),"149907;INF00XX01CK5;INF00XX01CJ7;ITI Conservative Hybrid Fund- Direct Plan- Annually IDCW Option;10.9327;25-Aug-2023")</f>
        <v>149907;INF00XX01CK5;INF00XX01CJ7;ITI Conservative Hybrid Fund- Direct Plan- Annually IDCW Option;10.9327;25-Aug-2023</v>
      </c>
      <c r="B7680" s="1"/>
    </row>
    <row r="7681">
      <c r="A7681" s="1" t="str">
        <f>IFERROR(__xludf.DUMMYFUNCTION("""COMPUTED_VALUE"""),"149908;INF00XX01CE8;-;ITI Conservative Hybrid Fund- Direct Plan- Growth Option;10.9278;25-Aug-2023")</f>
        <v>149908;INF00XX01CE8;-;ITI Conservative Hybrid Fund- Direct Plan- Growth Option;10.9278;25-Aug-2023</v>
      </c>
      <c r="B7681" s="1"/>
    </row>
    <row r="7682">
      <c r="A7682" s="1" t="str">
        <f>IFERROR(__xludf.DUMMYFUNCTION("""COMPUTED_VALUE"""),"149906;INF00XX01CG3;INF00XX01CF5;ITI Conservative Hybrid Fund- Direct Plan- Quarterly IDCW Option;10.9274;25-Aug-2023")</f>
        <v>149906;INF00XX01CG3;INF00XX01CF5;ITI Conservative Hybrid Fund- Direct Plan- Quarterly IDCW Option;10.9274;25-Aug-2023</v>
      </c>
      <c r="B7682" s="1"/>
    </row>
    <row r="7683">
      <c r="A7683" s="1" t="str">
        <f>IFERROR(__xludf.DUMMYFUNCTION("""COMPUTED_VALUE"""),"149904;INF00XX01CB4;INF00XX01CA6;ITI Conservative Hybrid Fund- Regular  Plan- Half Yearly IDCW Option;10.7421;25-Aug-2023")</f>
        <v>149904;INF00XX01CB4;INF00XX01CA6;ITI Conservative Hybrid Fund- Regular  Plan- Half Yearly IDCW Option;10.7421;25-Aug-2023</v>
      </c>
      <c r="B7683" s="1"/>
    </row>
    <row r="7684">
      <c r="A7684" s="1" t="str">
        <f>IFERROR(__xludf.DUMMYFUNCTION("""COMPUTED_VALUE"""),"149905;INF00XX01CD0;INF00XX01CC2;ITI Conservative Hybrid Fund- Regular Plan-  Annually IDCW Option;10.7421;25-Aug-2023")</f>
        <v>149905;INF00XX01CD0;INF00XX01CC2;ITI Conservative Hybrid Fund- Regular Plan-  Annually IDCW Option;10.7421;25-Aug-2023</v>
      </c>
      <c r="B7684" s="1"/>
    </row>
    <row r="7685">
      <c r="A7685" s="1" t="str">
        <f>IFERROR(__xludf.DUMMYFUNCTION("""COMPUTED_VALUE"""),"149903;INF00XX01BZ5;INF00XX01BY8;ITI Conservative Hybrid Fund- Regular Plan- Quarterly IDCW Option;10.7419;25-Aug-2023")</f>
        <v>149903;INF00XX01BZ5;INF00XX01BY8;ITI Conservative Hybrid Fund- Regular Plan- Quarterly IDCW Option;10.7419;25-Aug-2023</v>
      </c>
      <c r="B7685" s="1"/>
    </row>
    <row r="7686">
      <c r="A7686" s="1"/>
      <c r="B7686" s="1"/>
    </row>
    <row r="7687">
      <c r="A7687" s="1" t="str">
        <f>IFERROR(__xludf.DUMMYFUNCTION("""COMPUTED_VALUE"""),"Kotak Mahindra Mutual Fund")</f>
        <v>Kotak Mahindra Mutual Fund</v>
      </c>
      <c r="B7687" s="1"/>
    </row>
    <row r="7688">
      <c r="A7688" s="1"/>
      <c r="B7688" s="1"/>
    </row>
    <row r="7689">
      <c r="A7689" s="1" t="str">
        <f>IFERROR(__xludf.DUMMYFUNCTION("""COMPUTED_VALUE"""),"114859;INF174K01393;-;Kotak Debt Hybrid - Growth;47.6279;25-Aug-2023")</f>
        <v>114859;INF174K01393;-;Kotak Debt Hybrid - Growth;47.6279;25-Aug-2023</v>
      </c>
      <c r="B7689" s="1"/>
    </row>
    <row r="7690">
      <c r="A7690" s="1" t="str">
        <f>IFERROR(__xludf.DUMMYFUNCTION("""COMPUTED_VALUE"""),"120154;INF174K01JZ1;-;Kotak Debt Hybrid - Growth - Direct;53.7324;25-Aug-2023")</f>
        <v>120154;INF174K01JZ1;-;Kotak Debt Hybrid - Growth - Direct;53.7324;25-Aug-2023</v>
      </c>
      <c r="B7690" s="1"/>
    </row>
    <row r="7691">
      <c r="A7691" s="1" t="str">
        <f>IFERROR(__xludf.DUMMYFUNCTION("""COMPUTED_VALUE"""),"114858;INF174K01419;INF174K01401;Kotak Debt Hybrid - Monthly Payout of Income Distribution cum capital withdrawal option;12.2555;25-Aug-2023")</f>
        <v>114858;INF174K01419;INF174K01401;Kotak Debt Hybrid - Monthly Payout of Income Distribution cum capital withdrawal option;12.2555;25-Aug-2023</v>
      </c>
      <c r="B7691" s="1"/>
    </row>
    <row r="7692">
      <c r="A7692" s="1" t="str">
        <f>IFERROR(__xludf.DUMMYFUNCTION("""COMPUTED_VALUE"""),"120155;INF174K01KA2;-;Kotak Debt Hybrid - Monthly Payout of Income Distribution cum capital withdrawal option - Direct;13.2013;25-Aug-2023")</f>
        <v>120155;INF174K01KA2;-;Kotak Debt Hybrid - Monthly Payout of Income Distribution cum capital withdrawal option - Direct;13.2013;25-Aug-2023</v>
      </c>
      <c r="B7692" s="1"/>
    </row>
    <row r="7693">
      <c r="A7693" s="1"/>
      <c r="B7693" s="1"/>
    </row>
    <row r="7694">
      <c r="A7694" s="1" t="str">
        <f>IFERROR(__xludf.DUMMYFUNCTION("""COMPUTED_VALUE"""),"LIC Mutual Fund")</f>
        <v>LIC Mutual Fund</v>
      </c>
      <c r="B7694" s="1"/>
    </row>
    <row r="7695">
      <c r="A7695" s="1"/>
      <c r="B7695" s="1"/>
    </row>
    <row r="7696">
      <c r="A7696" s="1" t="str">
        <f>IFERROR(__xludf.DUMMYFUNCTION("""COMPUTED_VALUE"""),"120276;INF767K01EO7;-;LIC MF Conservative Hybrid Fund-Direct Plan-Growth;77.4037;25-Aug-2023")</f>
        <v>120276;INF767K01EO7;-;LIC MF Conservative Hybrid Fund-Direct Plan-Growth;77.4037;25-Aug-2023</v>
      </c>
      <c r="B7696" s="1"/>
    </row>
    <row r="7697">
      <c r="A7697" s="1" t="str">
        <f>IFERROR(__xludf.DUMMYFUNCTION("""COMPUTED_VALUE"""),"120277;INF767K01EP4;INF767K01ES8;LIC MF Conservative Hybrid Fund-Direct Plan-Monthly IDCW;12.1279;25-Aug-2023")</f>
        <v>120277;INF767K01EP4;INF767K01ES8;LIC MF Conservative Hybrid Fund-Direct Plan-Monthly IDCW;12.1279;25-Aug-2023</v>
      </c>
      <c r="B7697" s="1"/>
    </row>
    <row r="7698">
      <c r="A7698" s="1" t="str">
        <f>IFERROR(__xludf.DUMMYFUNCTION("""COMPUTED_VALUE"""),"120274;INF767K01EQ2;INF767K01ET6;LIC MF Conservative Hybrid Fund-Direct Plan-Quarterly IDCW;15.5751;25-Aug-2023")</f>
        <v>120274;INF767K01EQ2;INF767K01ET6;LIC MF Conservative Hybrid Fund-Direct Plan-Quarterly IDCW;15.5751;25-Aug-2023</v>
      </c>
      <c r="B7698" s="1"/>
    </row>
    <row r="7699">
      <c r="A7699" s="1" t="str">
        <f>IFERROR(__xludf.DUMMYFUNCTION("""COMPUTED_VALUE"""),"120275;INF767K01ER0;INF767K01EU4;LIC MF Conservative Hybrid Fund-Direct Plan-Yearly IDCW;13.8644;25-Aug-2023")</f>
        <v>120275;INF767K01ER0;INF767K01EU4;LIC MF Conservative Hybrid Fund-Direct Plan-Yearly IDCW;13.8644;25-Aug-2023</v>
      </c>
      <c r="B7699" s="1"/>
    </row>
    <row r="7700">
      <c r="A7700" s="1" t="str">
        <f>IFERROR(__xludf.DUMMYFUNCTION("""COMPUTED_VALUE"""),"101869;INF767K01808;-;LIC MF Conservative Hybrid Fund-Regular Plan-Growth;71.1379;25-Aug-2023")</f>
        <v>101869;INF767K01808;-;LIC MF Conservative Hybrid Fund-Regular Plan-Growth;71.1379;25-Aug-2023</v>
      </c>
      <c r="B7700" s="1"/>
    </row>
    <row r="7701">
      <c r="A7701" s="1" t="str">
        <f>IFERROR(__xludf.DUMMYFUNCTION("""COMPUTED_VALUE"""),"101866;INF767K01816;INF767K01824;LIC MF Conservative Hybrid Fund-Regular Plan-Monthly IDCW;11.9509;25-Aug-2023")</f>
        <v>101866;INF767K01816;INF767K01824;LIC MF Conservative Hybrid Fund-Regular Plan-Monthly IDCW;11.9509;25-Aug-2023</v>
      </c>
      <c r="B7701" s="1"/>
    </row>
    <row r="7702">
      <c r="A7702" s="1" t="str">
        <f>IFERROR(__xludf.DUMMYFUNCTION("""COMPUTED_VALUE"""),"101867;INF767K01832;INF767K01840;LIC MF Conservative Hybrid Fund-Regular Plan-Quarterly IDCW;12.4958;25-Aug-2023")</f>
        <v>101867;INF767K01832;INF767K01840;LIC MF Conservative Hybrid Fund-Regular Plan-Quarterly IDCW;12.4958;25-Aug-2023</v>
      </c>
      <c r="B7702" s="1"/>
    </row>
    <row r="7703">
      <c r="A7703" s="1" t="str">
        <f>IFERROR(__xludf.DUMMYFUNCTION("""COMPUTED_VALUE"""),"101868;INF767K01857;INF767K01865;LIC MF Conservative Hybrid Fund-Regular Plan-Yearly IDCW;12.0138;25-Aug-2023")</f>
        <v>101868;INF767K01857;INF767K01865;LIC MF Conservative Hybrid Fund-Regular Plan-Yearly IDCW;12.0138;25-Aug-2023</v>
      </c>
      <c r="B7703" s="1"/>
    </row>
    <row r="7704">
      <c r="A7704" s="1"/>
      <c r="B7704" s="1"/>
    </row>
    <row r="7705">
      <c r="A7705" s="1" t="str">
        <f>IFERROR(__xludf.DUMMYFUNCTION("""COMPUTED_VALUE"""),"Navi Mutual Fund")</f>
        <v>Navi Mutual Fund</v>
      </c>
      <c r="B7705" s="1"/>
    </row>
    <row r="7706">
      <c r="A7706" s="1"/>
      <c r="B7706" s="1"/>
    </row>
    <row r="7707">
      <c r="A7707" s="1" t="str">
        <f>IFERROR(__xludf.DUMMYFUNCTION("""COMPUTED_VALUE"""),"119157;INF959L01684;INF959L01692;Navi Regular Savings Fund - Direct Plan Monthly IDCW;12.2318;25-Aug-2023")</f>
        <v>119157;INF959L01684;INF959L01692;Navi Regular Savings Fund - Direct Plan Monthly IDCW;12.2318;25-Aug-2023</v>
      </c>
      <c r="B7707" s="1"/>
    </row>
    <row r="7708">
      <c r="A7708" s="1" t="str">
        <f>IFERROR(__xludf.DUMMYFUNCTION("""COMPUTED_VALUE"""),"119158;INF959L01700;INF959L01718;Navi Regular Savings Fund - Direct Plan Quarterly IDCW;16.9522;25-Aug-2023")</f>
        <v>119158;INF959L01700;INF959L01718;Navi Regular Savings Fund - Direct Plan Quarterly IDCW;16.9522;25-Aug-2023</v>
      </c>
      <c r="B7708" s="1"/>
    </row>
    <row r="7709">
      <c r="A7709" s="1" t="str">
        <f>IFERROR(__xludf.DUMMYFUNCTION("""COMPUTED_VALUE"""),"113141;INF959L01098;INF959L01106;Navi Regular Savings Fund - Monthly IDCW;11.4332;25-Aug-2023")</f>
        <v>113141;INF959L01098;INF959L01106;Navi Regular Savings Fund - Monthly IDCW;11.4332;25-Aug-2023</v>
      </c>
      <c r="B7709" s="1"/>
    </row>
    <row r="7710">
      <c r="A7710" s="1" t="str">
        <f>IFERROR(__xludf.DUMMYFUNCTION("""COMPUTED_VALUE"""),"113143;INF959L01114;INF959L01122;Navi Regular Savings Fund - Quarterly IDCW;14.5484;25-Aug-2023")</f>
        <v>113143;INF959L01114;INF959L01122;Navi Regular Savings Fund - Quarterly IDCW;14.5484;25-Aug-2023</v>
      </c>
      <c r="B7710" s="1"/>
    </row>
    <row r="7711">
      <c r="A7711" s="1" t="str">
        <f>IFERROR(__xludf.DUMMYFUNCTION("""COMPUTED_VALUE"""),"119156;INF959L01676;-;Navi Regular Savings Fund-Direct Plan-Growth Option;27.8921;25-Aug-2023")</f>
        <v>119156;INF959L01676;-;Navi Regular Savings Fund-Direct Plan-Growth Option;27.8921;25-Aug-2023</v>
      </c>
      <c r="B7711" s="1"/>
    </row>
    <row r="7712">
      <c r="A7712" s="1" t="str">
        <f>IFERROR(__xludf.DUMMYFUNCTION("""COMPUTED_VALUE"""),"113142;INF959L01130;-;Navi Regular Savings Fund-Growth;23.6546;25-Aug-2023")</f>
        <v>113142;INF959L01130;-;Navi Regular Savings Fund-Growth;23.6546;25-Aug-2023</v>
      </c>
      <c r="B7712" s="1"/>
    </row>
    <row r="7713">
      <c r="A7713" s="1"/>
      <c r="B7713" s="1"/>
    </row>
    <row r="7714">
      <c r="A7714" s="1" t="str">
        <f>IFERROR(__xludf.DUMMYFUNCTION("""COMPUTED_VALUE"""),"Nippon India Mutual Fund")</f>
        <v>Nippon India Mutual Fund</v>
      </c>
      <c r="B7714" s="1"/>
    </row>
    <row r="7715">
      <c r="A7715" s="1"/>
      <c r="B7715" s="1"/>
    </row>
    <row r="7716">
      <c r="A7716" s="1" t="str">
        <f>IFERROR(__xludf.DUMMYFUNCTION("""COMPUTED_VALUE"""),"148291;INF204KB15O7;INF204KB16O5;NIPPON INDIA HYBRID BOND FUND -  SEGREGATED PORTFOLIO 2 - DIRECT Plan - MONTHLY IDCW Option;0.0000;25-Aug-2023")</f>
        <v>148291;INF204KB15O7;INF204KB16O5;NIPPON INDIA HYBRID BOND FUND -  SEGREGATED PORTFOLIO 2 - DIRECT Plan - MONTHLY IDCW Option;0.0000;25-Aug-2023</v>
      </c>
      <c r="B7716" s="1"/>
    </row>
    <row r="7717">
      <c r="A7717" s="1" t="str">
        <f>IFERROR(__xludf.DUMMYFUNCTION("""COMPUTED_VALUE"""),"148292;INF204KB17O3;INF204KB18O1;NIPPON INDIA HYBRID BOND FUND -  SEGREGATED PORTFOLIO 2 - DIRECT Plan - QUARTERLY IDCW Option;0.0000;25-Aug-2023")</f>
        <v>148292;INF204KB17O3;INF204KB18O1;NIPPON INDIA HYBRID BOND FUND -  SEGREGATED PORTFOLIO 2 - DIRECT Plan - QUARTERLY IDCW Option;0.0000;25-Aug-2023</v>
      </c>
      <c r="B7717" s="1"/>
    </row>
    <row r="7718">
      <c r="A7718" s="1" t="str">
        <f>IFERROR(__xludf.DUMMYFUNCTION("""COMPUTED_VALUE"""),"148294;INF204KB10P5;INF204KB11P3;NIPPON INDIA HYBRID BOND FUND -  SEGREGATED PORTFOLIO 2 - MONTHLY IDCW Option;0.0000;25-Aug-2023")</f>
        <v>148294;INF204KB10P5;INF204KB11P3;NIPPON INDIA HYBRID BOND FUND -  SEGREGATED PORTFOLIO 2 - MONTHLY IDCW Option;0.0000;25-Aug-2023</v>
      </c>
      <c r="B7718" s="1"/>
    </row>
    <row r="7719">
      <c r="A7719" s="1" t="str">
        <f>IFERROR(__xludf.DUMMYFUNCTION("""COMPUTED_VALUE"""),"148295;INF204KB12P1;INF204KB13P9;NIPPON INDIA HYBRID BOND FUND -  SEGREGATED PORTFOLIO 2 - QUARTERLY IDCW Option;0.0000;25-Aug-2023")</f>
        <v>148295;INF204KB12P1;INF204KB13P9;NIPPON INDIA HYBRID BOND FUND -  SEGREGATED PORTFOLIO 2 - QUARTERLY IDCW Option;0.0000;25-Aug-2023</v>
      </c>
      <c r="B7719" s="1"/>
    </row>
    <row r="7720">
      <c r="A7720" s="1" t="str">
        <f>IFERROR(__xludf.DUMMYFUNCTION("""COMPUTED_VALUE"""),"118727;INF204K01YW2;INF204K01YX0;NIPPON INDIA HYBRID BOND FUND - DIRECT Plan - MONTHLY IDCW Option;11.5821;25-Aug-2023")</f>
        <v>118727;INF204K01YW2;INF204K01YX0;NIPPON INDIA HYBRID BOND FUND - DIRECT Plan - MONTHLY IDCW Option;11.5821;25-Aug-2023</v>
      </c>
      <c r="B7720" s="1"/>
    </row>
    <row r="7721">
      <c r="A7721" s="1" t="str">
        <f>IFERROR(__xludf.DUMMYFUNCTION("""COMPUTED_VALUE"""),"118729;INF204K01YY8;INF204K01YZ5;NIPPON INDIA HYBRID BOND FUND - DIRECT Plan - QUARTERLY IDCW Option;12.6748;25-Aug-2023")</f>
        <v>118729;INF204K01YY8;INF204K01YZ5;NIPPON INDIA HYBRID BOND FUND - DIRECT Plan - QUARTERLY IDCW Option;12.6748;25-Aug-2023</v>
      </c>
      <c r="B7721" s="1"/>
    </row>
    <row r="7722">
      <c r="A7722" s="1" t="str">
        <f>IFERROR(__xludf.DUMMYFUNCTION("""COMPUTED_VALUE"""),"118726;INF204K01YV4;-;Nippon India Hybrid Bond Fund - Direct Plan Growth Plan - Growth Option;53.5371;25-Aug-2023")</f>
        <v>118726;INF204K01YV4;-;Nippon India Hybrid Bond Fund - Direct Plan Growth Plan - Growth Option;53.5371;25-Aug-2023</v>
      </c>
      <c r="B7722" s="1"/>
    </row>
    <row r="7723">
      <c r="A7723" s="1" t="str">
        <f>IFERROR(__xludf.DUMMYFUNCTION("""COMPUTED_VALUE"""),"102173;INF204K01FE9;INF204K01FF6;NIPPON INDIA HYBRID BOND FUND - MONTHLY IDCW Option;10.6813;25-Aug-2023")</f>
        <v>102173;INF204K01FE9;INF204K01FF6;NIPPON INDIA HYBRID BOND FUND - MONTHLY IDCW Option;10.6813;25-Aug-2023</v>
      </c>
      <c r="B7723" s="1"/>
    </row>
    <row r="7724">
      <c r="A7724" s="1" t="str">
        <f>IFERROR(__xludf.DUMMYFUNCTION("""COMPUTED_VALUE"""),"102174;INF204K01FG4;INF204K01FH2;NIPPON INDIA HYBRID BOND FUND - QUARTERLY IDCW Option;12.0555;25-Aug-2023")</f>
        <v>102174;INF204K01FG4;INF204K01FH2;NIPPON INDIA HYBRID BOND FUND - QUARTERLY IDCW Option;12.0555;25-Aug-2023</v>
      </c>
      <c r="B7724" s="1"/>
    </row>
    <row r="7725">
      <c r="A7725" s="1" t="str">
        <f>IFERROR(__xludf.DUMMYFUNCTION("""COMPUTED_VALUE"""),"148143;INF204KB12K2;-;Nippon India Hybrid Bond Fund - Segregated Portfolio 1 - Direct Plan Growth Plan - Growth Option;4.0808;10-Jul-2020")</f>
        <v>148143;INF204KB12K2;-;Nippon India Hybrid Bond Fund - Segregated Portfolio 1 - Direct Plan Growth Plan - Growth Option;4.0808;10-Jul-2020</v>
      </c>
      <c r="B7725" s="1"/>
    </row>
    <row r="7726">
      <c r="A7726" s="1" t="str">
        <f>IFERROR(__xludf.DUMMYFUNCTION("""COMPUTED_VALUE"""),"148139;INF204KB14K8;INF204KB13K0;Nippon India Hybrid Bond Fund - Segregated Portfolio 1 - Direct Plan Monthly Dividend Plan;1.0786;10-Jul-2020")</f>
        <v>148139;INF204KB14K8;INF204KB13K0;Nippon India Hybrid Bond Fund - Segregated Portfolio 1 - Direct Plan Monthly Dividend Plan;1.0786;10-Jul-2020</v>
      </c>
      <c r="B7726" s="1"/>
    </row>
    <row r="7727">
      <c r="A7727" s="1" t="str">
        <f>IFERROR(__xludf.DUMMYFUNCTION("""COMPUTED_VALUE"""),"148140;INF204KB15K5;INF204KB16K3;Nippon India Hybrid Bond Fund - Segregated Portfolio 1 - Direct Plan Quarterly Dividend Plan;1.0860;10-Jul-2020")</f>
        <v>148140;INF204KB15K5;INF204KB16K3;Nippon India Hybrid Bond Fund - Segregated Portfolio 1 - Direct Plan Quarterly Dividend Plan;1.0860;10-Jul-2020</v>
      </c>
      <c r="B7727" s="1"/>
    </row>
    <row r="7728">
      <c r="A7728" s="1" t="str">
        <f>IFERROR(__xludf.DUMMYFUNCTION("""COMPUTED_VALUE"""),"148141;INF204KB17K1;-;Nippon India Hybrid Bond Fund - Segregated Portfolio 1 - Growth Plan;3.8398;10-Jul-2020")</f>
        <v>148141;INF204KB17K1;-;Nippon India Hybrid Bond Fund - Segregated Portfolio 1 - Growth Plan;3.8398;10-Jul-2020</v>
      </c>
      <c r="B7728" s="1"/>
    </row>
    <row r="7729">
      <c r="A7729" s="1" t="str">
        <f>IFERROR(__xludf.DUMMYFUNCTION("""COMPUTED_VALUE"""),"148142;INF204KB18K9;INF204KB19K7;Nippon India Hybrid Bond Fund - Segregated Portfolio 1 - Monthly Dividend Plan;0.9969;10-Jul-2020")</f>
        <v>148142;INF204KB18K9;INF204KB19K7;Nippon India Hybrid Bond Fund - Segregated Portfolio 1 - Monthly Dividend Plan;0.9969;10-Jul-2020</v>
      </c>
      <c r="B7729" s="1"/>
    </row>
    <row r="7730">
      <c r="A7730" s="1" t="str">
        <f>IFERROR(__xludf.DUMMYFUNCTION("""COMPUTED_VALUE"""),"148144;INF204KB10L4;INF204KB11L2;Nippon India Hybrid Bond Fund - Segregated Portfolio 1 - Quarterly Dividend Plan;1.0493;10-Jul-2020")</f>
        <v>148144;INF204KB10L4;INF204KB11L2;Nippon India Hybrid Bond Fund - Segregated Portfolio 1 - Quarterly Dividend Plan;1.0493;10-Jul-2020</v>
      </c>
      <c r="B7730" s="1"/>
    </row>
    <row r="7731">
      <c r="A7731" s="1" t="str">
        <f>IFERROR(__xludf.DUMMYFUNCTION("""COMPUTED_VALUE"""),"148296;INF204KB14O0;-;Nippon India Hybrid Bond Fund - Segregated Portfolio 2 - Direct Plan - Growth Plan - Growth Option;0.0000;25-Aug-2023")</f>
        <v>148296;INF204KB14O0;-;Nippon India Hybrid Bond Fund - Segregated Portfolio 2 - Direct Plan - Growth Plan - Growth Option;0.0000;25-Aug-2023</v>
      </c>
      <c r="B7731" s="1"/>
    </row>
    <row r="7732">
      <c r="A7732" s="1" t="str">
        <f>IFERROR(__xludf.DUMMYFUNCTION("""COMPUTED_VALUE"""),"148293;INF204KB19O9;-;Nippon India Hybrid Bond Fund - Segregated Portfolio 2 - Growth Plan;0.0000;25-Aug-2023")</f>
        <v>148293;INF204KB19O9;-;Nippon India Hybrid Bond Fund - Segregated Portfolio 2 - Growth Plan;0.0000;25-Aug-2023</v>
      </c>
      <c r="B7732" s="1"/>
    </row>
    <row r="7733">
      <c r="A7733" s="1" t="str">
        <f>IFERROR(__xludf.DUMMYFUNCTION("""COMPUTED_VALUE"""),"102172;INF204K01FD1;-;Nippon India Hybrid Bond Fund-Growth Plan;49.1742;25-Aug-2023")</f>
        <v>102172;INF204K01FD1;-;Nippon India Hybrid Bond Fund-Growth Plan;49.1742;25-Aug-2023</v>
      </c>
      <c r="B7733" s="1"/>
    </row>
    <row r="7734">
      <c r="A7734" s="1"/>
      <c r="B7734" s="1"/>
    </row>
    <row r="7735">
      <c r="A7735" s="1" t="str">
        <f>IFERROR(__xludf.DUMMYFUNCTION("""COMPUTED_VALUE"""),"PPFAS Mutual Fund")</f>
        <v>PPFAS Mutual Fund</v>
      </c>
      <c r="B7735" s="1"/>
    </row>
    <row r="7736">
      <c r="A7736" s="1"/>
      <c r="B7736" s="1"/>
    </row>
    <row r="7737">
      <c r="A7737" s="1" t="str">
        <f>IFERROR(__xludf.DUMMYFUNCTION("""COMPUTED_VALUE"""),"148958;INF879O01175;-;Parag Parikh Conservative Hybrid Fund - Direct Plan - Growth;11.9487;25-Aug-2023")</f>
        <v>148958;INF879O01175;-;Parag Parikh Conservative Hybrid Fund - Direct Plan - Growth;11.9487;25-Aug-2023</v>
      </c>
      <c r="B7737" s="1"/>
    </row>
    <row r="7738">
      <c r="A7738" s="1" t="str">
        <f>IFERROR(__xludf.DUMMYFUNCTION("""COMPUTED_VALUE"""),"148961;INF879O01167;INF879O01159;Parag Parikh Conservative Hybrid Fund - Direct Plan - Monthly IDCW;10.3374;25-Aug-2023")</f>
        <v>148961;INF879O01167;INF879O01159;Parag Parikh Conservative Hybrid Fund - Direct Plan - Monthly IDCW;10.3374;25-Aug-2023</v>
      </c>
      <c r="B7738" s="1"/>
    </row>
    <row r="7739">
      <c r="A7739" s="1" t="str">
        <f>IFERROR(__xludf.DUMMYFUNCTION("""COMPUTED_VALUE"""),"148959;INF879O01209;-;Parag Parikh Conservative Hybrid Fund - Regular Plan - Growth;11.8685;25-Aug-2023")</f>
        <v>148959;INF879O01209;-;Parag Parikh Conservative Hybrid Fund - Regular Plan - Growth;11.8685;25-Aug-2023</v>
      </c>
      <c r="B7739" s="1"/>
    </row>
    <row r="7740">
      <c r="A7740" s="1" t="str">
        <f>IFERROR(__xludf.DUMMYFUNCTION("""COMPUTED_VALUE"""),"148960;INF879O01191;INF879O01183;Parag Parikh Conservative Hybrid Fund - Regular Plan - Monthly IDCW;10.4325;25-Aug-2023")</f>
        <v>148960;INF879O01191;INF879O01183;Parag Parikh Conservative Hybrid Fund - Regular Plan - Monthly IDCW;10.4325;25-Aug-2023</v>
      </c>
      <c r="B7740" s="1"/>
    </row>
    <row r="7741">
      <c r="A7741" s="1"/>
      <c r="B7741" s="1"/>
    </row>
    <row r="7742">
      <c r="A7742" s="1" t="str">
        <f>IFERROR(__xludf.DUMMYFUNCTION("""COMPUTED_VALUE"""),"SBI Mutual Fund")</f>
        <v>SBI Mutual Fund</v>
      </c>
      <c r="B7742" s="1"/>
    </row>
    <row r="7743">
      <c r="A7743" s="1"/>
      <c r="B7743" s="1"/>
    </row>
    <row r="7744">
      <c r="A7744" s="1" t="str">
        <f>IFERROR(__xludf.DUMMYFUNCTION("""COMPUTED_VALUE"""),"119836;INF200K01TV2;INF200K01TW0;SBI Conservative Hybrid Fund  - Direct Plan - Quarterly Income Distribution cum Capital Withdrawal Option (IDCW);19.9558;25-Aug-2023")</f>
        <v>119836;INF200K01TV2;INF200K01TW0;SBI Conservative Hybrid Fund  - Direct Plan - Quarterly Income Distribution cum Capital Withdrawal Option (IDCW);19.9558;25-Aug-2023</v>
      </c>
      <c r="B7744" s="1"/>
    </row>
    <row r="7745">
      <c r="A7745" s="1" t="str">
        <f>IFERROR(__xludf.DUMMYFUNCTION("""COMPUTED_VALUE"""),"119837;INF200K01TQ2;INF200K01TR0;SBI Conservative Hybrid Fund - Direct Plan - Annual Income Distribution cum Capital Withdrawal Option (IDCW);26.0457;25-Aug-2023")</f>
        <v>119837;INF200K01TQ2;INF200K01TR0;SBI Conservative Hybrid Fund - Direct Plan - Annual Income Distribution cum Capital Withdrawal Option (IDCW);26.0457;25-Aug-2023</v>
      </c>
      <c r="B7745" s="1"/>
    </row>
    <row r="7746">
      <c r="A7746" s="1" t="str">
        <f>IFERROR(__xludf.DUMMYFUNCTION("""COMPUTED_VALUE"""),"119839;INF200K01TS8;-;SBI Conservative Hybrid Fund - Direct Plan - Growth;65.3129;25-Aug-2023")</f>
        <v>119839;INF200K01TS8;-;SBI Conservative Hybrid Fund - Direct Plan - Growth;65.3129;25-Aug-2023</v>
      </c>
      <c r="B7746" s="1"/>
    </row>
    <row r="7747">
      <c r="A7747" s="1" t="str">
        <f>IFERROR(__xludf.DUMMYFUNCTION("""COMPUTED_VALUE"""),"119838;INF200K01TT6;INF200K01TU4;SBI Conservative Hybrid Fund - Direct Plan - Monthly Income Distribution cum Capital Withdrawal Option (IDCW);23.9083;25-Aug-2023")</f>
        <v>119838;INF200K01TT6;INF200K01TU4;SBI Conservative Hybrid Fund - Direct Plan - Monthly Income Distribution cum Capital Withdrawal Option (IDCW);23.9083;25-Aug-2023</v>
      </c>
      <c r="B7747" s="1"/>
    </row>
    <row r="7748">
      <c r="A7748" s="1" t="str">
        <f>IFERROR(__xludf.DUMMYFUNCTION("""COMPUTED_VALUE"""),"100929;INF200K01909;INF200K01917;SBI Conservative Hybrid Fund - Regular Plan - Annual Income Distribution cum Capital Withdrawal Option (IDCW);21.2857;25-Aug-2023")</f>
        <v>100929;INF200K01909;INF200K01917;SBI Conservative Hybrid Fund - Regular Plan - Annual Income Distribution cum Capital Withdrawal Option (IDCW);21.2857;25-Aug-2023</v>
      </c>
      <c r="B7748" s="1"/>
    </row>
    <row r="7749">
      <c r="A7749" s="1" t="str">
        <f>IFERROR(__xludf.DUMMYFUNCTION("""COMPUTED_VALUE"""),"100968;INF200K01859;-;SBI Conservative Hybrid Fund - Regular Plan - Growth;60.3447;25-Aug-2023")</f>
        <v>100968;INF200K01859;-;SBI Conservative Hybrid Fund - Regular Plan - Growth;60.3447;25-Aug-2023</v>
      </c>
      <c r="B7749" s="1"/>
    </row>
    <row r="7750">
      <c r="A7750" s="1" t="str">
        <f>IFERROR(__xludf.DUMMYFUNCTION("""COMPUTED_VALUE"""),"100927;INF200K01867;INF200K01875;SBI Conservative Hybrid Fund - Regular Plan - Monthly Income Distribution cum Capital Withdrawal Option (IDCW);18.5363;25-Aug-2023")</f>
        <v>100927;INF200K01867;INF200K01875;SBI Conservative Hybrid Fund - Regular Plan - Monthly Income Distribution cum Capital Withdrawal Option (IDCW);18.5363;25-Aug-2023</v>
      </c>
      <c r="B7750" s="1"/>
    </row>
    <row r="7751">
      <c r="A7751" s="1" t="str">
        <f>IFERROR(__xludf.DUMMYFUNCTION("""COMPUTED_VALUE"""),"100928;INF200K01883;INF200K01891;SBI Conservative Hybrid Fund - Regular Plan - Quarterly Income Distribution cum Capital Withdrawal Option (IDCW);17.4041;25-Aug-2023")</f>
        <v>100928;INF200K01883;INF200K01891;SBI Conservative Hybrid Fund - Regular Plan - Quarterly Income Distribution cum Capital Withdrawal Option (IDCW);17.4041;25-Aug-2023</v>
      </c>
      <c r="B7751" s="1"/>
    </row>
    <row r="7752">
      <c r="A7752" s="1"/>
      <c r="B7752" s="1"/>
    </row>
    <row r="7753">
      <c r="A7753" s="1" t="str">
        <f>IFERROR(__xludf.DUMMYFUNCTION("""COMPUTED_VALUE"""),"Sundaram Mutual Fund")</f>
        <v>Sundaram Mutual Fund</v>
      </c>
      <c r="B7753" s="1"/>
    </row>
    <row r="7754">
      <c r="A7754" s="1"/>
      <c r="B7754" s="1"/>
    </row>
    <row r="7755">
      <c r="A7755" s="1" t="str">
        <f>IFERROR(__xludf.DUMMYFUNCTION("""COMPUTED_VALUE"""),"119635;INF903J01OP6;-;Sundaram Debt Oriented Hybrid Fund Direct Plan - Growth;27.6957;25-Aug-2023")</f>
        <v>119635;INF903J01OP6;-;Sundaram Debt Oriented Hybrid Fund Direct Plan - Growth;27.6957;25-Aug-2023</v>
      </c>
      <c r="B7755" s="1"/>
    </row>
    <row r="7756">
      <c r="A7756" s="1" t="str">
        <f>IFERROR(__xludf.DUMMYFUNCTION("""COMPUTED_VALUE"""),"119638;INF903J01OS0;INF903J01OV4;Sundaram Debt Oriented Hybrid Fund Direct Plan - Half yearly Income Distribution cum Capital Withdrawal (IDCW);18.4214;25-Aug-2023")</f>
        <v>119638;INF903J01OS0;INF903J01OV4;Sundaram Debt Oriented Hybrid Fund Direct Plan - Half yearly Income Distribution cum Capital Withdrawal (IDCW);18.4214;25-Aug-2023</v>
      </c>
      <c r="B7756" s="1"/>
    </row>
    <row r="7757">
      <c r="A7757" s="1" t="str">
        <f>IFERROR(__xludf.DUMMYFUNCTION("""COMPUTED_VALUE"""),"119636;INF903J01OQ4;INF903J01OT8;Sundaram Debt Oriented Hybrid Fund Direct Plan - Monthly Income Distribution cum Capital Withdrawal (IDCW);13.5082;25-Aug-2023")</f>
        <v>119636;INF903J01OQ4;INF903J01OT8;Sundaram Debt Oriented Hybrid Fund Direct Plan - Monthly Income Distribution cum Capital Withdrawal (IDCW);13.5082;25-Aug-2023</v>
      </c>
      <c r="B7757" s="1"/>
    </row>
    <row r="7758">
      <c r="A7758" s="1" t="str">
        <f>IFERROR(__xludf.DUMMYFUNCTION("""COMPUTED_VALUE"""),"119637;INF903J01OR2;INF903J01OU6;Sundaram Debt Oriented Hybrid Fund Direct Plan - Quarterly Income Distribution cum Capital Withdrawal (IDCW);18.4371;25-Aug-2023")</f>
        <v>119637;INF903J01OR2;INF903J01OU6;Sundaram Debt Oriented Hybrid Fund Direct Plan - Quarterly Income Distribution cum Capital Withdrawal (IDCW);18.4371;25-Aug-2023</v>
      </c>
      <c r="B7758" s="1"/>
    </row>
    <row r="7759">
      <c r="A7759" s="1" t="str">
        <f>IFERROR(__xludf.DUMMYFUNCTION("""COMPUTED_VALUE"""),"112868;INF903J01HB0;-;Sundaram Debt Oriented Hybrid Fund Regular Plan - Growth;25.5796;25-Aug-2023")</f>
        <v>112868;INF903J01HB0;-;Sundaram Debt Oriented Hybrid Fund Regular Plan - Growth;25.5796;25-Aug-2023</v>
      </c>
      <c r="B7759" s="1"/>
    </row>
    <row r="7760">
      <c r="A7760" s="1" t="str">
        <f>IFERROR(__xludf.DUMMYFUNCTION("""COMPUTED_VALUE"""),"112869;INF903J01HE4;INF903J01HH7;Sundaram Debt Oriented Hybrid Fund Regular Plan - Half yearly Income Distribution cum Capital Withdrawal (IDCW);16.8681;25-Aug-2023")</f>
        <v>112869;INF903J01HE4;INF903J01HH7;Sundaram Debt Oriented Hybrid Fund Regular Plan - Half yearly Income Distribution cum Capital Withdrawal (IDCW);16.8681;25-Aug-2023</v>
      </c>
      <c r="B7760" s="1"/>
    </row>
    <row r="7761">
      <c r="A7761" s="1" t="str">
        <f>IFERROR(__xludf.DUMMYFUNCTION("""COMPUTED_VALUE"""),"112867;INF903J01HC8;INF903J01HF1;Sundaram Debt Oriented Hybrid Fund Regular Plan - Monthly Income Distribution cum Capital Withdrawal (IDCW);13.4044;25-Aug-2023")</f>
        <v>112867;INF903J01HC8;INF903J01HF1;Sundaram Debt Oriented Hybrid Fund Regular Plan - Monthly Income Distribution cum Capital Withdrawal (IDCW);13.4044;25-Aug-2023</v>
      </c>
      <c r="B7761" s="1"/>
    </row>
    <row r="7762">
      <c r="A7762" s="1" t="str">
        <f>IFERROR(__xludf.DUMMYFUNCTION("""COMPUTED_VALUE"""),"112870;INF903J01HD6;INF903J01HG9;Sundaram Debt Oriented Hybrid Fund Regular Plan - Quarterly Income Distribution cum Capital Withdrawal (IDCW);16.9470;25-Aug-2023")</f>
        <v>112870;INF903J01HD6;INF903J01HG9;Sundaram Debt Oriented Hybrid Fund Regular Plan - Quarterly Income Distribution cum Capital Withdrawal (IDCW);16.9470;25-Aug-2023</v>
      </c>
      <c r="B7762" s="1"/>
    </row>
    <row r="7763">
      <c r="A7763" s="1"/>
      <c r="B7763" s="1"/>
    </row>
    <row r="7764">
      <c r="A7764" s="1" t="str">
        <f>IFERROR(__xludf.DUMMYFUNCTION("""COMPUTED_VALUE"""),"UTI Mutual Fund")</f>
        <v>UTI Mutual Fund</v>
      </c>
      <c r="B7764" s="1"/>
    </row>
    <row r="7765">
      <c r="A7765" s="1"/>
      <c r="B7765" s="1"/>
    </row>
    <row r="7766">
      <c r="A7766" s="1" t="str">
        <f>IFERROR(__xludf.DUMMYFUNCTION("""COMPUTED_VALUE"""),"148106;INF789F1AQP1;-;UTI - Regular Saving Fund (Segregated - 17022020) - Direct Plan - Growth Option;4.08;27-Jan-2022")</f>
        <v>148106;INF789F1AQP1;-;UTI - Regular Saving Fund (Segregated - 17022020) - Direct Plan - Growth Option;4.08;27-Jan-2022</v>
      </c>
      <c r="B7766" s="1"/>
    </row>
    <row r="7767">
      <c r="A7767" s="1" t="str">
        <f>IFERROR(__xludf.DUMMYFUNCTION("""COMPUTED_VALUE"""),"148112;INF789F1AQM8;-;UTI - Regular Saving Fund (Segregated - 17022020) - Direct Plan - Monthly Payment Option;4.0131;27-Jan-2022")</f>
        <v>148112;INF789F1AQM8;-;UTI - Regular Saving Fund (Segregated - 17022020) - Direct Plan - Monthly Payment Option;4.0131;27-Jan-2022</v>
      </c>
      <c r="B7767" s="1"/>
    </row>
    <row r="7768">
      <c r="A7768" s="1" t="str">
        <f>IFERROR(__xludf.DUMMYFUNCTION("""COMPUTED_VALUE"""),"148105;INF789F1AQJ4;-;UTI - Regular Saving Fund (Segregated - 17022020) - Regular Plan - Growth Option;3.8396;27-Jan-2022")</f>
        <v>148105;INF789F1AQJ4;-;UTI - Regular Saving Fund (Segregated - 17022020) - Regular Plan - Growth Option;3.8396;27-Jan-2022</v>
      </c>
      <c r="B7768" s="1"/>
    </row>
    <row r="7769">
      <c r="A7769" s="1" t="str">
        <f>IFERROR(__xludf.DUMMYFUNCTION("""COMPUTED_VALUE"""),"148108;INF789F1AQG0;-;UTI - Regular Saving Fund (Segregated - 17022020) - Regular Plan - Monthly Payment Option;3.8416;27-Jan-2022")</f>
        <v>148108;INF789F1AQG0;-;UTI - Regular Saving Fund (Segregated - 17022020) - Regular Plan - Monthly Payment Option;3.8416;27-Jan-2022</v>
      </c>
      <c r="B7769" s="1"/>
    </row>
    <row r="7770">
      <c r="A7770" s="1" t="str">
        <f>IFERROR(__xludf.DUMMYFUNCTION("""COMPUTED_VALUE"""),"148115;INF789F1AQQ9;INF789F1AQR7;UTI Regular Saving Fund ( Segregated - 17022020) - Direct Plan - Flexi IDCW;3.4135;27-Jan-2022")</f>
        <v>148115;INF789F1AQQ9;INF789F1AQR7;UTI Regular Saving Fund ( Segregated - 17022020) - Direct Plan - Flexi IDCW;3.4135;27-Jan-2022</v>
      </c>
      <c r="B7770" s="1"/>
    </row>
    <row r="7771">
      <c r="A7771" s="1" t="str">
        <f>IFERROR(__xludf.DUMMYFUNCTION("""COMPUTED_VALUE"""),"148109;INF789F1AQN6;INF789F1AQO4;UTI Regular Saving Fund ( Segregated - 17022020) - Direct Plan - Monthly IDCW;1.4527;27-Jan-2022")</f>
        <v>148109;INF789F1AQN6;INF789F1AQO4;UTI Regular Saving Fund ( Segregated - 17022020) - Direct Plan - Monthly IDCW;1.4527;27-Jan-2022</v>
      </c>
      <c r="B7771" s="1"/>
    </row>
    <row r="7772">
      <c r="A7772" s="1" t="str">
        <f>IFERROR(__xludf.DUMMYFUNCTION("""COMPUTED_VALUE"""),"148111;INF789F1AQK2;INF789F1AQL0;UTI Regular Saving Fund ( Segregated - 17022020) - Regular Plan - Flexi IDCW;3.1928;27-Jan-2022")</f>
        <v>148111;INF789F1AQK2;INF789F1AQL0;UTI Regular Saving Fund ( Segregated - 17022020) - Regular Plan - Flexi IDCW;3.1928;27-Jan-2022</v>
      </c>
      <c r="B7772" s="1"/>
    </row>
    <row r="7773">
      <c r="A7773" s="1" t="str">
        <f>IFERROR(__xludf.DUMMYFUNCTION("""COMPUTED_VALUE"""),"148104;INF789F1AQH8;INF789F1AQI6;UTI Regular Saving Fund ( Segregated - 17022020) - Regular Plan - Monthly IDCW;1.3512;27-Jan-2022")</f>
        <v>148104;INF789F1AQH8;INF789F1AQI6;UTI Regular Saving Fund ( Segregated - 17022020) - Regular Plan - Monthly IDCW;1.3512;27-Jan-2022</v>
      </c>
      <c r="B7773" s="1"/>
    </row>
    <row r="7774">
      <c r="A7774" s="1" t="str">
        <f>IFERROR(__xludf.DUMMYFUNCTION("""COMPUTED_VALUE"""),"120779;INF789F01UJ7;-;UTI - Regular Savings Fund - Direct Plan - Growth Option;60.6689;25-Aug-2023")</f>
        <v>120779;INF789F01UJ7;-;UTI - Regular Savings Fund - Direct Plan - Growth Option;60.6689;25-Aug-2023</v>
      </c>
      <c r="B7774" s="1"/>
    </row>
    <row r="7775">
      <c r="A7775" s="1" t="str">
        <f>IFERROR(__xludf.DUMMYFUNCTION("""COMPUTED_VALUE"""),"120790;INF789F01UM1;-;UTI - Regular Savings Fund - Direct Plan - Monthly Payment Option;59.6801;25-Aug-2023")</f>
        <v>120790;INF789F01UM1;-;UTI - Regular Savings Fund - Direct Plan - Monthly Payment Option;59.6801;25-Aug-2023</v>
      </c>
      <c r="B7775" s="1"/>
    </row>
    <row r="7776">
      <c r="A7776" s="1" t="str">
        <f>IFERROR(__xludf.DUMMYFUNCTION("""COMPUTED_VALUE"""),"102535;INF789F01893;-;UTI - Regular Savings Fund - Regular Plan - Growth Option;56.7117;25-Aug-2023")</f>
        <v>102535;INF789F01893;-;UTI - Regular Savings Fund - Regular Plan - Growth Option;56.7117;25-Aug-2023</v>
      </c>
      <c r="B7776" s="1"/>
    </row>
    <row r="7777">
      <c r="A7777" s="1" t="str">
        <f>IFERROR(__xludf.DUMMYFUNCTION("""COMPUTED_VALUE"""),"102533;INF789F01927;-;UTI - Regular Savings Fund - Regular Plan - Monthly Payment Option;56.7408;25-Aug-2023")</f>
        <v>102533;INF789F01927;-;UTI - Regular Savings Fund - Regular Plan - Monthly Payment Option;56.7408;25-Aug-2023</v>
      </c>
      <c r="B7777" s="1"/>
    </row>
    <row r="7778">
      <c r="A7778" s="1" t="str">
        <f>IFERROR(__xludf.DUMMYFUNCTION("""COMPUTED_VALUE"""),"120789;INF789F01UH1;INF789F01UI9;UTI Regular Savings Fund - Direct Plan - Flexi IDCW;42.8479;25-Aug-2023")</f>
        <v>120789;INF789F01UH1;INF789F01UI9;UTI Regular Savings Fund - Direct Plan - Flexi IDCW;42.8479;25-Aug-2023</v>
      </c>
      <c r="B7778" s="1"/>
    </row>
    <row r="7779">
      <c r="A7779" s="1" t="str">
        <f>IFERROR(__xludf.DUMMYFUNCTION("""COMPUTED_VALUE"""),"120778;INF789F01UK5;INF789F01UL3;UTI Regular Savings Fund - Direct Plan - Monthly IDCW;17.5974;25-Aug-2023")</f>
        <v>120778;INF789F01UK5;INF789F01UL3;UTI Regular Savings Fund - Direct Plan - Monthly IDCW;17.5974;25-Aug-2023</v>
      </c>
      <c r="B7779" s="1"/>
    </row>
    <row r="7780">
      <c r="A7780" s="1" t="str">
        <f>IFERROR(__xludf.DUMMYFUNCTION("""COMPUTED_VALUE"""),"102534;INF789F01877;INF789F01885;UTI Regular Savings Fund - Regular Plan - Flexi IDCW;39.3356;25-Aug-2023")</f>
        <v>102534;INF789F01877;INF789F01885;UTI Regular Savings Fund - Regular Plan - Flexi IDCW;39.3356;25-Aug-2023</v>
      </c>
      <c r="B7780" s="1"/>
    </row>
    <row r="7781">
      <c r="A7781" s="1" t="str">
        <f>IFERROR(__xludf.DUMMYFUNCTION("""COMPUTED_VALUE"""),"102536;INF789F01901;INF789F01919;UTI Regular Savings Fund - Regular Plan - Monthly IDCW;15.9971;25-Aug-2023")</f>
        <v>102536;INF789F01901;INF789F01919;UTI Regular Savings Fund - Regular Plan - Monthly IDCW;15.9971;25-Aug-2023</v>
      </c>
      <c r="B7781" s="1"/>
    </row>
    <row r="7782">
      <c r="A7782" s="1"/>
      <c r="B7782" s="1"/>
    </row>
    <row r="7783">
      <c r="A7783" s="1" t="str">
        <f>IFERROR(__xludf.DUMMYFUNCTION("""COMPUTED_VALUE"""),"Open Ended Schemes(Hybrid Scheme - Dynamic Asset Allocation or Balanced Advantage)")</f>
        <v>Open Ended Schemes(Hybrid Scheme - Dynamic Asset Allocation or Balanced Advantage)</v>
      </c>
      <c r="B7783" s="1"/>
    </row>
    <row r="7784">
      <c r="A7784" s="1"/>
      <c r="B7784" s="1"/>
    </row>
    <row r="7785">
      <c r="A7785" s="1" t="str">
        <f>IFERROR(__xludf.DUMMYFUNCTION("""COMPUTED_VALUE"""),"Aditya Birla Sun Life Mutual Fund")</f>
        <v>Aditya Birla Sun Life Mutual Fund</v>
      </c>
      <c r="B7785" s="1"/>
    </row>
    <row r="7786">
      <c r="A7786" s="1"/>
      <c r="B7786" s="1"/>
    </row>
    <row r="7787">
      <c r="A7787" s="1" t="str">
        <f>IFERROR(__xludf.DUMMYFUNCTION("""COMPUTED_VALUE"""),"131670;INF084M01DJ5;-;Aditya Birla Sun Life Balanced Advantage Fund - Direct Plan - Growth Option;91.2;25-Aug-2023")</f>
        <v>131670;INF084M01DJ5;-;Aditya Birla Sun Life Balanced Advantage Fund - Direct Plan - Growth Option;91.2;25-Aug-2023</v>
      </c>
      <c r="B7787" s="1"/>
    </row>
    <row r="7788">
      <c r="A7788" s="1" t="str">
        <f>IFERROR(__xludf.DUMMYFUNCTION("""COMPUTED_VALUE"""),"131666;INF084M01AB8;-;Aditya Birla Sun Life Balanced Advantage Fund - Regular Plan - Growth Option;82.07;25-Aug-2023")</f>
        <v>131666;INF084M01AB8;-;Aditya Birla Sun Life Balanced Advantage Fund - Regular Plan - Growth Option;82.07;25-Aug-2023</v>
      </c>
      <c r="B7788" s="1"/>
    </row>
    <row r="7789">
      <c r="A7789" s="1" t="str">
        <f>IFERROR(__xludf.DUMMYFUNCTION("""COMPUTED_VALUE"""),"131671;INF084M01DK3;INF084M01DL1;Aditya Birla Sun Life Balanced Advantage Fund -DIRECT - IDCW;26.26;25-Aug-2023")</f>
        <v>131671;INF084M01DK3;INF084M01DL1;Aditya Birla Sun Life Balanced Advantage Fund -DIRECT - IDCW;26.26;25-Aug-2023</v>
      </c>
      <c r="B7789" s="1"/>
    </row>
    <row r="7790">
      <c r="A7790" s="1" t="str">
        <f>IFERROR(__xludf.DUMMYFUNCTION("""COMPUTED_VALUE"""),"131665;INF084M01AC6;INF084M01AD4;Aditya Birla Sun Life Balanced Advantage Fund -REGULAR - IDCW;23.59;25-Aug-2023")</f>
        <v>131665;INF084M01AC6;INF084M01AD4;Aditya Birla Sun Life Balanced Advantage Fund -REGULAR - IDCW;23.59;25-Aug-2023</v>
      </c>
      <c r="B7790" s="1"/>
    </row>
    <row r="7791">
      <c r="A7791" s="1"/>
      <c r="B7791" s="1"/>
    </row>
    <row r="7792">
      <c r="A7792" s="1" t="str">
        <f>IFERROR(__xludf.DUMMYFUNCTION("""COMPUTED_VALUE"""),"Axis Mutual Fund")</f>
        <v>Axis Mutual Fund</v>
      </c>
      <c r="B7792" s="1"/>
    </row>
    <row r="7793">
      <c r="A7793" s="1"/>
      <c r="B7793" s="1"/>
    </row>
    <row r="7794">
      <c r="A7794" s="1" t="str">
        <f>IFERROR(__xludf.DUMMYFUNCTION("""COMPUTED_VALUE"""),"141642;INF846K01A29;-;Axis Balanced Advantage Fund - Direct Plan - Growth;16.92;25-Aug-2023")</f>
        <v>141642;INF846K01A29;-;Axis Balanced Advantage Fund - Direct Plan - Growth;16.92;25-Aug-2023</v>
      </c>
      <c r="B7794" s="1"/>
    </row>
    <row r="7795">
      <c r="A7795" s="1" t="str">
        <f>IFERROR(__xludf.DUMMYFUNCTION("""COMPUTED_VALUE"""),"141643;INF846K01A37;INF846K01A45;Axis Balanced Advantage Fund - Direct Plan - IDCW;12.46;25-Aug-2023")</f>
        <v>141643;INF846K01A37;INF846K01A45;Axis Balanced Advantage Fund - Direct Plan - IDCW;12.46;25-Aug-2023</v>
      </c>
      <c r="B7795" s="1"/>
    </row>
    <row r="7796">
      <c r="A7796" s="1" t="str">
        <f>IFERROR(__xludf.DUMMYFUNCTION("""COMPUTED_VALUE"""),"141644;INF846K01A52;-;Axis Balanced Advantage Fund - Regular Plan - Growth;15.54;25-Aug-2023")</f>
        <v>141644;INF846K01A52;-;Axis Balanced Advantage Fund - Regular Plan - Growth;15.54;25-Aug-2023</v>
      </c>
      <c r="B7796" s="1"/>
    </row>
    <row r="7797">
      <c r="A7797" s="1" t="str">
        <f>IFERROR(__xludf.DUMMYFUNCTION("""COMPUTED_VALUE"""),"141645;INF846K01A60;INF846K01A78;Axis Balanced Advantage Fund - Regular Plan - IDCW;11.80;25-Aug-2023")</f>
        <v>141645;INF846K01A60;INF846K01A78;Axis Balanced Advantage Fund - Regular Plan - IDCW;11.80;25-Aug-2023</v>
      </c>
      <c r="B7797" s="1"/>
    </row>
    <row r="7798">
      <c r="A7798" s="1"/>
      <c r="B7798" s="1"/>
    </row>
    <row r="7799">
      <c r="A7799" s="1" t="str">
        <f>IFERROR(__xludf.DUMMYFUNCTION("""COMPUTED_VALUE"""),"Bandhan Mutual Fund")</f>
        <v>Bandhan Mutual Fund</v>
      </c>
      <c r="B7799" s="1"/>
    </row>
    <row r="7800">
      <c r="A7800" s="1"/>
      <c r="B7800" s="1"/>
    </row>
    <row r="7801">
      <c r="A7801" s="1" t="str">
        <f>IFERROR(__xludf.DUMMYFUNCTION("""COMPUTED_VALUE"""),"131355;INF194KA1UH1;-;BANDHAN Balanced Advantage Fund Direct Plan Growth;21.884;25-Aug-2023")</f>
        <v>131355;INF194KA1UH1;-;BANDHAN Balanced Advantage Fund Direct Plan Growth;21.884;25-Aug-2023</v>
      </c>
      <c r="B7801" s="1"/>
    </row>
    <row r="7802">
      <c r="A7802" s="1" t="str">
        <f>IFERROR(__xludf.DUMMYFUNCTION("""COMPUTED_VALUE"""),"131356;INF194KA1UI9;INF194KA1UJ7;BANDHAN Balanced Advantage Fund Direct Plan IDCW;14.938;25-Aug-2023")</f>
        <v>131356;INF194KA1UI9;INF194KA1UJ7;BANDHAN Balanced Advantage Fund Direct Plan IDCW;14.938;25-Aug-2023</v>
      </c>
      <c r="B7802" s="1"/>
    </row>
    <row r="7803">
      <c r="A7803" s="1" t="str">
        <f>IFERROR(__xludf.DUMMYFUNCTION("""COMPUTED_VALUE"""),"131357;INF194KA1UE8;-;BANDHAN Balanced Advantage Fund Regular Plan Growth;19.394;25-Aug-2023")</f>
        <v>131357;INF194KA1UE8;-;BANDHAN Balanced Advantage Fund Regular Plan Growth;19.394;25-Aug-2023</v>
      </c>
      <c r="B7803" s="1"/>
    </row>
    <row r="7804">
      <c r="A7804" s="1" t="str">
        <f>IFERROR(__xludf.DUMMYFUNCTION("""COMPUTED_VALUE"""),"131354;INF194KA1UF5;INF194KA1UG3;BANDHAN Balanced Advantage Fund Regular Plan IDCW;13.321;25-Aug-2023")</f>
        <v>131354;INF194KA1UF5;INF194KA1UG3;BANDHAN Balanced Advantage Fund Regular Plan IDCW;13.321;25-Aug-2023</v>
      </c>
      <c r="B7804" s="1"/>
    </row>
    <row r="7805">
      <c r="A7805" s="1"/>
      <c r="B7805" s="1"/>
    </row>
    <row r="7806">
      <c r="A7806" s="1" t="str">
        <f>IFERROR(__xludf.DUMMYFUNCTION("""COMPUTED_VALUE"""),"Bank of India Mutual Fund")</f>
        <v>Bank of India Mutual Fund</v>
      </c>
      <c r="B7806" s="1"/>
    </row>
    <row r="7807">
      <c r="A7807" s="1"/>
      <c r="B7807" s="1"/>
    </row>
    <row r="7808">
      <c r="A7808" s="1" t="str">
        <f>IFERROR(__xludf.DUMMYFUNCTION("""COMPUTED_VALUE"""),"127852;INF761K01BM0;INF761K01BN8;BANK OF INDIA BALANCED ADVANTAGE FUND  DIRECT PLAN IDCW;12.8094;25-Aug-2023")</f>
        <v>127852;INF761K01BM0;INF761K01BN8;BANK OF INDIA BALANCED ADVANTAGE FUND  DIRECT PLAN IDCW;12.8094;25-Aug-2023</v>
      </c>
      <c r="B7808" s="1"/>
    </row>
    <row r="7809">
      <c r="A7809" s="1" t="str">
        <f>IFERROR(__xludf.DUMMYFUNCTION("""COMPUTED_VALUE"""),"127851;INF761K01BP3;INF761K01BQ1;BANK OF INDIA BALANCED ADVANTAGE FUND  REGULAR PLAN IDCW;13.9610;25-Aug-2023")</f>
        <v>127851;INF761K01BP3;INF761K01BQ1;BANK OF INDIA BALANCED ADVANTAGE FUND  REGULAR PLAN IDCW;13.9610;25-Aug-2023</v>
      </c>
      <c r="B7809" s="1"/>
    </row>
    <row r="7810">
      <c r="A7810" s="1" t="str">
        <f>IFERROR(__xludf.DUMMYFUNCTION("""COMPUTED_VALUE"""),"127850;INF761K01BO6;-;BANK OF INDIA BALANCED ADVANTAGE FUND DIRECT PLAN  GROWTH;21.1908;25-Aug-2023")</f>
        <v>127850;INF761K01BO6;-;BANK OF INDIA BALANCED ADVANTAGE FUND DIRECT PLAN  GROWTH;21.1908;25-Aug-2023</v>
      </c>
      <c r="B7810" s="1"/>
    </row>
    <row r="7811">
      <c r="A7811" s="1" t="str">
        <f>IFERROR(__xludf.DUMMYFUNCTION("""COMPUTED_VALUE"""),"127849;INF761K01BR9;-;BANK OF INDIA BALANCED ADVANTAGE FUND REGULAR PLAN  GROWTH;20.0103;25-Aug-2023")</f>
        <v>127849;INF761K01BR9;-;BANK OF INDIA BALANCED ADVANTAGE FUND REGULAR PLAN  GROWTH;20.0103;25-Aug-2023</v>
      </c>
      <c r="B7811" s="1"/>
    </row>
    <row r="7812">
      <c r="A7812" s="1"/>
      <c r="B7812" s="1"/>
    </row>
    <row r="7813">
      <c r="A7813" s="1" t="str">
        <f>IFERROR(__xludf.DUMMYFUNCTION("""COMPUTED_VALUE"""),"Baroda BNP Paribas Mutual Fund")</f>
        <v>Baroda BNP Paribas Mutual Fund</v>
      </c>
      <c r="B7813" s="1"/>
    </row>
    <row r="7814">
      <c r="A7814" s="1"/>
      <c r="B7814" s="1"/>
    </row>
    <row r="7815">
      <c r="A7815" s="1" t="str">
        <f>IFERROR(__xludf.DUMMYFUNCTION("""COMPUTED_VALUE"""),"145396;INF955L01HF7;-;Baroda BNP Paribas Balanced Advantage Fund-Direct Plan-Growth Option;19.6935;25-Aug-2023")</f>
        <v>145396;INF955L01HF7;-;Baroda BNP Paribas Balanced Advantage Fund-Direct Plan-Growth Option;19.6935;25-Aug-2023</v>
      </c>
      <c r="B7815" s="1"/>
    </row>
    <row r="7816">
      <c r="A7816" s="1" t="str">
        <f>IFERROR(__xludf.DUMMYFUNCTION("""COMPUTED_VALUE"""),"145397;INF955L01HG5;INF955L01HH3;Baroda BNP Paribas Balanced Advantage Fund-Direct Plan-IDCW Option;15.7496;25-Aug-2023")</f>
        <v>145397;INF955L01HG5;INF955L01HH3;Baroda BNP Paribas Balanced Advantage Fund-Direct Plan-IDCW Option;15.7496;25-Aug-2023</v>
      </c>
      <c r="B7816" s="1"/>
    </row>
    <row r="7817">
      <c r="A7817" s="1" t="str">
        <f>IFERROR(__xludf.DUMMYFUNCTION("""COMPUTED_VALUE"""),"145387;INF955L01HC4;-;Baroda BNP Paribas Balanced Advantage Fund-Regular Plan -Growth Option;18.4265;25-Aug-2023")</f>
        <v>145387;INF955L01HC4;-;Baroda BNP Paribas Balanced Advantage Fund-Regular Plan -Growth Option;18.4265;25-Aug-2023</v>
      </c>
      <c r="B7817" s="1"/>
    </row>
    <row r="7818">
      <c r="A7818" s="1" t="str">
        <f>IFERROR(__xludf.DUMMYFUNCTION("""COMPUTED_VALUE"""),"145389;INF955L01HD2;INF955L01HE0;Baroda BNP Paribas Balanced Advantage Fund-Regular Plan-IDCW Option;14.7052;25-Aug-2023")</f>
        <v>145389;INF955L01HD2;INF955L01HE0;Baroda BNP Paribas Balanced Advantage Fund-Regular Plan-IDCW Option;14.7052;25-Aug-2023</v>
      </c>
      <c r="B7818" s="1"/>
    </row>
    <row r="7819">
      <c r="A7819" s="1"/>
      <c r="B7819" s="1"/>
    </row>
    <row r="7820">
      <c r="A7820" s="1" t="str">
        <f>IFERROR(__xludf.DUMMYFUNCTION("""COMPUTED_VALUE"""),"DSP Mutual Fund")</f>
        <v>DSP Mutual Fund</v>
      </c>
      <c r="B7820" s="1"/>
    </row>
    <row r="7821">
      <c r="A7821" s="1"/>
      <c r="B7821" s="1"/>
    </row>
    <row r="7822">
      <c r="A7822" s="1" t="str">
        <f>IFERROR(__xludf.DUMMYFUNCTION("""COMPUTED_VALUE"""),"126393;INF740K01K81;-;DSP Dynamic Asset Allocation Fund - Direct Plan - Growth;24.237;25-Aug-2023")</f>
        <v>126393;INF740K01K81;-;DSP Dynamic Asset Allocation Fund - Direct Plan - Growth;24.237;25-Aug-2023</v>
      </c>
      <c r="B7822" s="1"/>
    </row>
    <row r="7823">
      <c r="A7823" s="1" t="str">
        <f>IFERROR(__xludf.DUMMYFUNCTION("""COMPUTED_VALUE"""),"126391;INF740K01K99;INF740K01L07;DSP Dynamic Asset Allocation Fund - Direct Plan - IDCW - Monthly;13.901;25-Aug-2023")</f>
        <v>126391;INF740K01K99;INF740K01L07;DSP Dynamic Asset Allocation Fund - Direct Plan - IDCW - Monthly;13.901;25-Aug-2023</v>
      </c>
      <c r="B7823" s="1"/>
    </row>
    <row r="7824">
      <c r="A7824" s="1" t="str">
        <f>IFERROR(__xludf.DUMMYFUNCTION("""COMPUTED_VALUE"""),"126394;INF740K01K57;-;DSP Dynamic Asset Allocation Fund - Regular Plan - Growth;21.642;25-Aug-2023")</f>
        <v>126394;INF740K01K57;-;DSP Dynamic Asset Allocation Fund - Regular Plan - Growth;21.642;25-Aug-2023</v>
      </c>
      <c r="B7824" s="1"/>
    </row>
    <row r="7825">
      <c r="A7825" s="1" t="str">
        <f>IFERROR(__xludf.DUMMYFUNCTION("""COMPUTED_VALUE"""),"126392;INF740K01K65;INF740K01K73;DSP Dynamic Asset Allocation Fund - Regular Plan - IDCW - Monthly;12.226;25-Aug-2023")</f>
        <v>126392;INF740K01K65;INF740K01K73;DSP Dynamic Asset Allocation Fund - Regular Plan - IDCW - Monthly;12.226;25-Aug-2023</v>
      </c>
      <c r="B7825" s="1"/>
    </row>
    <row r="7826">
      <c r="A7826" s="1"/>
      <c r="B7826" s="1"/>
    </row>
    <row r="7827">
      <c r="A7827" s="1" t="str">
        <f>IFERROR(__xludf.DUMMYFUNCTION("""COMPUTED_VALUE"""),"Edelweiss Mutual Fund")</f>
        <v>Edelweiss Mutual Fund</v>
      </c>
      <c r="B7827" s="1"/>
    </row>
    <row r="7828">
      <c r="A7828" s="1"/>
      <c r="B7828" s="1"/>
    </row>
    <row r="7829">
      <c r="A7829" s="1" t="str">
        <f>IFERROR(__xludf.DUMMYFUNCTION("""COMPUTED_VALUE"""),"141767;INF754K01IH0;INF754K01II8;Edelweiss Balanced Advantage Fund - Direct Plan - Monthly - IDCW Option;23.85;25-Aug-2023")</f>
        <v>141767;INF754K01IH0;INF754K01II8;Edelweiss Balanced Advantage Fund - Direct Plan - Monthly - IDCW Option;23.85;25-Aug-2023</v>
      </c>
      <c r="B7829" s="1"/>
    </row>
    <row r="7830">
      <c r="A7830" s="1" t="str">
        <f>IFERROR(__xludf.DUMMYFUNCTION("""COMPUTED_VALUE"""),"118614;INF754K01BP8;INF754K01BQ6;Edelweiss Balanced Advantage Fund - Direct Plan - Quarterly - IDCW Option;23.54;25-Aug-2023")</f>
        <v>118614;INF754K01BP8;INF754K01BQ6;Edelweiss Balanced Advantage Fund - Direct Plan - Quarterly - IDCW Option;23.54;25-Aug-2023</v>
      </c>
      <c r="B7830" s="1"/>
    </row>
    <row r="7831">
      <c r="A7831" s="1" t="str">
        <f>IFERROR(__xludf.DUMMYFUNCTION("""COMPUTED_VALUE"""),"112117;INF754K01285;-;Edelweiss Balanced Advantage Fund - Regular Plan - Growth Option;39.73;25-Aug-2023")</f>
        <v>112117;INF754K01285;-;Edelweiss Balanced Advantage Fund - Regular Plan - Growth Option;39.73;25-Aug-2023</v>
      </c>
      <c r="B7831" s="1"/>
    </row>
    <row r="7832">
      <c r="A7832" s="1" t="str">
        <f>IFERROR(__xludf.DUMMYFUNCTION("""COMPUTED_VALUE"""),"141766;INF754K01IK4;INF754K01IL2;Edelweiss Balanced Advantage Fund - Regular Plan - Monthly - IDCW Option;20.41;25-Aug-2023")</f>
        <v>141766;INF754K01IK4;INF754K01IL2;Edelweiss Balanced Advantage Fund - Regular Plan - Monthly - IDCW Option;20.41;25-Aug-2023</v>
      </c>
      <c r="B7832" s="1"/>
    </row>
    <row r="7833">
      <c r="A7833" s="1" t="str">
        <f>IFERROR(__xludf.DUMMYFUNCTION("""COMPUTED_VALUE"""),"112118;INF754K01251;INF754K01269;Edelweiss Balanced Advantage Fund - Regular Plan - Quarterly - IDCW Option;18.29;25-Aug-2023")</f>
        <v>112118;INF754K01251;INF754K01269;Edelweiss Balanced Advantage Fund - Regular Plan - Quarterly - IDCW Option;18.29;25-Aug-2023</v>
      </c>
      <c r="B7833" s="1"/>
    </row>
    <row r="7834">
      <c r="A7834" s="1" t="str">
        <f>IFERROR(__xludf.DUMMYFUNCTION("""COMPUTED_VALUE"""),"118615;INF754K01BS2;-;Edelweiss Balanced Advantage Fund -Direct Plan-Growth Option;44.17;25-Aug-2023")</f>
        <v>118615;INF754K01BS2;-;Edelweiss Balanced Advantage Fund -Direct Plan-Growth Option;44.17;25-Aug-2023</v>
      </c>
      <c r="B7834" s="1"/>
    </row>
    <row r="7835">
      <c r="A7835" s="1"/>
      <c r="B7835" s="1"/>
    </row>
    <row r="7836">
      <c r="A7836" s="1" t="str">
        <f>IFERROR(__xludf.DUMMYFUNCTION("""COMPUTED_VALUE"""),"Franklin Templeton Mutual Fund")</f>
        <v>Franklin Templeton Mutual Fund</v>
      </c>
      <c r="B7836" s="1"/>
    </row>
    <row r="7837">
      <c r="A7837" s="1"/>
      <c r="B7837" s="1"/>
    </row>
    <row r="7838">
      <c r="A7838" s="1" t="str">
        <f>IFERROR(__xludf.DUMMYFUNCTION("""COMPUTED_VALUE"""),"150480;INF090I01WN2;-;Franklin India Balanced Advantage Fund- Growth;11.0757;25-Aug-2023")</f>
        <v>150480;INF090I01WN2;-;Franklin India Balanced Advantage Fund- Growth;11.0757;25-Aug-2023</v>
      </c>
      <c r="B7838" s="1"/>
    </row>
    <row r="7839">
      <c r="A7839" s="1" t="str">
        <f>IFERROR(__xludf.DUMMYFUNCTION("""COMPUTED_VALUE"""),"150481;INF090I01WQ5;-;Franklin India Balanced Advantage Fund- Growth- Direct;11.2803;25-Aug-2023")</f>
        <v>150481;INF090I01WQ5;-;Franklin India Balanced Advantage Fund- Growth- Direct;11.2803;25-Aug-2023</v>
      </c>
      <c r="B7839" s="1"/>
    </row>
    <row r="7840">
      <c r="A7840" s="1" t="str">
        <f>IFERROR(__xludf.DUMMYFUNCTION("""COMPUTED_VALUE"""),"150478;INF090I01WO0;INF090I01WP7;Franklin India Balanced Advantage Fund- IDCW;11.0757;25-Aug-2023")</f>
        <v>150478;INF090I01WO0;INF090I01WP7;Franklin India Balanced Advantage Fund- IDCW;11.0757;25-Aug-2023</v>
      </c>
      <c r="B7840" s="1"/>
    </row>
    <row r="7841">
      <c r="A7841" s="1" t="str">
        <f>IFERROR(__xludf.DUMMYFUNCTION("""COMPUTED_VALUE"""),"150479;INF090I01WR3;INF090I01WS1;Franklin India Balanced Advantage Fund- IDCW- Direct;11.2803;25-Aug-2023")</f>
        <v>150479;INF090I01WR3;INF090I01WS1;Franklin India Balanced Advantage Fund- IDCW- Direct;11.2803;25-Aug-2023</v>
      </c>
      <c r="B7841" s="1"/>
    </row>
    <row r="7842">
      <c r="A7842" s="1"/>
      <c r="B7842" s="1"/>
    </row>
    <row r="7843">
      <c r="A7843" s="1" t="str">
        <f>IFERROR(__xludf.DUMMYFUNCTION("""COMPUTED_VALUE"""),"HDFC Mutual Fund")</f>
        <v>HDFC Mutual Fund</v>
      </c>
      <c r="B7843" s="1"/>
    </row>
    <row r="7844">
      <c r="A7844" s="1"/>
      <c r="B7844" s="1"/>
    </row>
    <row r="7845">
      <c r="A7845" s="1" t="str">
        <f>IFERROR(__xludf.DUMMYFUNCTION("""COMPUTED_VALUE"""),"100119;INF179K01830;-;HDFC Balanced Advantage Fund - Growth Plan;369.441;25-Aug-2023")</f>
        <v>100119;INF179K01830;-;HDFC Balanced Advantage Fund - Growth Plan;369.441;25-Aug-2023</v>
      </c>
      <c r="B7845" s="1"/>
    </row>
    <row r="7846">
      <c r="A7846" s="1" t="str">
        <f>IFERROR(__xludf.DUMMYFUNCTION("""COMPUTED_VALUE"""),"118968;INF179K01WA6;-;HDFC Balanced Advantage Fund - Growth Plan - Direct Plan;394.707;25-Aug-2023")</f>
        <v>118968;INF179K01WA6;-;HDFC Balanced Advantage Fund - Growth Plan - Direct Plan;394.707;25-Aug-2023</v>
      </c>
      <c r="B7846" s="1"/>
    </row>
    <row r="7847">
      <c r="A7847" s="1" t="str">
        <f>IFERROR(__xludf.DUMMYFUNCTION("""COMPUTED_VALUE"""),"100120;INF179K01814;INF179K01822;HDFC Balanced Advantage Fund - IDCW Plan;32.453;25-Aug-2023")</f>
        <v>100120;INF179K01814;INF179K01822;HDFC Balanced Advantage Fund - IDCW Plan;32.453;25-Aug-2023</v>
      </c>
      <c r="B7847" s="1"/>
    </row>
    <row r="7848">
      <c r="A7848" s="1" t="str">
        <f>IFERROR(__xludf.DUMMYFUNCTION("""COMPUTED_VALUE"""),"118969;INF179K01VY8;INF179K01VZ5;HDFC Balanced Advantage Fund - IDCW Plan - Direct Plan;36.728;25-Aug-2023")</f>
        <v>118969;INF179K01VY8;INF179K01VZ5;HDFC Balanced Advantage Fund - IDCW Plan - Direct Plan;36.728;25-Aug-2023</v>
      </c>
      <c r="B7848" s="1"/>
    </row>
    <row r="7849">
      <c r="A7849" s="1"/>
      <c r="B7849" s="1"/>
    </row>
    <row r="7850">
      <c r="A7850" s="1" t="str">
        <f>IFERROR(__xludf.DUMMYFUNCTION("""COMPUTED_VALUE"""),"HSBC Mutual Fund")</f>
        <v>HSBC Mutual Fund</v>
      </c>
      <c r="B7850" s="1"/>
    </row>
    <row r="7851">
      <c r="A7851" s="1"/>
      <c r="B7851" s="1"/>
    </row>
    <row r="7852">
      <c r="A7852" s="1" t="str">
        <f>IFERROR(__xludf.DUMMYFUNCTION("""COMPUTED_VALUE"""),"151129;INF917K01IN1;-;HSBC Balanced Advantage Fund - Direct Growth;38.768;25-Aug-2023")</f>
        <v>151129;INF917K01IN1;-;HSBC Balanced Advantage Fund - Direct Growth;38.768;25-Aug-2023</v>
      </c>
      <c r="B7852" s="1"/>
    </row>
    <row r="7853">
      <c r="A7853" s="1" t="str">
        <f>IFERROR(__xludf.DUMMYFUNCTION("""COMPUTED_VALUE"""),"151128;INF917K01IM3;INF917K01IL5;HSBC Balanced Advantage Fund - Direct IDCW;20.756;25-Aug-2023")</f>
        <v>151128;INF917K01IM3;INF917K01IL5;HSBC Balanced Advantage Fund - Direct IDCW;20.756;25-Aug-2023</v>
      </c>
      <c r="B7853" s="1"/>
    </row>
    <row r="7854">
      <c r="A7854" s="1" t="str">
        <f>IFERROR(__xludf.DUMMYFUNCTION("""COMPUTED_VALUE"""),"151127;INF917K01KY4;-;HSBC Balanced Advantage Fund - Regular Growth;34.3161;25-Aug-2023")</f>
        <v>151127;INF917K01KY4;-;HSBC Balanced Advantage Fund - Regular Growth;34.3161;25-Aug-2023</v>
      </c>
      <c r="B7854" s="1"/>
    </row>
    <row r="7855">
      <c r="A7855" s="1" t="str">
        <f>IFERROR(__xludf.DUMMYFUNCTION("""COMPUTED_VALUE"""),"151126;INF917K01KW8;INF917K01KX6;HSBC Balanced Advantage Fund - Regular IDCW;17.9914;25-Aug-2023")</f>
        <v>151126;INF917K01KW8;INF917K01KX6;HSBC Balanced Advantage Fund - Regular IDCW;17.9914;25-Aug-2023</v>
      </c>
      <c r="B7855" s="1"/>
    </row>
    <row r="7856">
      <c r="A7856" s="1"/>
      <c r="B7856" s="1"/>
    </row>
    <row r="7857">
      <c r="A7857" s="1" t="str">
        <f>IFERROR(__xludf.DUMMYFUNCTION("""COMPUTED_VALUE"""),"ICICI Prudential Mutual Fund")</f>
        <v>ICICI Prudential Mutual Fund</v>
      </c>
      <c r="B7857" s="1"/>
    </row>
    <row r="7858">
      <c r="A7858" s="1"/>
      <c r="B7858" s="1"/>
    </row>
    <row r="7859">
      <c r="A7859" s="1" t="str">
        <f>IFERROR(__xludf.DUMMYFUNCTION("""COMPUTED_VALUE"""),"120377;INF109K012B0;-;ICICI Prudential Balanced Advantage Fund - Direct Plan -  Growth;62.42;25-Aug-2023")</f>
        <v>120377;INF109K012B0;-;ICICI Prudential Balanced Advantage Fund - Direct Plan -  Growth;62.42;25-Aug-2023</v>
      </c>
      <c r="B7859" s="1"/>
    </row>
    <row r="7860">
      <c r="A7860" s="1" t="str">
        <f>IFERROR(__xludf.DUMMYFUNCTION("""COMPUTED_VALUE"""),"120376;INF109K010B4;INF109K011B2;ICICI Prudential Balanced Advantage Fund - Direct Plan -  IDCW;25.59;25-Aug-2023")</f>
        <v>120376;INF109K010B4;INF109K011B2;ICICI Prudential Balanced Advantage Fund - Direct Plan -  IDCW;25.59;25-Aug-2023</v>
      </c>
      <c r="B7860" s="1"/>
    </row>
    <row r="7861">
      <c r="A7861" s="1" t="str">
        <f>IFERROR(__xludf.DUMMYFUNCTION("""COMPUTED_VALUE"""),"122236;INF109K016W7;INF109K015W9;ICICI Prudential Balanced Advantage Fund - Direct Plan - Monthly IDCW;21.43;25-Aug-2023")</f>
        <v>122236;INF109K016W7;INF109K015W9;ICICI Prudential Balanced Advantage Fund - Direct Plan - Monthly IDCW;21.43;25-Aug-2023</v>
      </c>
      <c r="B7861" s="1"/>
    </row>
    <row r="7862">
      <c r="A7862" s="1" t="str">
        <f>IFERROR(__xludf.DUMMYFUNCTION("""COMPUTED_VALUE"""),"131451;INF109KA1Y50;INF109KA1Y43;ICICI Prudential Balanced Advantage Fund - Direct Plan - Quarterly IDCW;18.08;09-Sep-2022")</f>
        <v>131451;INF109KA1Y50;INF109KA1Y43;ICICI Prudential Balanced Advantage Fund - Direct Plan - Quarterly IDCW;18.08;09-Sep-2022</v>
      </c>
      <c r="B7862" s="1"/>
    </row>
    <row r="7863">
      <c r="A7863" s="1" t="str">
        <f>IFERROR(__xludf.DUMMYFUNCTION("""COMPUTED_VALUE"""),"104685;INF109K01BH2;-;ICICI Prudential Balanced Advantage Fund - Growth;56.60;25-Aug-2023")</f>
        <v>104685;INF109K01BH2;-;ICICI Prudential Balanced Advantage Fund - Growth;56.60;25-Aug-2023</v>
      </c>
      <c r="B7863" s="1"/>
    </row>
    <row r="7864">
      <c r="A7864" s="1" t="str">
        <f>IFERROR(__xludf.DUMMYFUNCTION("""COMPUTED_VALUE"""),"104686;INF109K01EG8;INF109K01BG4;ICICI Prudential Balanced Advantage Fund - IDCW;17.64;25-Aug-2023")</f>
        <v>104686;INF109K01EG8;INF109K01BG4;ICICI Prudential Balanced Advantage Fund - IDCW;17.64;25-Aug-2023</v>
      </c>
      <c r="B7864" s="1"/>
    </row>
    <row r="7865">
      <c r="A7865" s="1" t="str">
        <f>IFERROR(__xludf.DUMMYFUNCTION("""COMPUTED_VALUE"""),"122168;INF109K018W3;INF109K017W5;ICICI Prudential Balanced Advantage Fund - Monthly IDCW;18.38;25-Aug-2023")</f>
        <v>122168;INF109K018W3;INF109K017W5;ICICI Prudential Balanced Advantage Fund - Monthly IDCW;18.38;25-Aug-2023</v>
      </c>
      <c r="B7865" s="1"/>
    </row>
    <row r="7866">
      <c r="A7866" s="1" t="str">
        <f>IFERROR(__xludf.DUMMYFUNCTION("""COMPUTED_VALUE"""),"131450;INF109KA1Y35;INF109KA1Y27;ICICI Prudential Balanced Advantage Fund - Quarterly IDCW;16.38;09-Sep-2022")</f>
        <v>131450;INF109KA1Y35;INF109KA1Y27;ICICI Prudential Balanced Advantage Fund - Quarterly IDCW;16.38;09-Sep-2022</v>
      </c>
      <c r="B7866" s="1"/>
    </row>
    <row r="7867">
      <c r="A7867" s="1"/>
      <c r="B7867" s="1"/>
    </row>
    <row r="7868">
      <c r="A7868" s="1" t="str">
        <f>IFERROR(__xludf.DUMMYFUNCTION("""COMPUTED_VALUE"""),"Invesco Mutual Fund")</f>
        <v>Invesco Mutual Fund</v>
      </c>
      <c r="B7868" s="1"/>
    </row>
    <row r="7869">
      <c r="A7869" s="1"/>
      <c r="B7869" s="1"/>
    </row>
    <row r="7870">
      <c r="A7870" s="1" t="str">
        <f>IFERROR(__xludf.DUMMYFUNCTION("""COMPUTED_VALUE"""),"120333;INF205K01LN5;-;Invesco India Balanced Advantage Fund - Direct Plan - Growth;47.37;25-Aug-2023")</f>
        <v>120333;INF205K01LN5;-;Invesco India Balanced Advantage Fund - Direct Plan - Growth;47.37;25-Aug-2023</v>
      </c>
      <c r="B7870" s="1"/>
    </row>
    <row r="7871">
      <c r="A7871" s="1" t="str">
        <f>IFERROR(__xludf.DUMMYFUNCTION("""COMPUTED_VALUE"""),"120332;INF205K01LL9;INF205K01LM7;Invesco India Balanced Advantage Fund - Direct Plan - IDCW (Payout / Reinvestment);21.04;25-Aug-2023")</f>
        <v>120332;INF205K01LL9;INF205K01LM7;Invesco India Balanced Advantage Fund - Direct Plan - IDCW (Payout / Reinvestment);21.04;25-Aug-2023</v>
      </c>
      <c r="B7871" s="1"/>
    </row>
    <row r="7872">
      <c r="A7872" s="1" t="str">
        <f>IFERROR(__xludf.DUMMYFUNCTION("""COMPUTED_VALUE"""),"106317;INF205K01213;-;Invesco India Balanced Advantage Fund - Growth;40.99;25-Aug-2023")</f>
        <v>106317;INF205K01213;-;Invesco India Balanced Advantage Fund - Growth;40.99;25-Aug-2023</v>
      </c>
      <c r="B7872" s="1"/>
    </row>
    <row r="7873">
      <c r="A7873" s="1" t="str">
        <f>IFERROR(__xludf.DUMMYFUNCTION("""COMPUTED_VALUE"""),"106316;INF205K01239;INF205K01221;Invesco India Balanced Advantage Fund - IDCW (Payout / Reinvestment);18.23;25-Aug-2023")</f>
        <v>106316;INF205K01239;INF205K01221;Invesco India Balanced Advantage Fund - IDCW (Payout / Reinvestment);18.23;25-Aug-2023</v>
      </c>
      <c r="B7873" s="1"/>
    </row>
    <row r="7874">
      <c r="A7874" s="1"/>
      <c r="B7874" s="1"/>
    </row>
    <row r="7875">
      <c r="A7875" s="1" t="str">
        <f>IFERROR(__xludf.DUMMYFUNCTION("""COMPUTED_VALUE"""),"ITI Mutual Fund")</f>
        <v>ITI Mutual Fund</v>
      </c>
      <c r="B7875" s="1"/>
    </row>
    <row r="7876">
      <c r="A7876" s="1"/>
      <c r="B7876" s="1"/>
    </row>
    <row r="7877">
      <c r="A7877" s="1" t="str">
        <f>IFERROR(__xludf.DUMMYFUNCTION("""COMPUTED_VALUE"""),"147789;INF00XX01689;-;ITI Balanced Advantage Fund - Direct Plan - Growth Option;12.1226;25-Aug-2023")</f>
        <v>147789;INF00XX01689;-;ITI Balanced Advantage Fund - Direct Plan - Growth Option;12.1226;25-Aug-2023</v>
      </c>
      <c r="B7877" s="1"/>
    </row>
    <row r="7878">
      <c r="A7878" s="1" t="str">
        <f>IFERROR(__xludf.DUMMYFUNCTION("""COMPUTED_VALUE"""),"147788;INF00XX01697;INF00XX01705;ITI Balanced Advantage Fund - Direct Plan - IDCW Option;12.1226;25-Aug-2023")</f>
        <v>147788;INF00XX01697;INF00XX01705;ITI Balanced Advantage Fund - Direct Plan - IDCW Option;12.1226;25-Aug-2023</v>
      </c>
      <c r="B7878" s="1"/>
    </row>
    <row r="7879">
      <c r="A7879" s="1" t="str">
        <f>IFERROR(__xludf.DUMMYFUNCTION("""COMPUTED_VALUE"""),"147787;INF00XX01655;-;ITI Balanced Advantage Fund - Regular Plan - Growth Option;11.2296;25-Aug-2023")</f>
        <v>147787;INF00XX01655;-;ITI Balanced Advantage Fund - Regular Plan - Growth Option;11.2296;25-Aug-2023</v>
      </c>
      <c r="B7879" s="1"/>
    </row>
    <row r="7880">
      <c r="A7880" s="1" t="str">
        <f>IFERROR(__xludf.DUMMYFUNCTION("""COMPUTED_VALUE"""),"147786;INF00XX01663;INF00XX01671;ITI Balanced Advantage Fund - Regular Plan - IDCW Option;11.2296;25-Aug-2023")</f>
        <v>147786;INF00XX01663;INF00XX01671;ITI Balanced Advantage Fund - Regular Plan - IDCW Option;11.2296;25-Aug-2023</v>
      </c>
      <c r="B7880" s="1"/>
    </row>
    <row r="7881">
      <c r="A7881" s="1"/>
      <c r="B7881" s="1"/>
    </row>
    <row r="7882">
      <c r="A7882" s="1" t="str">
        <f>IFERROR(__xludf.DUMMYFUNCTION("""COMPUTED_VALUE"""),"Kotak Mahindra Mutual Fund")</f>
        <v>Kotak Mahindra Mutual Fund</v>
      </c>
      <c r="B7882" s="1"/>
    </row>
    <row r="7883">
      <c r="A7883" s="1"/>
      <c r="B7883" s="1"/>
    </row>
    <row r="7884">
      <c r="A7884" s="1" t="str">
        <f>IFERROR(__xludf.DUMMYFUNCTION("""COMPUTED_VALUE"""),"144335;INF174KA1210;-;Kotak Balanced Advantage Fund  - Direct Plan -Growth Option;17.17;25-Aug-2023")</f>
        <v>144335;INF174KA1210;-;Kotak Balanced Advantage Fund  - Direct Plan -Growth Option;17.17;25-Aug-2023</v>
      </c>
      <c r="B7884" s="1"/>
    </row>
    <row r="7885">
      <c r="A7885" s="1" t="str">
        <f>IFERROR(__xludf.DUMMYFUNCTION("""COMPUTED_VALUE"""),"144336;INF174KA1160;INF174KA1178;Kotak Balanced Advantage Fund - Regular Plan - Payout of Income Distribution cum capital withdrawal option Option;16.17;25-Aug-2023")</f>
        <v>144336;INF174KA1160;INF174KA1178;Kotak Balanced Advantage Fund - Regular Plan - Payout of Income Distribution cum capital withdrawal option Option;16.17;25-Aug-2023</v>
      </c>
      <c r="B7885" s="1"/>
    </row>
    <row r="7886">
      <c r="A7886" s="1" t="str">
        <f>IFERROR(__xludf.DUMMYFUNCTION("""COMPUTED_VALUE"""),"144334;INF174KA1194;INF174KA1202;Kotak Balanced Advantage Fund -Direct Plan  -Payout of Income Distribution cum capital withdrawal option;17.17;25-Aug-2023")</f>
        <v>144334;INF174KA1194;INF174KA1202;Kotak Balanced Advantage Fund -Direct Plan  -Payout of Income Distribution cum capital withdrawal option;17.17;25-Aug-2023</v>
      </c>
      <c r="B7886" s="1"/>
    </row>
    <row r="7887">
      <c r="A7887" s="1" t="str">
        <f>IFERROR(__xludf.DUMMYFUNCTION("""COMPUTED_VALUE"""),"144333;INF174KA1186;-;Kotak Balanced Advantage Fund -Regular Plan - Growth Option;16.169;25-Aug-2023")</f>
        <v>144333;INF174KA1186;-;Kotak Balanced Advantage Fund -Regular Plan - Growth Option;16.169;25-Aug-2023</v>
      </c>
      <c r="B7887" s="1"/>
    </row>
    <row r="7888">
      <c r="A7888" s="1"/>
      <c r="B7888" s="1"/>
    </row>
    <row r="7889">
      <c r="A7889" s="1" t="str">
        <f>IFERROR(__xludf.DUMMYFUNCTION("""COMPUTED_VALUE"""),"LIC Mutual Fund")</f>
        <v>LIC Mutual Fund</v>
      </c>
      <c r="B7889" s="1"/>
    </row>
    <row r="7890">
      <c r="A7890" s="1"/>
      <c r="B7890" s="1"/>
    </row>
    <row r="7891">
      <c r="A7891" s="1" t="str">
        <f>IFERROR(__xludf.DUMMYFUNCTION("""COMPUTED_VALUE"""),"149261;INF767K01QY0;-;LIC MF Balanced Advantage Fund-Direct Plan-Growth;11.5183;25-Aug-2023")</f>
        <v>149261;INF767K01QY0;-;LIC MF Balanced Advantage Fund-Direct Plan-Growth;11.5183;25-Aug-2023</v>
      </c>
      <c r="B7891" s="1"/>
    </row>
    <row r="7892">
      <c r="A7892" s="1" t="str">
        <f>IFERROR(__xludf.DUMMYFUNCTION("""COMPUTED_VALUE"""),"149260;INF767K01QZ7;INF767K01RA8;LIC MF Balanced Advantage Fund-Direct Plan-IDCW;11.1821;25-Aug-2023")</f>
        <v>149260;INF767K01QZ7;INF767K01RA8;LIC MF Balanced Advantage Fund-Direct Plan-IDCW;11.1821;25-Aug-2023</v>
      </c>
      <c r="B7892" s="1"/>
    </row>
    <row r="7893">
      <c r="A7893" s="1" t="str">
        <f>IFERROR(__xludf.DUMMYFUNCTION("""COMPUTED_VALUE"""),"149259;INF767K01QV6;-;LIC MF Balanced Advantage Fund-Regular Plan-Growth;11.1575;25-Aug-2023")</f>
        <v>149259;INF767K01QV6;-;LIC MF Balanced Advantage Fund-Regular Plan-Growth;11.1575;25-Aug-2023</v>
      </c>
      <c r="B7893" s="1"/>
    </row>
    <row r="7894">
      <c r="A7894" s="1" t="str">
        <f>IFERROR(__xludf.DUMMYFUNCTION("""COMPUTED_VALUE"""),"149258;INF767K01QW4;INF767K01QX2;LIC MF Balanced Advantage Fund-Regular Plan-IDCW;11.0035;25-Aug-2023")</f>
        <v>149258;INF767K01QW4;INF767K01QX2;LIC MF Balanced Advantage Fund-Regular Plan-IDCW;11.0035;25-Aug-2023</v>
      </c>
      <c r="B7894" s="1"/>
    </row>
    <row r="7895">
      <c r="A7895" s="1"/>
      <c r="B7895" s="1"/>
    </row>
    <row r="7896">
      <c r="A7896" s="1" t="str">
        <f>IFERROR(__xludf.DUMMYFUNCTION("""COMPUTED_VALUE"""),"Mahindra Manulife Mutual Fund")</f>
        <v>Mahindra Manulife Mutual Fund</v>
      </c>
      <c r="B7896" s="1"/>
    </row>
    <row r="7897">
      <c r="A7897" s="1"/>
      <c r="B7897" s="1"/>
    </row>
    <row r="7898">
      <c r="A7898" s="1" t="str">
        <f>IFERROR(__xludf.DUMMYFUNCTION("""COMPUTED_VALUE"""),"149406;INF174V01BE0;-;Mahindra Manulife Balanced Advantage Fund - Direct Plan - Growth;11.5065;25-Aug-2023")</f>
        <v>149406;INF174V01BE0;-;Mahindra Manulife Balanced Advantage Fund - Direct Plan - Growth;11.5065;25-Aug-2023</v>
      </c>
      <c r="B7898" s="1"/>
    </row>
    <row r="7899">
      <c r="A7899" s="1" t="str">
        <f>IFERROR(__xludf.DUMMYFUNCTION("""COMPUTED_VALUE"""),"149407;INF174V01BF7;INF174V01BG5;Mahindra Manulife Balanced Advantage Fund - Direct Plan - IDCW;11.5065;25-Aug-2023")</f>
        <v>149407;INF174V01BF7;INF174V01BG5;Mahindra Manulife Balanced Advantage Fund - Direct Plan - IDCW;11.5065;25-Aug-2023</v>
      </c>
      <c r="B7899" s="1"/>
    </row>
    <row r="7900">
      <c r="A7900" s="1" t="str">
        <f>IFERROR(__xludf.DUMMYFUNCTION("""COMPUTED_VALUE"""),"149404;INF174V01BB6;-;Mahindra Manulife Balanced Advantage Fund - Regular Plan - Growth;11.1524;25-Aug-2023")</f>
        <v>149404;INF174V01BB6;-;Mahindra Manulife Balanced Advantage Fund - Regular Plan - Growth;11.1524;25-Aug-2023</v>
      </c>
      <c r="B7900" s="1"/>
    </row>
    <row r="7901">
      <c r="A7901" s="1" t="str">
        <f>IFERROR(__xludf.DUMMYFUNCTION("""COMPUTED_VALUE"""),"149405;INF174V01BC4;INF174V01BD2;Mahindra Manulife Balanced Advantage Fund - Regular Plan - IDCW;11.1524;25-Aug-2023")</f>
        <v>149405;INF174V01BC4;INF174V01BD2;Mahindra Manulife Balanced Advantage Fund - Regular Plan - IDCW;11.1524;25-Aug-2023</v>
      </c>
      <c r="B7901" s="1"/>
    </row>
    <row r="7902">
      <c r="A7902" s="1"/>
      <c r="B7902" s="1"/>
    </row>
    <row r="7903">
      <c r="A7903" s="1" t="str">
        <f>IFERROR(__xludf.DUMMYFUNCTION("""COMPUTED_VALUE"""),"Mirae Asset Mutual Fund")</f>
        <v>Mirae Asset Mutual Fund</v>
      </c>
      <c r="B7903" s="1"/>
    </row>
    <row r="7904">
      <c r="A7904" s="1"/>
      <c r="B7904" s="1"/>
    </row>
    <row r="7905">
      <c r="A7905" s="1" t="str">
        <f>IFERROR(__xludf.DUMMYFUNCTION("""COMPUTED_VALUE"""),"150470;INF769K01IN6;-;Mirae Asset Balanced Advantage Fund Direct Plan- Growth;11.369;25-Aug-2023")</f>
        <v>150470;INF769K01IN6;-;Mirae Asset Balanced Advantage Fund Direct Plan- Growth;11.369;25-Aug-2023</v>
      </c>
      <c r="B7905" s="1"/>
    </row>
    <row r="7906">
      <c r="A7906" s="1" t="str">
        <f>IFERROR(__xludf.DUMMYFUNCTION("""COMPUTED_VALUE"""),"150471;INF769K01IM8;INF769K01IO4;Mirae Asset Balanced Advantage Fund Direct Plan- IDCW;11.366;25-Aug-2023")</f>
        <v>150471;INF769K01IM8;INF769K01IO4;Mirae Asset Balanced Advantage Fund Direct Plan- IDCW;11.366;25-Aug-2023</v>
      </c>
      <c r="B7906" s="1"/>
    </row>
    <row r="7907">
      <c r="A7907" s="1" t="str">
        <f>IFERROR(__xludf.DUMMYFUNCTION("""COMPUTED_VALUE"""),"150474;INF769K01IJ4;INF769K01IL0;Mirae Asset Balanced Advantage Fund Regular Plan IDCW;11.196;25-Aug-2023")</f>
        <v>150474;INF769K01IJ4;INF769K01IL0;Mirae Asset Balanced Advantage Fund Regular Plan IDCW;11.196;25-Aug-2023</v>
      </c>
      <c r="B7907" s="1"/>
    </row>
    <row r="7908">
      <c r="A7908" s="1" t="str">
        <f>IFERROR(__xludf.DUMMYFUNCTION("""COMPUTED_VALUE"""),"150473;INF769K01IK2;-;Mirae Asset Balanced Advantage Fund Regular Plan- Growth;11.198;25-Aug-2023")</f>
        <v>150473;INF769K01IK2;-;Mirae Asset Balanced Advantage Fund Regular Plan- Growth;11.198;25-Aug-2023</v>
      </c>
      <c r="B7908" s="1"/>
    </row>
    <row r="7909">
      <c r="A7909" s="1"/>
      <c r="B7909" s="1"/>
    </row>
    <row r="7910">
      <c r="A7910" s="1" t="str">
        <f>IFERROR(__xludf.DUMMYFUNCTION("""COMPUTED_VALUE"""),"Motilal Oswal Mutual Fund")</f>
        <v>Motilal Oswal Mutual Fund</v>
      </c>
      <c r="B7910" s="1"/>
    </row>
    <row r="7911">
      <c r="A7911" s="1"/>
      <c r="B7911" s="1"/>
    </row>
    <row r="7912">
      <c r="A7912" s="1" t="str">
        <f>IFERROR(__xludf.DUMMYFUNCTION("""COMPUTED_VALUE"""),"139872;INF247L01635;-;Motilal Oswal Balance Advantage Fund  (MOFDYNAMIC) - Direct Plan - Growth Option;19.7068;25-Aug-2023")</f>
        <v>139872;INF247L01635;-;Motilal Oswal Balance Advantage Fund  (MOFDYNAMIC) - Direct Plan - Growth Option;19.7068;25-Aug-2023</v>
      </c>
      <c r="B7912" s="1"/>
    </row>
    <row r="7913">
      <c r="A7913" s="1" t="str">
        <f>IFERROR(__xludf.DUMMYFUNCTION("""COMPUTED_VALUE"""),"139863;INF247L01601;INF247L01627;Motilal Oswal Balance Advantage Fund (MOFDYNAMIC) - Regular Plan - Annual Dividend Payout Option;14.7167;25-Aug-2023")</f>
        <v>139863;INF247L01601;INF247L01627;Motilal Oswal Balance Advantage Fund (MOFDYNAMIC) - Regular Plan - Annual Dividend Payout Option;14.7167;25-Aug-2023</v>
      </c>
      <c r="B7913" s="1"/>
    </row>
    <row r="7914">
      <c r="A7914" s="1" t="str">
        <f>IFERROR(__xludf.DUMMYFUNCTION("""COMPUTED_VALUE"""),"139870;INF247L01585;-;Motilal Oswal Balance Advantage Fund (MOFDYNAMIC) - Regular Plan - Growth Option;18.1689;25-Aug-2023")</f>
        <v>139870;INF247L01585;-;Motilal Oswal Balance Advantage Fund (MOFDYNAMIC) - Regular Plan - Growth Option;18.1689;25-Aug-2023</v>
      </c>
      <c r="B7914" s="1"/>
    </row>
    <row r="7915">
      <c r="A7915" s="1" t="str">
        <f>IFERROR(__xludf.DUMMYFUNCTION("""COMPUTED_VALUE"""),"139866;INF247L01650;INF247L01676;Motilal Oswal Balance Advantage Fund Direct - Annual IDCW Payout/Reinvestment;15.1549;25-Aug-2023")</f>
        <v>139866;INF247L01650;INF247L01676;Motilal Oswal Balance Advantage Fund Direct - Annual IDCW Payout/Reinvestment;15.1549;25-Aug-2023</v>
      </c>
      <c r="B7915" s="1"/>
    </row>
    <row r="7916">
      <c r="A7916" s="1" t="str">
        <f>IFERROR(__xludf.DUMMYFUNCTION("""COMPUTED_VALUE"""),"139865;INF247L01643;INF247L01668;Motilal Oswal Balance Advantage Fund Direct - Quarterly IDCW Payout/Reinvestment;13.1565;25-Aug-2023")</f>
        <v>139865;INF247L01643;INF247L01668;Motilal Oswal Balance Advantage Fund Direct - Quarterly IDCW Payout/Reinvestment;13.1565;25-Aug-2023</v>
      </c>
      <c r="B7916" s="1"/>
    </row>
    <row r="7917">
      <c r="A7917" s="1" t="str">
        <f>IFERROR(__xludf.DUMMYFUNCTION("""COMPUTED_VALUE"""),"139871;INF247L01593;INF247L01619;Motilal Oswal Balance Advantage Fund Regular - Quarterly IDCW Payout/Reinvestment;12.6262;25-Aug-2023")</f>
        <v>139871;INF247L01593;INF247L01619;Motilal Oswal Balance Advantage Fund Regular - Quarterly IDCW Payout/Reinvestment;12.6262;25-Aug-2023</v>
      </c>
      <c r="B7917" s="1"/>
    </row>
    <row r="7918">
      <c r="A7918" s="1"/>
      <c r="B7918" s="1"/>
    </row>
    <row r="7919">
      <c r="A7919" s="1" t="str">
        <f>IFERROR(__xludf.DUMMYFUNCTION("""COMPUTED_VALUE"""),"NJ Mutual Fund")</f>
        <v>NJ Mutual Fund</v>
      </c>
      <c r="B7919" s="1"/>
    </row>
    <row r="7920">
      <c r="A7920" s="1"/>
      <c r="B7920" s="1"/>
    </row>
    <row r="7921">
      <c r="A7921" s="1" t="str">
        <f>IFERROR(__xludf.DUMMYFUNCTION("""COMPUTED_VALUE"""),"149264;INF0J8L01040;-;NJ Balanced Advantage Fund - Direct Plan - Growth Option;11.08;25-Aug-2023")</f>
        <v>149264;INF0J8L01040;-;NJ Balanced Advantage Fund - Direct Plan - Growth Option;11.08;25-Aug-2023</v>
      </c>
      <c r="B7921" s="1"/>
    </row>
    <row r="7922">
      <c r="A7922" s="1" t="str">
        <f>IFERROR(__xludf.DUMMYFUNCTION("""COMPUTED_VALUE"""),"149265;INF0J8L01032;-;NJ Balanced Advantage Fund - Direct Plan - IDCW Payout Option;11.08;25-Aug-2023")</f>
        <v>149265;INF0J8L01032;-;NJ Balanced Advantage Fund - Direct Plan - IDCW Payout Option;11.08;25-Aug-2023</v>
      </c>
      <c r="B7922" s="1"/>
    </row>
    <row r="7923">
      <c r="A7923" s="1" t="str">
        <f>IFERROR(__xludf.DUMMYFUNCTION("""COMPUTED_VALUE"""),"149266;INF0J8L01024;-;NJ Balanced Advantage Fund - Regular Plan - Growth Option;10.82;25-Aug-2023")</f>
        <v>149266;INF0J8L01024;-;NJ Balanced Advantage Fund - Regular Plan - Growth Option;10.82;25-Aug-2023</v>
      </c>
      <c r="B7923" s="1"/>
    </row>
    <row r="7924">
      <c r="A7924" s="1" t="str">
        <f>IFERROR(__xludf.DUMMYFUNCTION("""COMPUTED_VALUE"""),"149263;INF0J8L01016;-;NJ Balanced Advantage Fund - Regular Plan - IDCW Payout Option;10.82;25-Aug-2023")</f>
        <v>149263;INF0J8L01016;-;NJ Balanced Advantage Fund - Regular Plan - IDCW Payout Option;10.82;25-Aug-2023</v>
      </c>
      <c r="B7924" s="1"/>
    </row>
    <row r="7925">
      <c r="A7925" s="1"/>
      <c r="B7925" s="1"/>
    </row>
    <row r="7926">
      <c r="A7926" s="1" t="str">
        <f>IFERROR(__xludf.DUMMYFUNCTION("""COMPUTED_VALUE"""),"PGIM India Mutual Fund")</f>
        <v>PGIM India Mutual Fund</v>
      </c>
      <c r="B7926" s="1"/>
    </row>
    <row r="7927">
      <c r="A7927" s="1"/>
      <c r="B7927" s="1"/>
    </row>
    <row r="7928">
      <c r="A7928" s="1" t="str">
        <f>IFERROR(__xludf.DUMMYFUNCTION("""COMPUTED_VALUE"""),"148658;INF663L01V49;-;PGIM India Balanced Advantage Fund -  Direct Plan - Growth Option;13.12;25-Aug-2023")</f>
        <v>148658;INF663L01V49;-;PGIM India Balanced Advantage Fund -  Direct Plan - Growth Option;13.12;25-Aug-2023</v>
      </c>
      <c r="B7928" s="1"/>
    </row>
    <row r="7929">
      <c r="A7929" s="1" t="str">
        <f>IFERROR(__xludf.DUMMYFUNCTION("""COMPUTED_VALUE"""),"148659;INF663L01V56;INF663L01V64;PGIM India Balanced Advantage Fund - Direct Plan - Dividend Option;11.35;25-Aug-2023")</f>
        <v>148659;INF663L01V56;INF663L01V64;PGIM India Balanced Advantage Fund - Direct Plan - Dividend Option;11.35;25-Aug-2023</v>
      </c>
      <c r="B7929" s="1"/>
    </row>
    <row r="7930">
      <c r="A7930" s="1" t="str">
        <f>IFERROR(__xludf.DUMMYFUNCTION("""COMPUTED_VALUE"""),"148660;INF663L01V80;INF663L01V98;PGIM India Balanced Advantage Fund - Regular Plan - Dividend Option;11.39;25-Aug-2023")</f>
        <v>148660;INF663L01V80;INF663L01V98;PGIM India Balanced Advantage Fund - Regular Plan - Dividend Option;11.39;25-Aug-2023</v>
      </c>
      <c r="B7930" s="1"/>
    </row>
    <row r="7931">
      <c r="A7931" s="1" t="str">
        <f>IFERROR(__xludf.DUMMYFUNCTION("""COMPUTED_VALUE"""),"148657;INF663L01V72;-;PGIM India Balanced Advantage Fund - Regular Plan - Growth Option;12.53;25-Aug-2023")</f>
        <v>148657;INF663L01V72;-;PGIM India Balanced Advantage Fund - Regular Plan - Growth Option;12.53;25-Aug-2023</v>
      </c>
      <c r="B7931" s="1"/>
    </row>
    <row r="7932">
      <c r="A7932" s="1"/>
      <c r="B7932" s="1"/>
    </row>
    <row r="7933">
      <c r="A7933" s="1" t="str">
        <f>IFERROR(__xludf.DUMMYFUNCTION("""COMPUTED_VALUE"""),"quant Mutual Fund")</f>
        <v>quant Mutual Fund</v>
      </c>
      <c r="B7933" s="1"/>
    </row>
    <row r="7934">
      <c r="A7934" s="1"/>
      <c r="B7934" s="1"/>
    </row>
    <row r="7935">
      <c r="A7935" s="1" t="str">
        <f>IFERROR(__xludf.DUMMYFUNCTION("""COMPUTED_VALUE"""),"151713;INF966L01BL5;-;quant Dynamic Asset Allocation Fund - Growth Option - Direct Plan;11.104;25-Aug-2023")</f>
        <v>151713;INF966L01BL5;-;quant Dynamic Asset Allocation Fund - Growth Option - Direct Plan;11.104;25-Aug-2023</v>
      </c>
      <c r="B7935" s="1"/>
    </row>
    <row r="7936">
      <c r="A7936" s="1" t="str">
        <f>IFERROR(__xludf.DUMMYFUNCTION("""COMPUTED_VALUE"""),"151714;INF966L01BO9;-;quant Dynamic Asset Allocation Fund - Growth Option - Regular Plan;11.0314;25-Aug-2023")</f>
        <v>151714;INF966L01BO9;-;quant Dynamic Asset Allocation Fund - Growth Option - Regular Plan;11.0314;25-Aug-2023</v>
      </c>
      <c r="B7936" s="1"/>
    </row>
    <row r="7937">
      <c r="A7937" s="1" t="str">
        <f>IFERROR(__xludf.DUMMYFUNCTION("""COMPUTED_VALUE"""),"151712;INF966L01BM3;INF966L01BN1;quant Dynamic Asset Allocation Fund - IDCW Option - Direct Plan;11.1001;25-Aug-2023")</f>
        <v>151712;INF966L01BM3;INF966L01BN1;quant Dynamic Asset Allocation Fund - IDCW Option - Direct Plan;11.1001;25-Aug-2023</v>
      </c>
      <c r="B7937" s="1"/>
    </row>
    <row r="7938">
      <c r="A7938" s="1" t="str">
        <f>IFERROR(__xludf.DUMMYFUNCTION("""COMPUTED_VALUE"""),"151715;INF966L01BP6;INF966L01BQ4;quant Dynamic Asset Allocation Fund - IDCW Option - Regular Plan;11.0319;25-Aug-2023")</f>
        <v>151715;INF966L01BP6;INF966L01BQ4;quant Dynamic Asset Allocation Fund - IDCW Option - Regular Plan;11.0319;25-Aug-2023</v>
      </c>
      <c r="B7938" s="1"/>
    </row>
    <row r="7939">
      <c r="A7939" s="1"/>
      <c r="B7939" s="1"/>
    </row>
    <row r="7940">
      <c r="A7940" s="1" t="str">
        <f>IFERROR(__xludf.DUMMYFUNCTION("""COMPUTED_VALUE"""),"SBI Mutual Fund")</f>
        <v>SBI Mutual Fund</v>
      </c>
      <c r="B7940" s="1"/>
    </row>
    <row r="7941">
      <c r="A7941" s="1"/>
      <c r="B7941" s="1"/>
    </row>
    <row r="7942">
      <c r="A7942" s="1" t="str">
        <f>IFERROR(__xludf.DUMMYFUNCTION("""COMPUTED_VALUE"""),"149134;INF200KA1Y73;-;SBI Balanced Advantage Fund - Direct Plan - Growth;12.2025;25-Aug-2023")</f>
        <v>149134;INF200KA1Y73;-;SBI Balanced Advantage Fund - Direct Plan - Growth;12.2025;25-Aug-2023</v>
      </c>
      <c r="B7942" s="1"/>
    </row>
    <row r="7943">
      <c r="A7943" s="1" t="str">
        <f>IFERROR(__xludf.DUMMYFUNCTION("""COMPUTED_VALUE"""),"149135;INF200KA1Y81;INF200KA1Y99;SBI Balanced Advantage Fund - Direct Plan - Income Distribution cum Capital Withdrawal Option (IDCW);12.2032;25-Aug-2023")</f>
        <v>149135;INF200KA1Y81;INF200KA1Y99;SBI Balanced Advantage Fund - Direct Plan - Income Distribution cum Capital Withdrawal Option (IDCW);12.2032;25-Aug-2023</v>
      </c>
      <c r="B7943" s="1"/>
    </row>
    <row r="7944">
      <c r="A7944" s="1" t="str">
        <f>IFERROR(__xludf.DUMMYFUNCTION("""COMPUTED_VALUE"""),"149132;INF200KA1Y40;-;SBI Balanced Advantage Fund - Regular Plan - Growth;11.9442;25-Aug-2023")</f>
        <v>149132;INF200KA1Y40;-;SBI Balanced Advantage Fund - Regular Plan - Growth;11.9442;25-Aug-2023</v>
      </c>
      <c r="B7944" s="1"/>
    </row>
    <row r="7945">
      <c r="A7945" s="1" t="str">
        <f>IFERROR(__xludf.DUMMYFUNCTION("""COMPUTED_VALUE"""),"149133;INF200KA1Y57;INF200KA1Y65;SBI Balanced Advantage Fund - Regular Plan - Income Distribution cum Capital Withdrawal Option (IDCW);11.9443;25-Aug-2023")</f>
        <v>149133;INF200KA1Y57;INF200KA1Y65;SBI Balanced Advantage Fund - Regular Plan - Income Distribution cum Capital Withdrawal Option (IDCW);11.9443;25-Aug-2023</v>
      </c>
      <c r="B7945" s="1"/>
    </row>
    <row r="7946">
      <c r="A7946" s="1" t="str">
        <f>IFERROR(__xludf.DUMMYFUNCTION("""COMPUTED_VALUE"""),"134110;INF200KA1671;-;SBI Dynamic Asset Allocation Fund - Direct Plan - Growth;16.8439;02-Jul-2021")</f>
        <v>134110;INF200KA1671;-;SBI Dynamic Asset Allocation Fund - Direct Plan - Growth;16.8439;02-Jul-2021</v>
      </c>
      <c r="B7946" s="1"/>
    </row>
    <row r="7947">
      <c r="A7947" s="1" t="str">
        <f>IFERROR(__xludf.DUMMYFUNCTION("""COMPUTED_VALUE"""),"134109;INF200KA1648;-;SBI Dynamic Asset Allocation Fund - Regular Plan - Growth;15.9463;02-Jul-2021")</f>
        <v>134109;INF200KA1648;-;SBI Dynamic Asset Allocation Fund - Regular Plan - Growth;15.9463;02-Jul-2021</v>
      </c>
      <c r="B7947" s="1"/>
    </row>
    <row r="7948">
      <c r="A7948" s="1" t="str">
        <f>IFERROR(__xludf.DUMMYFUNCTION("""COMPUTED_VALUE"""),"134111;INF200KA1689;INF200KA1697;SBI Dynamic Asset Allocation Fund- Direct Plan - Income Distribution cum Capital Withdrawal Option (IDCW);16.8235;02-Jul-2021")</f>
        <v>134111;INF200KA1689;INF200KA1697;SBI Dynamic Asset Allocation Fund- Direct Plan - Income Distribution cum Capital Withdrawal Option (IDCW);16.8235;02-Jul-2021</v>
      </c>
      <c r="B7948" s="1"/>
    </row>
    <row r="7949">
      <c r="A7949" s="1" t="str">
        <f>IFERROR(__xludf.DUMMYFUNCTION("""COMPUTED_VALUE"""),"134108;INF200KA1655;INF200KA1663;SBI Dynamic Asset Allocation Fund- Regular Plan - Income Distribution cum Capital Withdrawal Option (IDCW);15.9495;02-Jul-2021")</f>
        <v>134108;INF200KA1655;INF200KA1663;SBI Dynamic Asset Allocation Fund- Regular Plan - Income Distribution cum Capital Withdrawal Option (IDCW);15.9495;02-Jul-2021</v>
      </c>
      <c r="B7949" s="1"/>
    </row>
    <row r="7950">
      <c r="A7950" s="1"/>
      <c r="B7950" s="1"/>
    </row>
    <row r="7951">
      <c r="A7951" s="1" t="str">
        <f>IFERROR(__xludf.DUMMYFUNCTION("""COMPUTED_VALUE"""),"Shriram Mutual Fund")</f>
        <v>Shriram Mutual Fund</v>
      </c>
      <c r="B7951" s="1"/>
    </row>
    <row r="7952">
      <c r="A7952" s="1"/>
      <c r="B7952" s="1"/>
    </row>
    <row r="7953">
      <c r="A7953" s="1" t="str">
        <f>IFERROR(__xludf.DUMMYFUNCTION("""COMPUTED_VALUE"""),"147406;INF680P01208;-;Shriram Balanced Advantage Fund - Direct Growth;15.1045;25-Aug-2023")</f>
        <v>147406;INF680P01208;-;Shriram Balanced Advantage Fund - Direct Growth;15.1045;25-Aug-2023</v>
      </c>
      <c r="B7953" s="1"/>
    </row>
    <row r="7954">
      <c r="A7954" s="1" t="str">
        <f>IFERROR(__xludf.DUMMYFUNCTION("""COMPUTED_VALUE"""),"147403;INF680P01216;INF680P01224;Shriram Balanced Advantage Fund - Direct- IDCW;15.0400;25-Aug-2023")</f>
        <v>147403;INF680P01216;INF680P01224;Shriram Balanced Advantage Fund - Direct- IDCW;15.0400;25-Aug-2023</v>
      </c>
      <c r="B7954" s="1"/>
    </row>
    <row r="7955">
      <c r="A7955" s="1" t="str">
        <f>IFERROR(__xludf.DUMMYFUNCTION("""COMPUTED_VALUE"""),"147405;INF680P01174;-;Shriram Balanced Advantage Fund - Regular Growth;13.9621;25-Aug-2023")</f>
        <v>147405;INF680P01174;-;Shriram Balanced Advantage Fund - Regular Growth;13.9621;25-Aug-2023</v>
      </c>
      <c r="B7955" s="1"/>
    </row>
    <row r="7956">
      <c r="A7956" s="1" t="str">
        <f>IFERROR(__xludf.DUMMYFUNCTION("""COMPUTED_VALUE"""),"147404;INF680P01182;INF680P01190;Shriram Balanced Advantage Fund - Regular-IDCW;13.9633;25-Aug-2023")</f>
        <v>147404;INF680P01182;INF680P01190;Shriram Balanced Advantage Fund - Regular-IDCW;13.9633;25-Aug-2023</v>
      </c>
      <c r="B7956" s="1"/>
    </row>
    <row r="7957">
      <c r="A7957" s="1"/>
      <c r="B7957" s="1"/>
    </row>
    <row r="7958">
      <c r="A7958" s="1" t="str">
        <f>IFERROR(__xludf.DUMMYFUNCTION("""COMPUTED_VALUE"""),"Sundaram Mutual Fund")</f>
        <v>Sundaram Mutual Fund</v>
      </c>
      <c r="B7958" s="1"/>
    </row>
    <row r="7959">
      <c r="A7959" s="1"/>
      <c r="B7959" s="1"/>
    </row>
    <row r="7960">
      <c r="A7960" s="1" t="str">
        <f>IFERROR(__xludf.DUMMYFUNCTION("""COMPUTED_VALUE"""),"149717;INF173K01FI7;-;Sundaram Balanced Advantage Fund ( Formerly Known as Principal Balanced Advantage Fund) - Direct Plan - Growth Option;31.9950;25-Aug-2023")</f>
        <v>149717;INF173K01FI7;-;Sundaram Balanced Advantage Fund ( Formerly Known as Principal Balanced Advantage Fund) - Direct Plan - Growth Option;31.9950;25-Aug-2023</v>
      </c>
      <c r="B7960" s="1"/>
    </row>
    <row r="7961">
      <c r="A7961" s="1" t="str">
        <f>IFERROR(__xludf.DUMMYFUNCTION("""COMPUTED_VALUE"""),"149718;INF173K01FF3;INF173K01FG1;Sundaram Balanced Advantage Fund (Formerly Known as Principal Balanced Advantage Fund) - Direct Plan - Monthly Income Distribution CUM Capital Withdrawal Option;17.0239;25-Aug-2023")</f>
        <v>149718;INF173K01FF3;INF173K01FG1;Sundaram Balanced Advantage Fund (Formerly Known as Principal Balanced Advantage Fund) - Direct Plan - Monthly Income Distribution CUM Capital Withdrawal Option;17.0239;25-Aug-2023</v>
      </c>
      <c r="B7961" s="1"/>
    </row>
    <row r="7962">
      <c r="A7962" s="1" t="str">
        <f>IFERROR(__xludf.DUMMYFUNCTION("""COMPUTED_VALUE"""),"149715;INF173K01585;-;Sundaram Balanced Advantage Fund (Formerly Known as Principal Balanced Advantage Fund) - Growth Option;28.0304;25-Aug-2023")</f>
        <v>149715;INF173K01585;-;Sundaram Balanced Advantage Fund (Formerly Known as Principal Balanced Advantage Fund) - Growth Option;28.0304;25-Aug-2023</v>
      </c>
      <c r="B7962" s="1"/>
    </row>
    <row r="7963">
      <c r="A7963" s="1" t="str">
        <f>IFERROR(__xludf.DUMMYFUNCTION("""COMPUTED_VALUE"""),"149716;INF173K01551;INF173K01569;Sundaram Balanced Advantage Fund (Formerly Known as Principal Balanced Advantage Fund) - Monthly Income Distribution CUM Capital Withdrawal Option;14.3195;25-Aug-2023")</f>
        <v>149716;INF173K01551;INF173K01569;Sundaram Balanced Advantage Fund (Formerly Known as Principal Balanced Advantage Fund) - Monthly Income Distribution CUM Capital Withdrawal Option;14.3195;25-Aug-2023</v>
      </c>
      <c r="B7963" s="1"/>
    </row>
    <row r="7964">
      <c r="A7964" s="1"/>
      <c r="B7964" s="1"/>
    </row>
    <row r="7965">
      <c r="A7965" s="1" t="str">
        <f>IFERROR(__xludf.DUMMYFUNCTION("""COMPUTED_VALUE"""),"Tata Mutual Fund")</f>
        <v>Tata Mutual Fund</v>
      </c>
      <c r="B7965" s="1"/>
    </row>
    <row r="7966">
      <c r="A7966" s="1"/>
      <c r="B7966" s="1"/>
    </row>
    <row r="7967">
      <c r="A7967" s="1" t="str">
        <f>IFERROR(__xludf.DUMMYFUNCTION("""COMPUTED_VALUE"""),"146006;INF277K014S6;-;TATA Balanced Advantage Fund Direct Plan - Payout of Income Distribution cum capital withdrawal option ;17.8923;25-Aug-2023")</f>
        <v>146006;INF277K014S6;-;TATA Balanced Advantage Fund Direct Plan - Payout of Income Distribution cum capital withdrawal option ;17.8923;25-Aug-2023</v>
      </c>
      <c r="B7967" s="1"/>
    </row>
    <row r="7968">
      <c r="A7968" s="1" t="str">
        <f>IFERROR(__xludf.DUMMYFUNCTION("""COMPUTED_VALUE"""),"146008;-;INF277K015S3;TATA Balanced Advantage Fund Direct Plan - Reinvestment of Income Distribution cum capital withdrawal option ;17.8923;25-Aug-2023")</f>
        <v>146008;-;INF277K015S3;TATA Balanced Advantage Fund Direct Plan - Reinvestment of Income Distribution cum capital withdrawal option ;17.8923;25-Aug-2023</v>
      </c>
      <c r="B7968" s="1"/>
    </row>
    <row r="7969">
      <c r="A7969" s="1" t="str">
        <f>IFERROR(__xludf.DUMMYFUNCTION("""COMPUTED_VALUE"""),"146005;INF277K011S2;-;TATA Balanced Advantage Fund Regular Plan - Payout of Income Distribution cum capital withdrawal option ;16.5699;25-Aug-2023")</f>
        <v>146005;INF277K011S2;-;TATA Balanced Advantage Fund Regular Plan - Payout of Income Distribution cum capital withdrawal option ;16.5699;25-Aug-2023</v>
      </c>
      <c r="B7969" s="1"/>
    </row>
    <row r="7970">
      <c r="A7970" s="1" t="str">
        <f>IFERROR(__xludf.DUMMYFUNCTION("""COMPUTED_VALUE"""),"146009;-;INF277K012S0;TATA Balanced Advantage Fund Regular Plan - Reinvestment of Income Distribution cum capital withdrawal option;16.5699;25-Aug-2023")</f>
        <v>146009;-;INF277K012S0;TATA Balanced Advantage Fund Regular Plan - Reinvestment of Income Distribution cum capital withdrawal option;16.5699;25-Aug-2023</v>
      </c>
      <c r="B7970" s="1"/>
    </row>
    <row r="7971">
      <c r="A7971" s="1" t="str">
        <f>IFERROR(__xludf.DUMMYFUNCTION("""COMPUTED_VALUE"""),"146010;INF277K013S8;-;Tata Balanced Advantage Fund-Direct Plan-Growth;17.8923;25-Aug-2023")</f>
        <v>146010;INF277K013S8;-;Tata Balanced Advantage Fund-Direct Plan-Growth;17.8923;25-Aug-2023</v>
      </c>
      <c r="B7971" s="1"/>
    </row>
    <row r="7972">
      <c r="A7972" s="1" t="str">
        <f>IFERROR(__xludf.DUMMYFUNCTION("""COMPUTED_VALUE"""),"146007;INF277K010S4;-;Tata Balanced Advantage Fund-Regular Plan-Growth;16.5699;25-Aug-2023")</f>
        <v>146007;INF277K010S4;-;Tata Balanced Advantage Fund-Regular Plan-Growth;16.5699;25-Aug-2023</v>
      </c>
      <c r="B7972" s="1"/>
    </row>
    <row r="7973">
      <c r="A7973" s="1"/>
      <c r="B7973" s="1"/>
    </row>
    <row r="7974">
      <c r="A7974" s="1" t="str">
        <f>IFERROR(__xludf.DUMMYFUNCTION("""COMPUTED_VALUE"""),"Union Mutual Fund")</f>
        <v>Union Mutual Fund</v>
      </c>
      <c r="B7974" s="1"/>
    </row>
    <row r="7975">
      <c r="A7975" s="1"/>
      <c r="B7975" s="1"/>
    </row>
    <row r="7976">
      <c r="A7976" s="1" t="str">
        <f>IFERROR(__xludf.DUMMYFUNCTION("""COMPUTED_VALUE"""),"142038;INF582M01DE9;-;Union Balanced Advantage Fund - Direct Plan - Growth Option;17.23;25-Aug-2023")</f>
        <v>142038;INF582M01DE9;-;Union Balanced Advantage Fund - Direct Plan - Growth Option;17.23;25-Aug-2023</v>
      </c>
      <c r="B7976" s="1"/>
    </row>
    <row r="7977">
      <c r="A7977" s="1" t="str">
        <f>IFERROR(__xludf.DUMMYFUNCTION("""COMPUTED_VALUE"""),"142037;INF582M01DG4;INF582M01DF6;Union Balanced Advantage Fund - Direct Plan - IDCW Option;17.23;25-Aug-2023")</f>
        <v>142037;INF582M01DG4;INF582M01DF6;Union Balanced Advantage Fund - Direct Plan - IDCW Option;17.23;25-Aug-2023</v>
      </c>
      <c r="B7977" s="1"/>
    </row>
    <row r="7978">
      <c r="A7978" s="1" t="str">
        <f>IFERROR(__xludf.DUMMYFUNCTION("""COMPUTED_VALUE"""),"142035;INF582M01DI0;-;Union Balanced Advantage Fund - Regular Plan - Growth Option;16.34;25-Aug-2023")</f>
        <v>142035;INF582M01DI0;-;Union Balanced Advantage Fund - Regular Plan - Growth Option;16.34;25-Aug-2023</v>
      </c>
      <c r="B7978" s="1"/>
    </row>
    <row r="7979">
      <c r="A7979" s="1" t="str">
        <f>IFERROR(__xludf.DUMMYFUNCTION("""COMPUTED_VALUE"""),"142036;INF582M01DK6;INF582M01DJ8;Union Balanced Advantage Fund - Regular Plan - IDCW Option;16.34;25-Aug-2023")</f>
        <v>142036;INF582M01DK6;INF582M01DJ8;Union Balanced Advantage Fund - Regular Plan - IDCW Option;16.34;25-Aug-2023</v>
      </c>
      <c r="B7979" s="1"/>
    </row>
    <row r="7980">
      <c r="A7980" s="1"/>
      <c r="B7980" s="1"/>
    </row>
    <row r="7981">
      <c r="A7981" s="1" t="str">
        <f>IFERROR(__xludf.DUMMYFUNCTION("""COMPUTED_VALUE"""),"UTI Mutual Fund")</f>
        <v>UTI Mutual Fund</v>
      </c>
      <c r="B7981" s="1"/>
    </row>
    <row r="7982">
      <c r="A7982" s="1"/>
      <c r="B7982" s="1"/>
    </row>
    <row r="7983">
      <c r="A7983" s="1" t="str">
        <f>IFERROR(__xludf.DUMMYFUNCTION("""COMPUTED_VALUE"""),"100646;-;-;UTI - Unit Linked Insurance Plan;34.3712;25-Aug-2023")</f>
        <v>100646;-;-;UTI - Unit Linked Insurance Plan;34.3712;25-Aug-2023</v>
      </c>
      <c r="B7983" s="1"/>
    </row>
    <row r="7984">
      <c r="A7984" s="1" t="str">
        <f>IFERROR(__xludf.DUMMYFUNCTION("""COMPUTED_VALUE"""),"120784;-;-;UTI - Unit Linked Insurance Plan- Direct;36.6934;25-Aug-2023")</f>
        <v>120784;-;-;UTI - Unit Linked Insurance Plan- Direct;36.6934;25-Aug-2023</v>
      </c>
      <c r="B7984" s="1"/>
    </row>
    <row r="7985">
      <c r="A7985" s="1" t="str">
        <f>IFERROR(__xludf.DUMMYFUNCTION("""COMPUTED_VALUE"""),"151885;INF789F1AYV3;-;UTI Balanced Advantage Fund - Direct Plan - Growth Option;9.9669;25-Aug-2023")</f>
        <v>151885;INF789F1AYV3;-;UTI Balanced Advantage Fund - Direct Plan - Growth Option;9.9669;25-Aug-2023</v>
      </c>
      <c r="B7985" s="1"/>
    </row>
    <row r="7986">
      <c r="A7986" s="1" t="str">
        <f>IFERROR(__xludf.DUMMYFUNCTION("""COMPUTED_VALUE"""),"151883;INF789F1AYW1;-;UTI Balanced Advantage Fund - Direct Plan - Payout of IDCW Option;9.9669;25-Aug-2023")</f>
        <v>151883;INF789F1AYW1;-;UTI Balanced Advantage Fund - Direct Plan - Payout of IDCW Option;9.9669;25-Aug-2023</v>
      </c>
      <c r="B7986" s="1"/>
    </row>
    <row r="7987">
      <c r="A7987" s="1" t="str">
        <f>IFERROR(__xludf.DUMMYFUNCTION("""COMPUTED_VALUE"""),"151882;INF789F1AYT7;-;UTI Balanced Advantage Fund - Regular Plan - Growth Option;9.9606;25-Aug-2023")</f>
        <v>151882;INF789F1AYT7;-;UTI Balanced Advantage Fund - Regular Plan - Growth Option;9.9606;25-Aug-2023</v>
      </c>
      <c r="B7987" s="1"/>
    </row>
    <row r="7988">
      <c r="A7988" s="1" t="str">
        <f>IFERROR(__xludf.DUMMYFUNCTION("""COMPUTED_VALUE"""),"151884;INF789F1AYU5;-;UTI Balanced Advantage Fund - Regular Plan - Payout of IDCW Option;9.9607;25-Aug-2023")</f>
        <v>151884;INF789F1AYU5;-;UTI Balanced Advantage Fund - Regular Plan - Payout of IDCW Option;9.9607;25-Aug-2023</v>
      </c>
      <c r="B7988" s="1"/>
    </row>
    <row r="7989">
      <c r="A7989" s="1"/>
      <c r="B7989" s="1"/>
    </row>
    <row r="7990">
      <c r="A7990" s="1" t="str">
        <f>IFERROR(__xludf.DUMMYFUNCTION("""COMPUTED_VALUE"""),"WhiteOak Capital Mutual Fund")</f>
        <v>WhiteOak Capital Mutual Fund</v>
      </c>
      <c r="B7990" s="1"/>
    </row>
    <row r="7991">
      <c r="A7991" s="1"/>
      <c r="B7991" s="1"/>
    </row>
    <row r="7992">
      <c r="A7992" s="1" t="str">
        <f>IFERROR(__xludf.DUMMYFUNCTION("""COMPUTED_VALUE"""),"151267;INF03VN01738;-;WhiteOak Capital Balanced Advantage Fund Direct Plan Growth;10.956;25-Aug-2023")</f>
        <v>151267;INF03VN01738;-;WhiteOak Capital Balanced Advantage Fund Direct Plan Growth;10.956;25-Aug-2023</v>
      </c>
      <c r="B7992" s="1"/>
    </row>
    <row r="7993">
      <c r="A7993" s="1" t="str">
        <f>IFERROR(__xludf.DUMMYFUNCTION("""COMPUTED_VALUE"""),"151268;INF03VN01720;-;WhiteOak Capital Balanced Advantage Fund Regular Plan Growth;10.858;25-Aug-2023")</f>
        <v>151268;INF03VN01720;-;WhiteOak Capital Balanced Advantage Fund Regular Plan Growth;10.858;25-Aug-2023</v>
      </c>
      <c r="B7993" s="1"/>
    </row>
    <row r="7994">
      <c r="A7994" s="1"/>
      <c r="B7994" s="1"/>
    </row>
    <row r="7995">
      <c r="A7995" s="1" t="str">
        <f>IFERROR(__xludf.DUMMYFUNCTION("""COMPUTED_VALUE"""),"Open Ended Schemes(Hybrid Scheme - Equity Savings)")</f>
        <v>Open Ended Schemes(Hybrid Scheme - Equity Savings)</v>
      </c>
      <c r="B7995" s="1"/>
    </row>
    <row r="7996">
      <c r="A7996" s="1"/>
      <c r="B7996" s="1"/>
    </row>
    <row r="7997">
      <c r="A7997" s="1" t="str">
        <f>IFERROR(__xludf.DUMMYFUNCTION("""COMPUTED_VALUE"""),"Aditya Birla Sun Life Mutual Fund")</f>
        <v>Aditya Birla Sun Life Mutual Fund</v>
      </c>
      <c r="B7997" s="1"/>
    </row>
    <row r="7998">
      <c r="A7998" s="1"/>
      <c r="B7998" s="1"/>
    </row>
    <row r="7999">
      <c r="A7999" s="1" t="str">
        <f>IFERROR(__xludf.DUMMYFUNCTION("""COMPUTED_VALUE"""),"132996;INF209KA1TQ7;INF209KA1TR5;Aditya Birla Sun Life Equity Savings Fund - Direct - IDCW;15.11;25-Aug-2023")</f>
        <v>132996;INF209KA1TQ7;INF209KA1TR5;Aditya Birla Sun Life Equity Savings Fund - Direct - IDCW;15.11;25-Aug-2023</v>
      </c>
      <c r="B7999" s="1"/>
    </row>
    <row r="8000">
      <c r="A8000" s="1" t="str">
        <f>IFERROR(__xludf.DUMMYFUNCTION("""COMPUTED_VALUE"""),"132995;INF209KA1TP9;-;Aditya Birla Sun Life Equity Savings Fund - Direct Plan - Growth;20.46;25-Aug-2023")</f>
        <v>132995;INF209KA1TP9;-;Aditya Birla Sun Life Equity Savings Fund - Direct Plan - Growth;20.46;25-Aug-2023</v>
      </c>
      <c r="B8000" s="1"/>
    </row>
    <row r="8001">
      <c r="A8001" s="1" t="str">
        <f>IFERROR(__xludf.DUMMYFUNCTION("""COMPUTED_VALUE"""),"132997;INF209KA1TT1;INF209KA1TU9;Aditya Birla Sun Life Equity Savings Fund - Regular - IDCW;12.97;25-Aug-2023")</f>
        <v>132997;INF209KA1TT1;INF209KA1TU9;Aditya Birla Sun Life Equity Savings Fund - Regular - IDCW;12.97;25-Aug-2023</v>
      </c>
      <c r="B8001" s="1"/>
    </row>
    <row r="8002">
      <c r="A8002" s="1" t="str">
        <f>IFERROR(__xludf.DUMMYFUNCTION("""COMPUTED_VALUE"""),"132998;INF209KA1TS3;-;Aditya Birla Sun Life Equity Savings Fund - Regular Plan - Growth;18.66;25-Aug-2023")</f>
        <v>132998;INF209KA1TS3;-;Aditya Birla Sun Life Equity Savings Fund - Regular Plan - Growth;18.66;25-Aug-2023</v>
      </c>
      <c r="B8002" s="1"/>
    </row>
    <row r="8003">
      <c r="A8003" s="1"/>
      <c r="B8003" s="1"/>
    </row>
    <row r="8004">
      <c r="A8004" s="1" t="str">
        <f>IFERROR(__xludf.DUMMYFUNCTION("""COMPUTED_VALUE"""),"Axis Mutual Fund")</f>
        <v>Axis Mutual Fund</v>
      </c>
      <c r="B8004" s="1"/>
    </row>
    <row r="8005">
      <c r="A8005" s="1"/>
      <c r="B8005" s="1"/>
    </row>
    <row r="8006">
      <c r="A8006" s="1" t="str">
        <f>IFERROR(__xludf.DUMMYFUNCTION("""COMPUTED_VALUE"""),"135120;INF846K01VJ3;-;Axis Equity Saver Fund - Direct Plan - Growth;19.94;25-Aug-2023")</f>
        <v>135120;INF846K01VJ3;-;Axis Equity Saver Fund - Direct Plan - Growth;19.94;25-Aug-2023</v>
      </c>
      <c r="B8006" s="1"/>
    </row>
    <row r="8007">
      <c r="A8007" s="1" t="str">
        <f>IFERROR(__xludf.DUMMYFUNCTION("""COMPUTED_VALUE"""),"135121;INF846K01VK1;INF846K01VL9;Axis Equity Saver Fund - Direct Plan - Monthly IDCW;12.83;25-Aug-2023")</f>
        <v>135121;INF846K01VK1;INF846K01VL9;Axis Equity Saver Fund - Direct Plan - Monthly IDCW;12.83;25-Aug-2023</v>
      </c>
      <c r="B8007" s="1"/>
    </row>
    <row r="8008">
      <c r="A8008" s="1" t="str">
        <f>IFERROR(__xludf.DUMMYFUNCTION("""COMPUTED_VALUE"""),"135124;INF846K01VM7;INF846K01VN5;Axis Equity Saver Fund - Direct Plan - Quarterly IDCW;13.13;25-Aug-2023")</f>
        <v>135124;INF846K01VM7;INF846K01VN5;Axis Equity Saver Fund - Direct Plan - Quarterly IDCW;13.13;25-Aug-2023</v>
      </c>
      <c r="B8008" s="1"/>
    </row>
    <row r="8009">
      <c r="A8009" s="1" t="str">
        <f>IFERROR(__xludf.DUMMYFUNCTION("""COMPUTED_VALUE"""),"139520;INF846K01XP6;INF846K01XQ4;Axis Equity Saver Fund - Direct Plan - Regular IDCW;13.05;25-Aug-2023")</f>
        <v>139520;INF846K01XP6;INF846K01XQ4;Axis Equity Saver Fund - Direct Plan - Regular IDCW;13.05;25-Aug-2023</v>
      </c>
      <c r="B8009" s="1"/>
    </row>
    <row r="8010">
      <c r="A8010" s="1" t="str">
        <f>IFERROR(__xludf.DUMMYFUNCTION("""COMPUTED_VALUE"""),"135122;INF846K01VO3;-;Axis Equity Saver Fund - Regular Plan - Growth;18.04;25-Aug-2023")</f>
        <v>135122;INF846K01VO3;-;Axis Equity Saver Fund - Regular Plan - Growth;18.04;25-Aug-2023</v>
      </c>
      <c r="B8010" s="1"/>
    </row>
    <row r="8011">
      <c r="A8011" s="1" t="str">
        <f>IFERROR(__xludf.DUMMYFUNCTION("""COMPUTED_VALUE"""),"135123;INF846K01VP0;INF846K01VQ8;Axis Equity Saver Fund - Regular Plan - Monthly IDCW;11.37;25-Aug-2023")</f>
        <v>135123;INF846K01VP0;INF846K01VQ8;Axis Equity Saver Fund - Regular Plan - Monthly IDCW;11.37;25-Aug-2023</v>
      </c>
      <c r="B8011" s="1"/>
    </row>
    <row r="8012">
      <c r="A8012" s="1" t="str">
        <f>IFERROR(__xludf.DUMMYFUNCTION("""COMPUTED_VALUE"""),"135125;INF846K01VR6;INF846K01VS4;Axis Equity Saver Fund - Regular Plan - Quarterly IDCW;11.61;25-Aug-2023")</f>
        <v>135125;INF846K01VR6;INF846K01VS4;Axis Equity Saver Fund - Regular Plan - Quarterly IDCW;11.61;25-Aug-2023</v>
      </c>
      <c r="B8012" s="1"/>
    </row>
    <row r="8013">
      <c r="A8013" s="1" t="str">
        <f>IFERROR(__xludf.DUMMYFUNCTION("""COMPUTED_VALUE"""),"139521;INF846K01XR2;INF846K01XS0;Axis Equity Saver Fund - Regular Plan - Regular IDCW;12.40;25-Aug-2023")</f>
        <v>139521;INF846K01XR2;INF846K01XS0;Axis Equity Saver Fund - Regular Plan - Regular IDCW;12.40;25-Aug-2023</v>
      </c>
      <c r="B8013" s="1"/>
    </row>
    <row r="8014">
      <c r="A8014" s="1"/>
      <c r="B8014" s="1"/>
    </row>
    <row r="8015">
      <c r="A8015" s="1" t="str">
        <f>IFERROR(__xludf.DUMMYFUNCTION("""COMPUTED_VALUE"""),"Bandhan Mutual Fund")</f>
        <v>Bandhan Mutual Fund</v>
      </c>
      <c r="B8015" s="1"/>
    </row>
    <row r="8016">
      <c r="A8016" s="1"/>
      <c r="B8016" s="1"/>
    </row>
    <row r="8017">
      <c r="A8017" s="1" t="str">
        <f>IFERROR(__xludf.DUMMYFUNCTION("""COMPUTED_VALUE"""),"108995;INF194K01581;-;BANDHAN Equity Savings Fund - Regular Plan - Growth;26.924;25-Aug-2023")</f>
        <v>108995;INF194K01581;-;BANDHAN Equity Savings Fund - Regular Plan - Growth;26.924;25-Aug-2023</v>
      </c>
      <c r="B8017" s="1"/>
    </row>
    <row r="8018">
      <c r="A8018" s="1" t="str">
        <f>IFERROR(__xludf.DUMMYFUNCTION("""COMPUTED_VALUE"""),"108992;INF194K01599;INF194K01607;BANDHAN Equity Savings Fund - Regular Plan - Monthly IDCW;14.357;25-Aug-2023")</f>
        <v>108992;INF194K01599;INF194K01607;BANDHAN Equity Savings Fund - Regular Plan - Monthly IDCW;14.357;25-Aug-2023</v>
      </c>
      <c r="B8018" s="1"/>
    </row>
    <row r="8019">
      <c r="A8019" s="1" t="str">
        <f>IFERROR(__xludf.DUMMYFUNCTION("""COMPUTED_VALUE"""),"133682;INF194KA1XX2;INF194KA1XY0;BANDHAN Equity Savings Fund - Regular Plan -Annual IDCW;12.562;25-Aug-2023")</f>
        <v>133682;INF194KA1XX2;INF194KA1XY0;BANDHAN Equity Savings Fund - Regular Plan -Annual IDCW;12.562;25-Aug-2023</v>
      </c>
      <c r="B8019" s="1"/>
    </row>
    <row r="8020">
      <c r="A8020" s="1" t="str">
        <f>IFERROR(__xludf.DUMMYFUNCTION("""COMPUTED_VALUE"""),"108993;INF194K01565;INF194K01573;BANDHAN Equity Savings Fund -B-DIVIDEND;12.36084532;17-Feb-2017")</f>
        <v>108993;INF194K01565;INF194K01573;BANDHAN Equity Savings Fund -B-DIVIDEND;12.36084532;17-Feb-2017</v>
      </c>
      <c r="B8020" s="1"/>
    </row>
    <row r="8021">
      <c r="A8021" s="1" t="str">
        <f>IFERROR(__xludf.DUMMYFUNCTION("""COMPUTED_VALUE"""),"108994;INF194K01557;-;BANDHAN Equity Savings Fund -B-GROWTH;16.0114;08-Jan-2015")</f>
        <v>108994;INF194K01557;-;BANDHAN Equity Savings Fund -B-GROWTH;16.0114;08-Jan-2015</v>
      </c>
      <c r="B8021" s="1"/>
    </row>
    <row r="8022">
      <c r="A8022" s="1" t="str">
        <f>IFERROR(__xludf.DUMMYFUNCTION("""COMPUTED_VALUE"""),"143259;INF194KA16J0;INF194KA17J8;BANDHAN Equity Savings Fund- Regular Plan -Quarterly IDCW;12.507;25-Aug-2023")</f>
        <v>143259;INF194KA16J0;INF194KA17J8;BANDHAN Equity Savings Fund- Regular Plan -Quarterly IDCW;12.507;25-Aug-2023</v>
      </c>
      <c r="B8022" s="1"/>
    </row>
    <row r="8023">
      <c r="A8023" s="1" t="str">
        <f>IFERROR(__xludf.DUMMYFUNCTION("""COMPUTED_VALUE"""),"143258;INF194KA19J4;INF194KA10K1;BANDHAN Equity Savings Fund-Direct Plan -Quarterly IDCW;12.846;25-Aug-2023")</f>
        <v>143258;INF194KA19J4;INF194KA10K1;BANDHAN Equity Savings Fund-Direct Plan -Quarterly IDCW;12.846;25-Aug-2023</v>
      </c>
      <c r="B8023" s="1"/>
    </row>
    <row r="8024">
      <c r="A8024" s="1" t="str">
        <f>IFERROR(__xludf.DUMMYFUNCTION("""COMPUTED_VALUE"""),"133681;INF194KA1YA8;INF194KA1YB6;BANDHAN Equity Savings Fund-Direct Plan-Annual IDCW;13.615;25-Aug-2023")</f>
        <v>133681;INF194KA1YA8;INF194KA1YB6;BANDHAN Equity Savings Fund-Direct Plan-Annual IDCW;13.615;25-Aug-2023</v>
      </c>
      <c r="B8024" s="1"/>
    </row>
    <row r="8025">
      <c r="A8025" s="1" t="str">
        <f>IFERROR(__xludf.DUMMYFUNCTION("""COMPUTED_VALUE"""),"118477;INF194K01Z02;-;BANDHAN Equity Savings Fund-Direct Plan-Growth;29.354;25-Aug-2023")</f>
        <v>118477;INF194K01Z02;-;BANDHAN Equity Savings Fund-Direct Plan-Growth;29.354;25-Aug-2023</v>
      </c>
      <c r="B8025" s="1"/>
    </row>
    <row r="8026">
      <c r="A8026" s="1" t="str">
        <f>IFERROR(__xludf.DUMMYFUNCTION("""COMPUTED_VALUE"""),"118476;INF194K01Z10;INF194K01Z28;BANDHAN Equity Savings Fund-Direct Plan-Monthly IDCW;15.599;25-Aug-2023")</f>
        <v>118476;INF194K01Z10;INF194K01Z28;BANDHAN Equity Savings Fund-Direct Plan-Monthly IDCW;15.599;25-Aug-2023</v>
      </c>
      <c r="B8026" s="1"/>
    </row>
    <row r="8027">
      <c r="A8027" s="1"/>
      <c r="B8027" s="1"/>
    </row>
    <row r="8028">
      <c r="A8028" s="1" t="str">
        <f>IFERROR(__xludf.DUMMYFUNCTION("""COMPUTED_VALUE"""),"Baroda BNP Paribas Mutual Fund")</f>
        <v>Baroda BNP Paribas Mutual Fund</v>
      </c>
      <c r="B8028" s="1"/>
    </row>
    <row r="8029">
      <c r="A8029" s="1"/>
      <c r="B8029" s="1"/>
    </row>
    <row r="8030">
      <c r="A8030" s="1" t="str">
        <f>IFERROR(__xludf.DUMMYFUNCTION("""COMPUTED_VALUE"""),"147496;INF955L01IL3;-;Baroda BNP Paribas Equity Savings Fund - Direct Plan - Growth;14.1071;25-Aug-2023")</f>
        <v>147496;INF955L01IL3;-;Baroda BNP Paribas Equity Savings Fund - Direct Plan - Growth;14.1071;25-Aug-2023</v>
      </c>
      <c r="B8030" s="1"/>
    </row>
    <row r="8031">
      <c r="A8031" s="1" t="str">
        <f>IFERROR(__xludf.DUMMYFUNCTION("""COMPUTED_VALUE"""),"147498;-;INF955L01IN9;Baroda BNP Paribas Equity Savings Fund - Direct Plan - IDCW;12.3233;25-Aug-2023")</f>
        <v>147498;-;INF955L01IN9;Baroda BNP Paribas Equity Savings Fund - Direct Plan - IDCW;12.3233;25-Aug-2023</v>
      </c>
      <c r="B8031" s="1"/>
    </row>
    <row r="8032">
      <c r="A8032" s="1" t="str">
        <f>IFERROR(__xludf.DUMMYFUNCTION("""COMPUTED_VALUE"""),"147494;INF955L01II9;-;Baroda BNP Paribas Equity Savings Fund - Regular Plan - Growth;13.5008;25-Aug-2023")</f>
        <v>147494;INF955L01II9;-;Baroda BNP Paribas Equity Savings Fund - Regular Plan - Growth;13.5008;25-Aug-2023</v>
      </c>
      <c r="B8032" s="1"/>
    </row>
    <row r="8033">
      <c r="A8033" s="1" t="str">
        <f>IFERROR(__xludf.DUMMYFUNCTION("""COMPUTED_VALUE"""),"147495;-;INF955L01IK5;Baroda BNP Paribas Equity Savings Fund - Regular Plan - IDCW;11.7879;25-Aug-2023")</f>
        <v>147495;-;INF955L01IK5;Baroda BNP Paribas Equity Savings Fund - Regular Plan - IDCW;11.7879;25-Aug-2023</v>
      </c>
      <c r="B8033" s="1"/>
    </row>
    <row r="8034">
      <c r="A8034" s="1"/>
      <c r="B8034" s="1"/>
    </row>
    <row r="8035">
      <c r="A8035" s="1" t="str">
        <f>IFERROR(__xludf.DUMMYFUNCTION("""COMPUTED_VALUE"""),"DSP Mutual Fund")</f>
        <v>DSP Mutual Fund</v>
      </c>
      <c r="B8035" s="1"/>
    </row>
    <row r="8036">
      <c r="A8036" s="1"/>
      <c r="B8036" s="1"/>
    </row>
    <row r="8037">
      <c r="A8037" s="1" t="str">
        <f>IFERROR(__xludf.DUMMYFUNCTION("""COMPUTED_VALUE"""),"136567;INF740KA1504;-;DSP Equity Savings Fund - Direct Plan - Growth;19.575;25-Aug-2023")</f>
        <v>136567;INF740KA1504;-;DSP Equity Savings Fund - Direct Plan - Growth;19.575;25-Aug-2023</v>
      </c>
      <c r="B8037" s="1"/>
    </row>
    <row r="8038">
      <c r="A8038" s="1" t="str">
        <f>IFERROR(__xludf.DUMMYFUNCTION("""COMPUTED_VALUE"""),"136568;INF740KA1512;INF740KA1520;DSP Equity Savings Fund - Direct Plan - IDCW;12.749;25-Aug-2023")</f>
        <v>136568;INF740KA1512;INF740KA1520;DSP Equity Savings Fund - Direct Plan - IDCW;12.749;25-Aug-2023</v>
      </c>
      <c r="B8038" s="1"/>
    </row>
    <row r="8039">
      <c r="A8039" s="1" t="str">
        <f>IFERROR(__xludf.DUMMYFUNCTION("""COMPUTED_VALUE"""),"136569;INF740KA1538;INF740KA1546;DSP Equity Savings Fund - Direct Plan - IDCW - Monthly;15.486;25-Aug-2023")</f>
        <v>136569;INF740KA1538;INF740KA1546;DSP Equity Savings Fund - Direct Plan - IDCW - Monthly;15.486;25-Aug-2023</v>
      </c>
      <c r="B8039" s="1"/>
    </row>
    <row r="8040">
      <c r="A8040" s="1" t="str">
        <f>IFERROR(__xludf.DUMMYFUNCTION("""COMPUTED_VALUE"""),"136570;INF740KA1553;INF740KA1561;DSP Equity Savings Fund - Direct Plan - IDCW - Quarterly;15.422;25-Aug-2023")</f>
        <v>136570;INF740KA1553;INF740KA1561;DSP Equity Savings Fund - Direct Plan - IDCW - Quarterly;15.422;25-Aug-2023</v>
      </c>
      <c r="B8040" s="1"/>
    </row>
    <row r="8041">
      <c r="A8041" s="1" t="str">
        <f>IFERROR(__xludf.DUMMYFUNCTION("""COMPUTED_VALUE"""),"136563;INF740KA1439;-;DSP Equity Savings Fund - Regular Plan - Growth;17.748;25-Aug-2023")</f>
        <v>136563;INF740KA1439;-;DSP Equity Savings Fund - Regular Plan - Growth;17.748;25-Aug-2023</v>
      </c>
      <c r="B8041" s="1"/>
    </row>
    <row r="8042">
      <c r="A8042" s="1" t="str">
        <f>IFERROR(__xludf.DUMMYFUNCTION("""COMPUTED_VALUE"""),"136564;INF740KA1447;INF740KA1454;DSP Equity Savings Fund - Regular Plan - IDCW;11.730;25-Aug-2023")</f>
        <v>136564;INF740KA1447;INF740KA1454;DSP Equity Savings Fund - Regular Plan - IDCW;11.730;25-Aug-2023</v>
      </c>
      <c r="B8042" s="1"/>
    </row>
    <row r="8043">
      <c r="A8043" s="1" t="str">
        <f>IFERROR(__xludf.DUMMYFUNCTION("""COMPUTED_VALUE"""),"136565;INF740KA1462;INF740KA1470;DSP Equity Savings Fund - Regular Plan - IDCW - Monthly;12.851;25-Aug-2023")</f>
        <v>136565;INF740KA1462;INF740KA1470;DSP Equity Savings Fund - Regular Plan - IDCW - Monthly;12.851;25-Aug-2023</v>
      </c>
      <c r="B8043" s="1"/>
    </row>
    <row r="8044">
      <c r="A8044" s="1" t="str">
        <f>IFERROR(__xludf.DUMMYFUNCTION("""COMPUTED_VALUE"""),"136566;INF740KA1488;INF740KA1496;DSP Equity Savings Fund - Regular Plan - IDCW - Quarterly;12.855;25-Aug-2023")</f>
        <v>136566;INF740KA1488;INF740KA1496;DSP Equity Savings Fund - Regular Plan - IDCW - Quarterly;12.855;25-Aug-2023</v>
      </c>
      <c r="B8044" s="1"/>
    </row>
    <row r="8045">
      <c r="A8045" s="1"/>
      <c r="B8045" s="1"/>
    </row>
    <row r="8046">
      <c r="A8046" s="1" t="str">
        <f>IFERROR(__xludf.DUMMYFUNCTION("""COMPUTED_VALUE"""),"Edelweiss Mutual Fund")</f>
        <v>Edelweiss Mutual Fund</v>
      </c>
      <c r="B8046" s="1"/>
    </row>
    <row r="8047">
      <c r="A8047" s="1"/>
      <c r="B8047" s="1"/>
    </row>
    <row r="8048">
      <c r="A8048" s="1" t="str">
        <f>IFERROR(__xludf.DUMMYFUNCTION("""COMPUTED_VALUE"""),"140350;INF843K01KD6;-;Edelweiss Equity Savings Fund - Direct Plan - Bonus Option;21.8965;25-Aug-2023")</f>
        <v>140350;INF843K01KD6;-;Edelweiss Equity Savings Fund - Direct Plan - Bonus Option;21.8965;25-Aug-2023</v>
      </c>
      <c r="B8048" s="1"/>
    </row>
    <row r="8049">
      <c r="A8049" s="1" t="str">
        <f>IFERROR(__xludf.DUMMYFUNCTION("""COMPUTED_VALUE"""),"140347;INF843K01KC8;-;Edelweiss Equity Savings Fund - Direct Plan - Growth Option;21.888;25-Aug-2023")</f>
        <v>140347;INF843K01KC8;-;Edelweiss Equity Savings Fund - Direct Plan - Growth Option;21.888;25-Aug-2023</v>
      </c>
      <c r="B8049" s="1"/>
    </row>
    <row r="8050">
      <c r="A8050" s="1" t="str">
        <f>IFERROR(__xludf.DUMMYFUNCTION("""COMPUTED_VALUE"""),"140348;INF843K01KE4;INF843K01KF1;Edelweiss Equity Savings Fund - Direct Plan - IDCW Option;15.9106;25-Aug-2023")</f>
        <v>140348;INF843K01KE4;INF843K01KF1;Edelweiss Equity Savings Fund - Direct Plan - IDCW Option;15.9106;25-Aug-2023</v>
      </c>
      <c r="B8050" s="1"/>
    </row>
    <row r="8051">
      <c r="A8051" s="1" t="str">
        <f>IFERROR(__xludf.DUMMYFUNCTION("""COMPUTED_VALUE"""),"141933;INF754K01IN8;INF754K01IO6;Edelweiss Equity Savings Fund - Direct Plan - Monthly - IDCW Option;14.4945;25-Aug-2023")</f>
        <v>141933;INF754K01IN8;INF754K01IO6;Edelweiss Equity Savings Fund - Direct Plan - Monthly - IDCW Option;14.4945;25-Aug-2023</v>
      </c>
      <c r="B8051" s="1"/>
    </row>
    <row r="8052">
      <c r="A8052" s="1" t="str">
        <f>IFERROR(__xludf.DUMMYFUNCTION("""COMPUTED_VALUE"""),"140352;INF843K01KH7;-;Edelweiss Equity Savings Fund - Regular Plan - Bonus Option;20.2164;25-Aug-2023")</f>
        <v>140352;INF843K01KH7;-;Edelweiss Equity Savings Fund - Regular Plan - Bonus Option;20.2164;25-Aug-2023</v>
      </c>
      <c r="B8052" s="1"/>
    </row>
    <row r="8053">
      <c r="A8053" s="1" t="str">
        <f>IFERROR(__xludf.DUMMYFUNCTION("""COMPUTED_VALUE"""),"140351;INF843K01KG9;-;Edelweiss Equity Savings Fund - Regular Plan - Growth Option;20.2043;25-Aug-2023")</f>
        <v>140351;INF843K01KG9;-;Edelweiss Equity Savings Fund - Regular Plan - Growth Option;20.2043;25-Aug-2023</v>
      </c>
      <c r="B8053" s="1"/>
    </row>
    <row r="8054">
      <c r="A8054" s="1" t="str">
        <f>IFERROR(__xludf.DUMMYFUNCTION("""COMPUTED_VALUE"""),"140349;INF843K01KI5;INF843K01KJ3;Edelweiss Equity Savings Fund - Regular Plan - IDCW Option;13.9638;25-Aug-2023")</f>
        <v>140349;INF843K01KI5;INF843K01KJ3;Edelweiss Equity Savings Fund - Regular Plan - IDCW Option;13.9638;25-Aug-2023</v>
      </c>
      <c r="B8054" s="1"/>
    </row>
    <row r="8055">
      <c r="A8055" s="1" t="str">
        <f>IFERROR(__xludf.DUMMYFUNCTION("""COMPUTED_VALUE"""),"141934;INF754K01IP3;INF754K01IQ1;Edelweiss Equity Savings Fund - Regular Plan - Monthly - IDCW Option;13.2208;25-Aug-2023")</f>
        <v>141934;INF754K01IP3;INF754K01IQ1;Edelweiss Equity Savings Fund - Regular Plan - Monthly - IDCW Option;13.2208;25-Aug-2023</v>
      </c>
      <c r="B8055" s="1"/>
    </row>
    <row r="8056">
      <c r="A8056" s="1"/>
      <c r="B8056" s="1"/>
    </row>
    <row r="8057">
      <c r="A8057" s="1" t="str">
        <f>IFERROR(__xludf.DUMMYFUNCTION("""COMPUTED_VALUE"""),"Franklin Templeton Mutual Fund")</f>
        <v>Franklin Templeton Mutual Fund</v>
      </c>
      <c r="B8057" s="1"/>
    </row>
    <row r="8058">
      <c r="A8058" s="1"/>
      <c r="B8058" s="1"/>
    </row>
    <row r="8059">
      <c r="A8059" s="1" t="str">
        <f>IFERROR(__xludf.DUMMYFUNCTION("""COMPUTED_VALUE"""),"144462;INF090I01PC9;INF090I01PB1;Franklin India Equity Savings Fund - Direct - IDCW ;13.0676;25-Aug-2023")</f>
        <v>144462;INF090I01PC9;INF090I01PB1;Franklin India Equity Savings Fund - Direct - IDCW ;13.0676;25-Aug-2023</v>
      </c>
      <c r="B8059" s="1"/>
    </row>
    <row r="8060">
      <c r="A8060" s="1" t="str">
        <f>IFERROR(__xludf.DUMMYFUNCTION("""COMPUTED_VALUE"""),"144465;INF090I01PH8;INF090I01PG0;Franklin India Equity Savings Fund - Direct - Monthly - IDCW;12.6267;25-Aug-2023")</f>
        <v>144465;INF090I01PH8;INF090I01PG0;Franklin India Equity Savings Fund - Direct - Monthly - IDCW;12.6267;25-Aug-2023</v>
      </c>
      <c r="B8060" s="1"/>
    </row>
    <row r="8061">
      <c r="A8061" s="1" t="str">
        <f>IFERROR(__xludf.DUMMYFUNCTION("""COMPUTED_VALUE"""),"144467;INF090I01PL0;INF090I01PK2;Franklin India Equity Savings Fund - Direct - Quarterly - IDCW;12.3768;25-Aug-2023")</f>
        <v>144467;INF090I01PL0;INF090I01PK2;Franklin India Equity Savings Fund - Direct - Quarterly - IDCW;12.3768;25-Aug-2023</v>
      </c>
      <c r="B8061" s="1"/>
    </row>
    <row r="8062">
      <c r="A8062" s="1" t="str">
        <f>IFERROR(__xludf.DUMMYFUNCTION("""COMPUTED_VALUE"""),"144468;INF090I01OZ3;INF090I01OY6;Franklin India Equity Savings Fund - IDCW ;12.0763;25-Aug-2023")</f>
        <v>144468;INF090I01OZ3;INF090I01OY6;Franklin India Equity Savings Fund - IDCW ;12.0763;25-Aug-2023</v>
      </c>
      <c r="B8062" s="1"/>
    </row>
    <row r="8063">
      <c r="A8063" s="1" t="str">
        <f>IFERROR(__xludf.DUMMYFUNCTION("""COMPUTED_VALUE"""),"144464;INF090I01PF2;INF090I01PE5;Franklin India Equity Savings Fund - Monthly - IDCW;11.9962;25-Aug-2023")</f>
        <v>144464;INF090I01PF2;INF090I01PE5;Franklin India Equity Savings Fund - Monthly - IDCW;11.9962;25-Aug-2023</v>
      </c>
      <c r="B8063" s="1"/>
    </row>
    <row r="8064">
      <c r="A8064" s="1" t="str">
        <f>IFERROR(__xludf.DUMMYFUNCTION("""COMPUTED_VALUE"""),"144463;INF090I01PJ4;INF090I01PI6;Franklin India Equity Savings Fund - Quarterly - IDCW;11.3919;25-Aug-2023")</f>
        <v>144463;INF090I01PJ4;INF090I01PI6;Franklin India Equity Savings Fund - Quarterly - IDCW;11.3919;25-Aug-2023</v>
      </c>
      <c r="B8064" s="1"/>
    </row>
    <row r="8065">
      <c r="A8065" s="1" t="str">
        <f>IFERROR(__xludf.DUMMYFUNCTION("""COMPUTED_VALUE"""),"144461;INF090I01PA3;-;Franklin India Equity Savings Fund- Growth;13.9580;25-Aug-2023")</f>
        <v>144461;INF090I01PA3;-;Franklin India Equity Savings Fund- Growth;13.9580;25-Aug-2023</v>
      </c>
      <c r="B8065" s="1"/>
    </row>
    <row r="8066">
      <c r="A8066" s="1" t="str">
        <f>IFERROR(__xludf.DUMMYFUNCTION("""COMPUTED_VALUE"""),"144466;INF090I01PD7;-;Franklin India Equity Savings Fund- Growth Direct;15.0337;25-Aug-2023")</f>
        <v>144466;INF090I01PD7;-;Franklin India Equity Savings Fund- Growth Direct;15.0337;25-Aug-2023</v>
      </c>
      <c r="B8066" s="1"/>
    </row>
    <row r="8067">
      <c r="A8067" s="1"/>
      <c r="B8067" s="1"/>
    </row>
    <row r="8068">
      <c r="A8068" s="1" t="str">
        <f>IFERROR(__xludf.DUMMYFUNCTION("""COMPUTED_VALUE"""),"HDFC Mutual Fund")</f>
        <v>HDFC Mutual Fund</v>
      </c>
      <c r="B8068" s="1"/>
    </row>
    <row r="8069">
      <c r="A8069" s="1"/>
      <c r="B8069" s="1"/>
    </row>
    <row r="8070">
      <c r="A8070" s="1" t="str">
        <f>IFERROR(__xludf.DUMMYFUNCTION("""COMPUTED_VALUE"""),"119128;INF179K01XT4;-;HDFC Equity Savings Fund - Growth Option - Direct Plan;59.283;25-Aug-2023")</f>
        <v>119128;INF179K01XT4;-;HDFC Equity Savings Fund - Growth Option - Direct Plan;59.283;25-Aug-2023</v>
      </c>
      <c r="B8070" s="1"/>
    </row>
    <row r="8071">
      <c r="A8071" s="1" t="str">
        <f>IFERROR(__xludf.DUMMYFUNCTION("""COMPUTED_VALUE"""),"101585;INF179K01AM7;-;HDFC Equity Savings Fund - GROWTH PLAN;53.911;25-Aug-2023")</f>
        <v>101585;INF179K01AM7;-;HDFC Equity Savings Fund - GROWTH PLAN;53.911;25-Aug-2023</v>
      </c>
      <c r="B8071" s="1"/>
    </row>
    <row r="8072">
      <c r="A8072" s="1" t="str">
        <f>IFERROR(__xludf.DUMMYFUNCTION("""COMPUTED_VALUE"""),"119129;INF179K01XR8;INF179K01XS6;HDFC Equity Savings Fund - IDCW Option - Direct Plan;13.903;25-Aug-2023")</f>
        <v>119129;INF179K01XR8;INF179K01XS6;HDFC Equity Savings Fund - IDCW Option - Direct Plan;13.903;25-Aug-2023</v>
      </c>
      <c r="B8072" s="1"/>
    </row>
    <row r="8073">
      <c r="A8073" s="1" t="str">
        <f>IFERROR(__xludf.DUMMYFUNCTION("""COMPUTED_VALUE"""),"101586;INF179K01AK1;INF179K01AL9;HDFC Equity Savings Fund - IDCW PLAN;12.103;25-Aug-2023")</f>
        <v>101586;INF179K01AK1;INF179K01AL9;HDFC Equity Savings Fund - IDCW PLAN;12.103;25-Aug-2023</v>
      </c>
      <c r="B8073" s="1"/>
    </row>
    <row r="8074">
      <c r="A8074" s="1"/>
      <c r="B8074" s="1"/>
    </row>
    <row r="8075">
      <c r="A8075" s="1" t="str">
        <f>IFERROR(__xludf.DUMMYFUNCTION("""COMPUTED_VALUE"""),"HSBC Mutual Fund")</f>
        <v>HSBC Mutual Fund</v>
      </c>
      <c r="B8075" s="1"/>
    </row>
    <row r="8076">
      <c r="A8076" s="1"/>
      <c r="B8076" s="1"/>
    </row>
    <row r="8077">
      <c r="A8077" s="1" t="str">
        <f>IFERROR(__xludf.DUMMYFUNCTION("""COMPUTED_VALUE"""),"151060;INF917K01GE4;-;HSBC Equity Savings Fund - Direct Growth;28.0125;25-Aug-2023")</f>
        <v>151060;INF917K01GE4;-;HSBC Equity Savings Fund - Direct Growth;28.0125;25-Aug-2023</v>
      </c>
      <c r="B8077" s="1"/>
    </row>
    <row r="8078">
      <c r="A8078" s="1" t="str">
        <f>IFERROR(__xludf.DUMMYFUNCTION("""COMPUTED_VALUE"""),"151061;INF917K01E37;INF917K01GA2;HSBC Equity Savings Fund - Direct Monthly IDCW;15.0484;25-Aug-2023")</f>
        <v>151061;INF917K01E37;INF917K01GA2;HSBC Equity Savings Fund - Direct Monthly IDCW;15.0484;25-Aug-2023</v>
      </c>
      <c r="B8078" s="1"/>
    </row>
    <row r="8079">
      <c r="A8079" s="1" t="str">
        <f>IFERROR(__xludf.DUMMYFUNCTION("""COMPUTED_VALUE"""),"151059;INF917K01GD6;INF917K01GC8;HSBC Equity Savings Fund - Direct Quarterly IDCW;15.6616;25-Aug-2023")</f>
        <v>151059;INF917K01GD6;INF917K01GC8;HSBC Equity Savings Fund - Direct Quarterly IDCW;15.6616;25-Aug-2023</v>
      </c>
      <c r="B8079" s="1"/>
    </row>
    <row r="8080">
      <c r="A8080" s="1" t="str">
        <f>IFERROR(__xludf.DUMMYFUNCTION("""COMPUTED_VALUE"""),"151058;INF917K01AA5;-;HSBC Equity Savings Fund - Regular Growth;25.6805;25-Aug-2023")</f>
        <v>151058;INF917K01AA5;-;HSBC Equity Savings Fund - Regular Growth;25.6805;25-Aug-2023</v>
      </c>
      <c r="B8080" s="1"/>
    </row>
    <row r="8081">
      <c r="A8081" s="1" t="str">
        <f>IFERROR(__xludf.DUMMYFUNCTION("""COMPUTED_VALUE"""),"151056;INF917K01965;INF917K01973;HSBC Equity Savings Fund - Regular Monthly IDCW;13.4819;25-Aug-2023")</f>
        <v>151056;INF917K01965;INF917K01973;HSBC Equity Savings Fund - Regular Monthly IDCW;13.4819;25-Aug-2023</v>
      </c>
      <c r="B8081" s="1"/>
    </row>
    <row r="8082">
      <c r="A8082" s="1" t="str">
        <f>IFERROR(__xludf.DUMMYFUNCTION("""COMPUTED_VALUE"""),"151057;INF917K01981;INF917K01999;HSBC Equity Savings Fund - Regular Quarterly IDCW;14.4279;25-Aug-2023")</f>
        <v>151057;INF917K01981;INF917K01999;HSBC Equity Savings Fund - Regular Quarterly IDCW;14.4279;25-Aug-2023</v>
      </c>
      <c r="B8082" s="1"/>
    </row>
    <row r="8083">
      <c r="A8083" s="1"/>
      <c r="B8083" s="1"/>
    </row>
    <row r="8084">
      <c r="A8084" s="1" t="str">
        <f>IFERROR(__xludf.DUMMYFUNCTION("""COMPUTED_VALUE"""),"ICICI Prudential Mutual Fund")</f>
        <v>ICICI Prudential Mutual Fund</v>
      </c>
      <c r="B8084" s="1"/>
    </row>
    <row r="8085">
      <c r="A8085" s="1"/>
      <c r="B8085" s="1"/>
    </row>
    <row r="8086">
      <c r="A8086" s="1" t="str">
        <f>IFERROR(__xludf.DUMMYFUNCTION("""COMPUTED_VALUE"""),"133051;INF109KA14I5;-;ICICI Prudential Equity Savings Fund - Cumulative option;19.27;25-Aug-2023")</f>
        <v>133051;INF109KA14I5;-;ICICI Prudential Equity Savings Fund - Cumulative option;19.27;25-Aug-2023</v>
      </c>
      <c r="B8086" s="1"/>
    </row>
    <row r="8087">
      <c r="A8087" s="1" t="str">
        <f>IFERROR(__xludf.DUMMYFUNCTION("""COMPUTED_VALUE"""),"133054;INF109KA11J9;-;ICICI Prudential Equity Savings Fund - Direct Plan - Cumulative option;20.51;25-Aug-2023")</f>
        <v>133054;INF109KA11J9;-;ICICI Prudential Equity Savings Fund - Direct Plan - Cumulative option;20.51;25-Aug-2023</v>
      </c>
      <c r="B8087" s="1"/>
    </row>
    <row r="8088">
      <c r="A8088" s="1" t="str">
        <f>IFERROR(__xludf.DUMMYFUNCTION("""COMPUTED_VALUE"""),"133056;INF109KA14J3;INF109KA17J6;ICICI Prudential Equity Savings Fund - Direct Plan - Half Yearly IDCW;15.60;16-Sep-2022")</f>
        <v>133056;INF109KA14J3;INF109KA17J6;ICICI Prudential Equity Savings Fund - Direct Plan - Half Yearly IDCW;15.60;16-Sep-2022</v>
      </c>
      <c r="B8088" s="1"/>
    </row>
    <row r="8089">
      <c r="A8089" s="1" t="str">
        <f>IFERROR(__xludf.DUMMYFUNCTION("""COMPUTED_VALUE"""),"133049;INF109KA12J7;INF109KA15J0;ICICI Prudential Equity Savings Fund - Direct Plan - Monthly IDCW;14.38;16-Sep-2022")</f>
        <v>133049;INF109KA12J7;INF109KA15J0;ICICI Prudential Equity Savings Fund - Direct Plan - Monthly IDCW;14.38;16-Sep-2022</v>
      </c>
      <c r="B8089" s="1"/>
    </row>
    <row r="8090">
      <c r="A8090" s="1" t="str">
        <f>IFERROR(__xludf.DUMMYFUNCTION("""COMPUTED_VALUE"""),"133052;INF109KA13J5;INF109KA16J8;ICICI Prudential Equity Savings Fund - Direct Plan - Quarterly IDCW;14.73;25-Aug-2023")</f>
        <v>133052;INF109KA13J5;INF109KA16J8;ICICI Prudential Equity Savings Fund - Direct Plan - Quarterly IDCW;14.73;25-Aug-2023</v>
      </c>
      <c r="B8090" s="1"/>
    </row>
    <row r="8091">
      <c r="A8091" s="1" t="str">
        <f>IFERROR(__xludf.DUMMYFUNCTION("""COMPUTED_VALUE"""),"133057;INF109KA17I8;INF109KA10J1;ICICI Prudential Equity Savings Fund - Half Yearly IDCW;14.35;16-Sep-2022")</f>
        <v>133057;INF109KA17I8;INF109KA10J1;ICICI Prudential Equity Savings Fund - Half Yearly IDCW;14.35;16-Sep-2022</v>
      </c>
      <c r="B8091" s="1"/>
    </row>
    <row r="8092">
      <c r="A8092" s="1" t="str">
        <f>IFERROR(__xludf.DUMMYFUNCTION("""COMPUTED_VALUE"""),"133050;INF109KA15I2;INF109KA18I6;ICICI Prudential Equity Savings Fund - Monthly IDCW;12.17;16-Sep-2022")</f>
        <v>133050;INF109KA15I2;INF109KA18I6;ICICI Prudential Equity Savings Fund - Monthly IDCW;12.17;16-Sep-2022</v>
      </c>
      <c r="B8092" s="1"/>
    </row>
    <row r="8093">
      <c r="A8093" s="1" t="str">
        <f>IFERROR(__xludf.DUMMYFUNCTION("""COMPUTED_VALUE"""),"133053;INF109KA16I0;INF109KA19I4;ICICI Prudential Equity Savings Fund - Quarterly IDCW;12.75;25-Aug-2023")</f>
        <v>133053;INF109KA16I0;INF109KA19I4;ICICI Prudential Equity Savings Fund - Quarterly IDCW;12.75;25-Aug-2023</v>
      </c>
      <c r="B8093" s="1"/>
    </row>
    <row r="8094">
      <c r="A8094" s="1"/>
      <c r="B8094" s="1"/>
    </row>
    <row r="8095">
      <c r="A8095" s="1" t="str">
        <f>IFERROR(__xludf.DUMMYFUNCTION("""COMPUTED_VALUE"""),"Invesco Mutual Fund")</f>
        <v>Invesco Mutual Fund</v>
      </c>
      <c r="B8095" s="1"/>
    </row>
    <row r="8096">
      <c r="A8096" s="1"/>
      <c r="B8096" s="1"/>
    </row>
    <row r="8097">
      <c r="A8097" s="1" t="str">
        <f>IFERROR(__xludf.DUMMYFUNCTION("""COMPUTED_VALUE"""),"146457;INF205KA1049;-;Invesco India Equity Savings Fund - Direct Plan - Growth;14.5955;25-Aug-2023")</f>
        <v>146457;INF205KA1049;-;Invesco India Equity Savings Fund - Direct Plan - Growth;14.5955;25-Aug-2023</v>
      </c>
      <c r="B8097" s="1"/>
    </row>
    <row r="8098">
      <c r="A8098" s="1" t="str">
        <f>IFERROR(__xludf.DUMMYFUNCTION("""COMPUTED_VALUE"""),"146458;INF205KA1064;INF205KA1031;Invesco India Equity Savings Fund - Direct Plan - IDCW (Payout / Reinvestment);14.5467;25-Aug-2023")</f>
        <v>146458;INF205KA1064;INF205KA1031;Invesco India Equity Savings Fund - Direct Plan - IDCW (Payout / Reinvestment);14.5467;25-Aug-2023</v>
      </c>
      <c r="B8098" s="1"/>
    </row>
    <row r="8099">
      <c r="A8099" s="1" t="str">
        <f>IFERROR(__xludf.DUMMYFUNCTION("""COMPUTED_VALUE"""),"146456;INF205KA1023;-;Invesco India Equity Savings Fund - Regular Plan - Growth;13.5154;25-Aug-2023")</f>
        <v>146456;INF205KA1023;-;Invesco India Equity Savings Fund - Regular Plan - Growth;13.5154;25-Aug-2023</v>
      </c>
      <c r="B8099" s="1"/>
    </row>
    <row r="8100">
      <c r="A8100" s="1" t="str">
        <f>IFERROR(__xludf.DUMMYFUNCTION("""COMPUTED_VALUE"""),"146455;INF205KA1015;INF205KA1056;Invesco India Equity Savings Fund - Regular Plan - IDCW (Payout / Reinvestment);13.5147;25-Aug-2023")</f>
        <v>146455;INF205KA1015;INF205KA1056;Invesco India Equity Savings Fund - Regular Plan - IDCW (Payout / Reinvestment);13.5147;25-Aug-2023</v>
      </c>
      <c r="B8100" s="1"/>
    </row>
    <row r="8101">
      <c r="A8101" s="1"/>
      <c r="B8101" s="1"/>
    </row>
    <row r="8102">
      <c r="A8102" s="1" t="str">
        <f>IFERROR(__xludf.DUMMYFUNCTION("""COMPUTED_VALUE"""),"Kotak Mahindra Mutual Fund")</f>
        <v>Kotak Mahindra Mutual Fund</v>
      </c>
      <c r="B8102" s="1"/>
    </row>
    <row r="8103">
      <c r="A8103" s="1"/>
      <c r="B8103" s="1"/>
    </row>
    <row r="8104">
      <c r="A8104" s="1" t="str">
        <f>IFERROR(__xludf.DUMMYFUNCTION("""COMPUTED_VALUE"""),"131373;INF174K01D28;-;Kotak Equity Savings Fund - Direct - Growth;22.5393;25-Aug-2023")</f>
        <v>131373;INF174K01D28;-;Kotak Equity Savings Fund - Direct - Growth;22.5393;25-Aug-2023</v>
      </c>
      <c r="B8104" s="1"/>
    </row>
    <row r="8105">
      <c r="A8105" s="1" t="str">
        <f>IFERROR(__xludf.DUMMYFUNCTION("""COMPUTED_VALUE"""),"131375;INF174K01D36;INF174K01D51;Kotak Equity Savings Fund - Direct - Monthly Payout of Income Distribution cum capital withdrawal option;16.1809;25-Aug-2023")</f>
        <v>131375;INF174K01D36;INF174K01D51;Kotak Equity Savings Fund - Direct - Monthly Payout of Income Distribution cum capital withdrawal option;16.1809;25-Aug-2023</v>
      </c>
      <c r="B8105" s="1"/>
    </row>
    <row r="8106">
      <c r="A8106" s="1" t="str">
        <f>IFERROR(__xludf.DUMMYFUNCTION("""COMPUTED_VALUE"""),"131372;INF174K01C78;-;Kotak Equity Savings Fund - Regular - Growth;20.9556;25-Aug-2023")</f>
        <v>131372;INF174K01C78;-;Kotak Equity Savings Fund - Regular - Growth;20.9556;25-Aug-2023</v>
      </c>
      <c r="B8106" s="1"/>
    </row>
    <row r="8107">
      <c r="A8107" s="1" t="str">
        <f>IFERROR(__xludf.DUMMYFUNCTION("""COMPUTED_VALUE"""),"131374;INF174K01C86;INF174K01D02;Kotak Equity Savings Fund - Regular - Monthly Payout of Income Distribution cum capital withdrawal option;15.3428;25-Aug-2023")</f>
        <v>131374;INF174K01C86;INF174K01D02;Kotak Equity Savings Fund - Regular - Monthly Payout of Income Distribution cum capital withdrawal option;15.3428;25-Aug-2023</v>
      </c>
      <c r="B8107" s="1"/>
    </row>
    <row r="8108">
      <c r="A8108" s="1"/>
      <c r="B8108" s="1"/>
    </row>
    <row r="8109">
      <c r="A8109" s="1" t="str">
        <f>IFERROR(__xludf.DUMMYFUNCTION("""COMPUTED_VALUE"""),"LIC Mutual Fund")</f>
        <v>LIC Mutual Fund</v>
      </c>
      <c r="B8109" s="1"/>
    </row>
    <row r="8110">
      <c r="A8110" s="1"/>
      <c r="B8110" s="1"/>
    </row>
    <row r="8111">
      <c r="A8111" s="1" t="str">
        <f>IFERROR(__xludf.DUMMYFUNCTION("""COMPUTED_VALUE"""),"151952;INF397L01AZ5;-;LIC MF Equity Savings Fund-Direct Plan-Growth;25.0671;25-Aug-2023")</f>
        <v>151952;INF397L01AZ5;-;LIC MF Equity Savings Fund-Direct Plan-Growth;25.0671;25-Aug-2023</v>
      </c>
      <c r="B8111" s="1"/>
    </row>
    <row r="8112">
      <c r="A8112" s="1" t="str">
        <f>IFERROR(__xludf.DUMMYFUNCTION("""COMPUTED_VALUE"""),"151953;INF397L01BA6;INF397L01BB4;LIC MF Equity Savings Fund-Direct Plan-Monthly Dividend;16.9384;25-Aug-2023")</f>
        <v>151953;INF397L01BA6;INF397L01BB4;LIC MF Equity Savings Fund-Direct Plan-Monthly Dividend;16.9384;25-Aug-2023</v>
      </c>
      <c r="B8112" s="1"/>
    </row>
    <row r="8113">
      <c r="A8113" s="1" t="str">
        <f>IFERROR(__xludf.DUMMYFUNCTION("""COMPUTED_VALUE"""),"151954;INF397L01BD0;INF397L01BE8;LIC MF Equity Savings Fund-Direct Plan-Quarterly Dividend;13.971;25-Aug-2023")</f>
        <v>151954;INF397L01BD0;INF397L01BE8;LIC MF Equity Savings Fund-Direct Plan-Quarterly Dividend;13.971;25-Aug-2023</v>
      </c>
      <c r="B8113" s="1"/>
    </row>
    <row r="8114">
      <c r="A8114" s="1" t="str">
        <f>IFERROR(__xludf.DUMMYFUNCTION("""COMPUTED_VALUE"""),"151950;INF397L01315;-;LIC MF Equity Savings Fund-Regular Plan-Growth;22.6453;25-Aug-2023")</f>
        <v>151950;INF397L01315;-;LIC MF Equity Savings Fund-Regular Plan-Growth;22.6453;25-Aug-2023</v>
      </c>
      <c r="B8114" s="1"/>
    </row>
    <row r="8115">
      <c r="A8115" s="1" t="str">
        <f>IFERROR(__xludf.DUMMYFUNCTION("""COMPUTED_VALUE"""),"151949;INF397L01257;INF397L01265;LIC MF Equity Savings Fund-Regular Plan-Monthly Dividend;17.8416;25-Aug-2023")</f>
        <v>151949;INF397L01257;INF397L01265;LIC MF Equity Savings Fund-Regular Plan-Monthly Dividend;17.8416;25-Aug-2023</v>
      </c>
      <c r="B8115" s="1"/>
    </row>
    <row r="8116">
      <c r="A8116" s="1" t="str">
        <f>IFERROR(__xludf.DUMMYFUNCTION("""COMPUTED_VALUE"""),"151951;INF397L01281;INF397L01299;LIC MF Equity Savings Fund-Regular Plan-Quarterly Dividend;16.8684;25-Aug-2023")</f>
        <v>151951;INF397L01281;INF397L01299;LIC MF Equity Savings Fund-Regular Plan-Quarterly Dividend;16.8684;25-Aug-2023</v>
      </c>
      <c r="B8116" s="1"/>
    </row>
    <row r="8117">
      <c r="A8117" s="1"/>
      <c r="B8117" s="1"/>
    </row>
    <row r="8118">
      <c r="A8118" s="1" t="str">
        <f>IFERROR(__xludf.DUMMYFUNCTION("""COMPUTED_VALUE"""),"Mahindra Manulife Mutual Fund")</f>
        <v>Mahindra Manulife Mutual Fund</v>
      </c>
      <c r="B8118" s="1"/>
    </row>
    <row r="8119">
      <c r="A8119" s="1"/>
      <c r="B8119" s="1"/>
    </row>
    <row r="8120">
      <c r="A8120" s="1" t="str">
        <f>IFERROR(__xludf.DUMMYFUNCTION("""COMPUTED_VALUE"""),"140444;INF174V01184;-;Mahindra Manulife Equity Savings Fund - Direct Plan -Growth;19.2260;25-Aug-2023")</f>
        <v>140444;INF174V01184;-;Mahindra Manulife Equity Savings Fund - Direct Plan -Growth;19.2260;25-Aug-2023</v>
      </c>
      <c r="B8120" s="1"/>
    </row>
    <row r="8121">
      <c r="A8121" s="1" t="str">
        <f>IFERROR(__xludf.DUMMYFUNCTION("""COMPUTED_VALUE"""),"140447;INF174V01150;-;Mahindra Manulife Equity Savings Fund - Regular Plan - Growth;17.0003;25-Aug-2023")</f>
        <v>140447;INF174V01150;-;Mahindra Manulife Equity Savings Fund - Regular Plan - Growth;17.0003;25-Aug-2023</v>
      </c>
      <c r="B8121" s="1"/>
    </row>
    <row r="8122">
      <c r="A8122" s="1" t="str">
        <f>IFERROR(__xludf.DUMMYFUNCTION("""COMPUTED_VALUE"""),"140442;INF174V01192;INF174V01200;Mahindra Manulife Equity Savings Fund -Direct Plan -Dividend;15.1312;25-Aug-2023")</f>
        <v>140442;INF174V01192;INF174V01200;Mahindra Manulife Equity Savings Fund -Direct Plan -Dividend;15.1312;25-Aug-2023</v>
      </c>
      <c r="B8122" s="1"/>
    </row>
    <row r="8123">
      <c r="A8123" s="1" t="str">
        <f>IFERROR(__xludf.DUMMYFUNCTION("""COMPUTED_VALUE"""),"140446;INF174V01168;INF174V01176;Mahindra Manulife Equity Savings Fund -Regular Plan -Dividend;13.0581;25-Aug-2023")</f>
        <v>140446;INF174V01168;INF174V01176;Mahindra Manulife Equity Savings Fund -Regular Plan -Dividend;13.0581;25-Aug-2023</v>
      </c>
      <c r="B8123" s="1"/>
    </row>
    <row r="8124">
      <c r="A8124" s="1"/>
      <c r="B8124" s="1"/>
    </row>
    <row r="8125">
      <c r="A8125" s="1" t="str">
        <f>IFERROR(__xludf.DUMMYFUNCTION("""COMPUTED_VALUE"""),"Mirae Asset Mutual Fund")</f>
        <v>Mirae Asset Mutual Fund</v>
      </c>
      <c r="B8125" s="1"/>
    </row>
    <row r="8126">
      <c r="A8126" s="1"/>
      <c r="B8126" s="1"/>
    </row>
    <row r="8127">
      <c r="A8127" s="1" t="str">
        <f>IFERROR(__xludf.DUMMYFUNCTION("""COMPUTED_VALUE"""),"145694;INF769K01EJ3;INF769K01EM7;Mirae Asset Equity Savings Fund Direct IDCW;13.375;25-Aug-2023")</f>
        <v>145694;INF769K01EJ3;INF769K01EM7;Mirae Asset Equity Savings Fund Direct IDCW;13.375;25-Aug-2023</v>
      </c>
      <c r="B8127" s="1"/>
    </row>
    <row r="8128">
      <c r="A8128" s="1" t="str">
        <f>IFERROR(__xludf.DUMMYFUNCTION("""COMPUTED_VALUE"""),"145696;INF769K01EH7;INF769K01EL9;Mirae Asset Equity Savings Fund Regular IDCW;12.603;25-Aug-2023")</f>
        <v>145696;INF769K01EH7;INF769K01EL9;Mirae Asset Equity Savings Fund Regular IDCW;12.603;25-Aug-2023</v>
      </c>
      <c r="B8128" s="1"/>
    </row>
    <row r="8129">
      <c r="A8129" s="1" t="str">
        <f>IFERROR(__xludf.DUMMYFUNCTION("""COMPUTED_VALUE"""),"145693;INF769K01EK1;-;Mirae Asset Equity Savings Fund- Direct Plan- Growth;17.114;25-Aug-2023")</f>
        <v>145693;INF769K01EK1;-;Mirae Asset Equity Savings Fund- Direct Plan- Growth;17.114;25-Aug-2023</v>
      </c>
      <c r="B8129" s="1"/>
    </row>
    <row r="8130">
      <c r="A8130" s="1" t="str">
        <f>IFERROR(__xludf.DUMMYFUNCTION("""COMPUTED_VALUE"""),"145695;INF769K01EI5;-;Mirae Asset Equity Savings Fund- Regular Plan- Growth;16.287;25-Aug-2023")</f>
        <v>145695;INF769K01EI5;-;Mirae Asset Equity Savings Fund- Regular Plan- Growth;16.287;25-Aug-2023</v>
      </c>
      <c r="B8130" s="1"/>
    </row>
    <row r="8131">
      <c r="A8131" s="1"/>
      <c r="B8131" s="1"/>
    </row>
    <row r="8132">
      <c r="A8132" s="1" t="str">
        <f>IFERROR(__xludf.DUMMYFUNCTION("""COMPUTED_VALUE"""),"Nippon India Mutual Fund")</f>
        <v>Nippon India Mutual Fund</v>
      </c>
      <c r="B8132" s="1"/>
    </row>
    <row r="8133">
      <c r="A8133" s="1"/>
      <c r="B8133" s="1"/>
    </row>
    <row r="8134">
      <c r="A8134" s="1" t="str">
        <f>IFERROR(__xludf.DUMMYFUNCTION("""COMPUTED_VALUE"""),"148276;INF204KB11S7;INF204KB12S5;NIPPON INDIA EQUITY SAVINGS FUND -  SEGREGATED PORTFOLIO 2 - Direct Plan - IDCW Option;0.0000;25-Aug-2023")</f>
        <v>148276;INF204KB11S7;INF204KB12S5;NIPPON INDIA EQUITY SAVINGS FUND -  SEGREGATED PORTFOLIO 2 - Direct Plan - IDCW Option;0.0000;25-Aug-2023</v>
      </c>
      <c r="B8134" s="1"/>
    </row>
    <row r="8135">
      <c r="A8135" s="1" t="str">
        <f>IFERROR(__xludf.DUMMYFUNCTION("""COMPUTED_VALUE"""),"148277;INF204KB13S3;INF204KB14S1;NIPPON INDIA EQUITY SAVINGS FUND -  SEGREGATED PORTFOLIO 2 - Direct Plan - MONTHLY IDCW Option;0.0000;25-Aug-2023")</f>
        <v>148277;INF204KB13S3;INF204KB14S1;NIPPON INDIA EQUITY SAVINGS FUND -  SEGREGATED PORTFOLIO 2 - Direct Plan - MONTHLY IDCW Option;0.0000;25-Aug-2023</v>
      </c>
      <c r="B8135" s="1"/>
    </row>
    <row r="8136">
      <c r="A8136" s="1" t="str">
        <f>IFERROR(__xludf.DUMMYFUNCTION("""COMPUTED_VALUE"""),"148275;INF204KB19R2;INF204KB10S9;NIPPON INDIA EQUITY SAVINGS FUND -  SEGREGATED PORTFOLIO 2 - Direct Plan - QUARTERLY IDCW Option;0.0000;25-Aug-2023")</f>
        <v>148275;INF204KB19R2;INF204KB10S9;NIPPON INDIA EQUITY SAVINGS FUND -  SEGREGATED PORTFOLIO 2 - Direct Plan - QUARTERLY IDCW Option;0.0000;25-Aug-2023</v>
      </c>
      <c r="B8136" s="1"/>
    </row>
    <row r="8137">
      <c r="A8137" s="1" t="str">
        <f>IFERROR(__xludf.DUMMYFUNCTION("""COMPUTED_VALUE"""),"148278;INF204KB19S0;INF204KB10T7;NIPPON INDIA EQUITY SAVINGS FUND -  SEGREGATED PORTFOLIO 2 - IDCW Option;0.0000;25-Aug-2023")</f>
        <v>148278;INF204KB19S0;INF204KB10T7;NIPPON INDIA EQUITY SAVINGS FUND -  SEGREGATED PORTFOLIO 2 - IDCW Option;0.0000;25-Aug-2023</v>
      </c>
      <c r="B8137" s="1"/>
    </row>
    <row r="8138">
      <c r="A8138" s="1" t="str">
        <f>IFERROR(__xludf.DUMMYFUNCTION("""COMPUTED_VALUE"""),"148282;INF204KB11T5;INF204KB12T3;NIPPON INDIA EQUITY SAVINGS FUND -  SEGREGATED PORTFOLIO 2 - MONTHLY IDCW Option;0.0000;25-Aug-2023")</f>
        <v>148282;INF204KB11T5;INF204KB12T3;NIPPON INDIA EQUITY SAVINGS FUND -  SEGREGATED PORTFOLIO 2 - MONTHLY IDCW Option;0.0000;25-Aug-2023</v>
      </c>
      <c r="B8138" s="1"/>
    </row>
    <row r="8139">
      <c r="A8139" s="1" t="str">
        <f>IFERROR(__xludf.DUMMYFUNCTION("""COMPUTED_VALUE"""),"148281;INF204KB17S4;INF204KB18S2;NIPPON INDIA EQUITY SAVINGS FUND -  SEGREGATED PORTFOLIO 2 - QUARTERLY IDCW Option;0.0000;25-Aug-2023")</f>
        <v>148281;INF204KB17S4;INF204KB18S2;NIPPON INDIA EQUITY SAVINGS FUND -  SEGREGATED PORTFOLIO 2 - QUARTERLY IDCW Option;0.0000;25-Aug-2023</v>
      </c>
      <c r="B8139" s="1"/>
    </row>
    <row r="8140">
      <c r="A8140" s="1" t="str">
        <f>IFERROR(__xludf.DUMMYFUNCTION("""COMPUTED_VALUE"""),"134597;INF204KA1W93;INF204KA1X01;NIPPON INDIA EQUITY SAVINGS FUND - Direct Plan - IDCW Option;12.7504;25-Aug-2023")</f>
        <v>134597;INF204KA1W93;INF204KA1X01;NIPPON INDIA EQUITY SAVINGS FUND - Direct Plan - IDCW Option;12.7504;25-Aug-2023</v>
      </c>
      <c r="B8140" s="1"/>
    </row>
    <row r="8141">
      <c r="A8141" s="1" t="str">
        <f>IFERROR(__xludf.DUMMYFUNCTION("""COMPUTED_VALUE"""),"134599;INF204KA1X35;INF204KA1X43;NIPPON INDIA EQUITY SAVINGS FUND - Direct Plan - MONTHLY IDCW Option;12.5664;25-Aug-2023")</f>
        <v>134599;INF204KA1X35;INF204KA1X43;NIPPON INDIA EQUITY SAVINGS FUND - Direct Plan - MONTHLY IDCW Option;12.5664;25-Aug-2023</v>
      </c>
      <c r="B8141" s="1"/>
    </row>
    <row r="8142">
      <c r="A8142" s="1" t="str">
        <f>IFERROR(__xludf.DUMMYFUNCTION("""COMPUTED_VALUE"""),"134601;INF204KA1X19;INF204KA1X27;NIPPON INDIA EQUITY SAVINGS FUND - Direct Plan - QUARTERLY IDCW Option;12.5545;25-Aug-2023")</f>
        <v>134601;INF204KA1X19;INF204KA1X27;NIPPON INDIA EQUITY SAVINGS FUND - Direct Plan - QUARTERLY IDCW Option;12.5545;25-Aug-2023</v>
      </c>
      <c r="B8142" s="1"/>
    </row>
    <row r="8143">
      <c r="A8143" s="1" t="str">
        <f>IFERROR(__xludf.DUMMYFUNCTION("""COMPUTED_VALUE"""),"134596;INF204KA1W10;INF204KA1W28;NIPPON INDIA EQUITY SAVINGS FUND - IDCW Option;11.7106;25-Aug-2023")</f>
        <v>134596;INF204KA1W10;INF204KA1W28;NIPPON INDIA EQUITY SAVINGS FUND - IDCW Option;11.7106;25-Aug-2023</v>
      </c>
      <c r="B8143" s="1"/>
    </row>
    <row r="8144">
      <c r="A8144" s="1" t="str">
        <f>IFERROR(__xludf.DUMMYFUNCTION("""COMPUTED_VALUE"""),"134598;INF204KA1W51;INF204KA1W69;NIPPON INDIA EQUITY SAVINGS FUND - MONTHLY IDCW Option;11.5514;25-Aug-2023")</f>
        <v>134598;INF204KA1W51;INF204KA1W69;NIPPON INDIA EQUITY SAVINGS FUND - MONTHLY IDCW Option;11.5514;25-Aug-2023</v>
      </c>
      <c r="B8144" s="1"/>
    </row>
    <row r="8145">
      <c r="A8145" s="1" t="str">
        <f>IFERROR(__xludf.DUMMYFUNCTION("""COMPUTED_VALUE"""),"134600;INF204KA1W36;INF204KA1W44;NIPPON INDIA EQUITY SAVINGS FUND - QUARTERLY IDCW Option;11.5435;25-Aug-2023")</f>
        <v>134600;INF204KA1W36;INF204KA1W44;NIPPON INDIA EQUITY SAVINGS FUND - QUARTERLY IDCW Option;11.5435;25-Aug-2023</v>
      </c>
      <c r="B8145" s="1"/>
    </row>
    <row r="8146">
      <c r="A8146" s="1" t="str">
        <f>IFERROR(__xludf.DUMMYFUNCTION("""COMPUTED_VALUE"""),"147691;INF204KB10E9;-;Nippon India Equity Savings Fund - Segregated Portfolio 1 - Direct Plan - Growth Plan - Bonus Option;0.3021;25-Aug-2023")</f>
        <v>147691;INF204KB10E9;-;Nippon India Equity Savings Fund - Segregated Portfolio 1 - Direct Plan - Growth Plan - Bonus Option;0.3021;25-Aug-2023</v>
      </c>
      <c r="B8146" s="1"/>
    </row>
    <row r="8147">
      <c r="A8147" s="1" t="str">
        <f>IFERROR(__xludf.DUMMYFUNCTION("""COMPUTED_VALUE"""),"147697;INF204KB11E7;-;Nippon India Equity Savings Fund - Segregated Portfolio 1 - Direct Plan - Growth Plan - Growth Option;0.3021;25-Aug-2023")</f>
        <v>147697;INF204KB11E7;-;Nippon India Equity Savings Fund - Segregated Portfolio 1 - Direct Plan - Growth Plan - Growth Option;0.3021;25-Aug-2023</v>
      </c>
      <c r="B8147" s="1"/>
    </row>
    <row r="8148">
      <c r="A8148" s="1" t="str">
        <f>IFERROR(__xludf.DUMMYFUNCTION("""COMPUTED_VALUE"""),"147692;INF204KB14E1;INF204KB15E8;NIPPON INDIA EQUITY SAVINGS FUND - SEGREGATED PORTFOLIO 1 - Direct Plan - IDCW Option;0.2604;25-Aug-2023")</f>
        <v>147692;INF204KB14E1;INF204KB15E8;NIPPON INDIA EQUITY SAVINGS FUND - SEGREGATED PORTFOLIO 1 - Direct Plan - IDCW Option;0.2604;25-Aug-2023</v>
      </c>
      <c r="B8148" s="1"/>
    </row>
    <row r="8149">
      <c r="A8149" s="1" t="str">
        <f>IFERROR(__xludf.DUMMYFUNCTION("""COMPUTED_VALUE"""),"147693;INF204KB16E6;INF204KB17E4;NIPPON INDIA EQUITY SAVINGS FUND - SEGREGATED PORTFOLIO 1 - Direct Plan - MONTHLY IDCW Option;0.2566;25-Aug-2023")</f>
        <v>147693;INF204KB16E6;INF204KB17E4;NIPPON INDIA EQUITY SAVINGS FUND - SEGREGATED PORTFOLIO 1 - Direct Plan - MONTHLY IDCW Option;0.2566;25-Aug-2023</v>
      </c>
      <c r="B8149" s="1"/>
    </row>
    <row r="8150">
      <c r="A8150" s="1" t="str">
        <f>IFERROR(__xludf.DUMMYFUNCTION("""COMPUTED_VALUE"""),"147698;INF204KB12E5;INF204KB13E3;NIPPON INDIA EQUITY SAVINGS FUND - SEGREGATED PORTFOLIO 1 - Direct Plan - QUARTERLY IDCW Option;0.2564;25-Aug-2023")</f>
        <v>147698;INF204KB12E5;INF204KB13E3;NIPPON INDIA EQUITY SAVINGS FUND - SEGREGATED PORTFOLIO 1 - Direct Plan - QUARTERLY IDCW Option;0.2564;25-Aug-2023</v>
      </c>
      <c r="B8150" s="1"/>
    </row>
    <row r="8151">
      <c r="A8151" s="1" t="str">
        <f>IFERROR(__xludf.DUMMYFUNCTION("""COMPUTED_VALUE"""),"147695;INF204KB18E2;-;Nippon India Equity Savings Fund - Segregated Portfolio 1 - Growth Plan - Bonus Option;0.2885;25-Aug-2023")</f>
        <v>147695;INF204KB18E2;-;Nippon India Equity Savings Fund - Segregated Portfolio 1 - Growth Plan - Bonus Option;0.2885;25-Aug-2023</v>
      </c>
      <c r="B8151" s="1"/>
    </row>
    <row r="8152">
      <c r="A8152" s="1" t="str">
        <f>IFERROR(__xludf.DUMMYFUNCTION("""COMPUTED_VALUE"""),"147700;INF204KB19E0;-;Nippon India Equity Savings Fund - Segregated Portfolio 1 - Growth Plan - Growth Option;0.2885;25-Aug-2023")</f>
        <v>147700;INF204KB19E0;-;Nippon India Equity Savings Fund - Segregated Portfolio 1 - Growth Plan - Growth Option;0.2885;25-Aug-2023</v>
      </c>
      <c r="B8152" s="1"/>
    </row>
    <row r="8153">
      <c r="A8153" s="1" t="str">
        <f>IFERROR(__xludf.DUMMYFUNCTION("""COMPUTED_VALUE"""),"147694;INF204KB12F2;INF204KB13F0;NIPPON INDIA EQUITY SAVINGS FUND - SEGREGATED PORTFOLIO 1 - IDCW Option;0.2471;25-Aug-2023")</f>
        <v>147694;INF204KB12F2;INF204KB13F0;NIPPON INDIA EQUITY SAVINGS FUND - SEGREGATED PORTFOLIO 1 - IDCW Option;0.2471;25-Aug-2023</v>
      </c>
      <c r="B8153" s="1"/>
    </row>
    <row r="8154">
      <c r="A8154" s="1" t="str">
        <f>IFERROR(__xludf.DUMMYFUNCTION("""COMPUTED_VALUE"""),"147699;INF204KB14F8;INF204KB15F5;NIPPON INDIA EQUITY SAVINGS FUND - SEGREGATED PORTFOLIO 1 - MONTHLY IDCW Option;0.2437;25-Aug-2023")</f>
        <v>147699;INF204KB14F8;INF204KB15F5;NIPPON INDIA EQUITY SAVINGS FUND - SEGREGATED PORTFOLIO 1 - MONTHLY IDCW Option;0.2437;25-Aug-2023</v>
      </c>
      <c r="B8154" s="1"/>
    </row>
    <row r="8155">
      <c r="A8155" s="1" t="str">
        <f>IFERROR(__xludf.DUMMYFUNCTION("""COMPUTED_VALUE"""),"147696;INF204KB10F6;INF204KB11F4;NIPPON INDIA EQUITY SAVINGS FUND - SEGREGATED PORTFOLIO 1 - QUARTERLY IDCW Option;0.2436;25-Aug-2023")</f>
        <v>147696;INF204KB10F6;INF204KB11F4;NIPPON INDIA EQUITY SAVINGS FUND - SEGREGATED PORTFOLIO 1 - QUARTERLY IDCW Option;0.2436;25-Aug-2023</v>
      </c>
      <c r="B8155" s="1"/>
    </row>
    <row r="8156">
      <c r="A8156" s="1" t="str">
        <f>IFERROR(__xludf.DUMMYFUNCTION("""COMPUTED_VALUE"""),"148273;INF204KB17R6;-;Nippon India Equity Savings Fund - Segregated Portfolio 2 - Direct Plan - Growth Plan - Bonus Option;0.0000;25-Aug-2023")</f>
        <v>148273;INF204KB17R6;-;Nippon India Equity Savings Fund - Segregated Portfolio 2 - Direct Plan - Growth Plan - Bonus Option;0.0000;25-Aug-2023</v>
      </c>
      <c r="B8156" s="1"/>
    </row>
    <row r="8157">
      <c r="A8157" s="1" t="str">
        <f>IFERROR(__xludf.DUMMYFUNCTION("""COMPUTED_VALUE"""),"148274;INF204KB18R4;-;Nippon India Equity Savings Fund - Segregated Portfolio 2 - Direct Plan - Growth Plan - Growth Option;0.0000;25-Aug-2023")</f>
        <v>148274;INF204KB18R4;-;Nippon India Equity Savings Fund - Segregated Portfolio 2 - Direct Plan - Growth Plan - Growth Option;0.0000;25-Aug-2023</v>
      </c>
      <c r="B8157" s="1"/>
    </row>
    <row r="8158">
      <c r="A8158" s="1" t="str">
        <f>IFERROR(__xludf.DUMMYFUNCTION("""COMPUTED_VALUE"""),"148279;INF204KB15S8;-;Nippon India Equity Savings Fund - Segregated Portfolio 2 - Growth Plan - Bonus Option;0.0000;25-Aug-2023")</f>
        <v>148279;INF204KB15S8;-;Nippon India Equity Savings Fund - Segregated Portfolio 2 - Growth Plan - Bonus Option;0.0000;25-Aug-2023</v>
      </c>
      <c r="B8158" s="1"/>
    </row>
    <row r="8159">
      <c r="A8159" s="1" t="str">
        <f>IFERROR(__xludf.DUMMYFUNCTION("""COMPUTED_VALUE"""),"148280;INF204KB16S6;-;Nippon India Equity Savings Fund - Segregated Portfolio 2 - Growth Plan - Growth Option;0.0000;25-Aug-2023")</f>
        <v>148280;INF204KB16S6;-;Nippon India Equity Savings Fund - Segregated Portfolio 2 - Growth Plan - Growth Option;0.0000;25-Aug-2023</v>
      </c>
      <c r="B8159" s="1"/>
    </row>
    <row r="8160">
      <c r="A8160" s="1" t="str">
        <f>IFERROR(__xludf.DUMMYFUNCTION("""COMPUTED_VALUE"""),"134595;INF204KA1W85;-;Nippon India Equity Savings Fund- Direct Plan- Growth Plan- Bonus Option;14.7912;25-Aug-2023")</f>
        <v>134595;INF204KA1W85;-;Nippon India Equity Savings Fund- Direct Plan- Growth Plan- Bonus Option;14.7912;25-Aug-2023</v>
      </c>
      <c r="B8160" s="1"/>
    </row>
    <row r="8161">
      <c r="A8161" s="1" t="str">
        <f>IFERROR(__xludf.DUMMYFUNCTION("""COMPUTED_VALUE"""),"134594;INF204KA1W77;-;Nippon India Equity Savings Fund- Direct Plan- Growth Plan-Growth Option;14.7912;25-Aug-2023")</f>
        <v>134594;INF204KA1W77;-;Nippon India Equity Savings Fund- Direct Plan- Growth Plan-Growth Option;14.7912;25-Aug-2023</v>
      </c>
      <c r="B8161" s="1"/>
    </row>
    <row r="8162">
      <c r="A8162" s="1" t="str">
        <f>IFERROR(__xludf.DUMMYFUNCTION("""COMPUTED_VALUE"""),"134602;INF204KA1W02;-;Nippon India Equity Savings Fund- Growth Plan- Bonus Option;13.6705;25-Aug-2023")</f>
        <v>134602;INF204KA1W02;-;Nippon India Equity Savings Fund- Growth Plan- Bonus Option;13.6705;25-Aug-2023</v>
      </c>
      <c r="B8162" s="1"/>
    </row>
    <row r="8163">
      <c r="A8163" s="1" t="str">
        <f>IFERROR(__xludf.DUMMYFUNCTION("""COMPUTED_VALUE"""),"134593;INF204KA1V94;-;Nippon India Equity Savings Fund- Growth Plan- Growth Option;13.6705;25-Aug-2023")</f>
        <v>134593;INF204KA1V94;-;Nippon India Equity Savings Fund- Growth Plan- Growth Option;13.6705;25-Aug-2023</v>
      </c>
      <c r="B8163" s="1"/>
    </row>
    <row r="8164">
      <c r="A8164" s="1"/>
      <c r="B8164" s="1"/>
    </row>
    <row r="8165">
      <c r="A8165" s="1" t="str">
        <f>IFERROR(__xludf.DUMMYFUNCTION("""COMPUTED_VALUE"""),"PGIM India Mutual Fund")</f>
        <v>PGIM India Mutual Fund</v>
      </c>
      <c r="B8165" s="1"/>
    </row>
    <row r="8166">
      <c r="A8166" s="1"/>
      <c r="B8166" s="1"/>
    </row>
    <row r="8167">
      <c r="A8167" s="1" t="str">
        <f>IFERROR(__xludf.DUMMYFUNCTION("""COMPUTED_VALUE"""),"138371;INF223J01EZ9;INF223J01FA9;PGIM India Equity Savings Fund - Annual Dividend option;15.1104;25-Aug-2023")</f>
        <v>138371;INF223J01EZ9;INF223J01FA9;PGIM India Equity Savings Fund - Annual Dividend option;15.1104;25-Aug-2023</v>
      </c>
      <c r="B8167" s="1"/>
    </row>
    <row r="8168">
      <c r="A8168" s="1" t="str">
        <f>IFERROR(__xludf.DUMMYFUNCTION("""COMPUTED_VALUE"""),"138375;INF223J01QA6;INF223J01QB4;PGIM India Equity Savings Fund - Direct Plan - Annual Dividend;15.743;25-Aug-2023")</f>
        <v>138375;INF223J01QA6;INF223J01QB4;PGIM India Equity Savings Fund - Direct Plan - Annual Dividend;15.743;25-Aug-2023</v>
      </c>
      <c r="B8168" s="1"/>
    </row>
    <row r="8169">
      <c r="A8169" s="1" t="str">
        <f>IFERROR(__xludf.DUMMYFUNCTION("""COMPUTED_VALUE"""),"138376;INF223J01QD0;-;PGIM India Equity Savings Fund - Direct Plan - Growth;47.697;25-Aug-2023")</f>
        <v>138376;INF223J01QD0;-;PGIM India Equity Savings Fund - Direct Plan - Growth;47.697;25-Aug-2023</v>
      </c>
      <c r="B8169" s="1"/>
    </row>
    <row r="8170">
      <c r="A8170" s="1" t="str">
        <f>IFERROR(__xludf.DUMMYFUNCTION("""COMPUTED_VALUE"""),"142427;INF663L01YM8;INF663L01YN6;PGIM India Equity Savings Fund - Direct Plan - Half yearly Dividend option;12.3735;05-Mar-2021")</f>
        <v>142427;INF663L01YM8;INF663L01YN6;PGIM India Equity Savings Fund - Direct Plan - Half yearly Dividend option;12.3735;05-Mar-2021</v>
      </c>
      <c r="B8170" s="1"/>
    </row>
    <row r="8171">
      <c r="A8171" s="1" t="str">
        <f>IFERROR(__xludf.DUMMYFUNCTION("""COMPUTED_VALUE"""),"138377;INF223J01QE8;INF223J01QF5;PGIM India Equity Savings Fund - Direct Plan - Monthly Dividend;13.5908;25-Aug-2023")</f>
        <v>138377;INF223J01QE8;INF223J01QF5;PGIM India Equity Savings Fund - Direct Plan - Monthly Dividend;13.5908;25-Aug-2023</v>
      </c>
      <c r="B8171" s="1"/>
    </row>
    <row r="8172">
      <c r="A8172" s="1" t="str">
        <f>IFERROR(__xludf.DUMMYFUNCTION("""COMPUTED_VALUE"""),"138378;INF223J01QG3;INF223J01QH1;PGIM India Equity Savings Fund - Direct Plan - Quarterly Dividend;12.7923;05-Mar-2021")</f>
        <v>138378;INF223J01QG3;INF223J01QH1;PGIM India Equity Savings Fund - Direct Plan - Quarterly Dividend;12.7923;05-Mar-2021</v>
      </c>
      <c r="B8172" s="1"/>
    </row>
    <row r="8173">
      <c r="A8173" s="1" t="str">
        <f>IFERROR(__xludf.DUMMYFUNCTION("""COMPUTED_VALUE"""),"142428;INF663L01YQ9;INF663L01YR7;PGIM India Equity Savings Fund - Direct Plan - Regular Dividend Option;12.1329;05-Mar-2021")</f>
        <v>142428;INF663L01YQ9;INF663L01YR7;PGIM India Equity Savings Fund - Direct Plan - Regular Dividend Option;12.1329;05-Mar-2021</v>
      </c>
      <c r="B8173" s="1"/>
    </row>
    <row r="8174">
      <c r="A8174" s="1" t="str">
        <f>IFERROR(__xludf.DUMMYFUNCTION("""COMPUTED_VALUE"""),"138372;INF223J01FB7;-;PGIM India Equity Savings Fund - Growth Option;42.745;25-Aug-2023")</f>
        <v>138372;INF223J01FB7;-;PGIM India Equity Savings Fund - Growth Option;42.745;25-Aug-2023</v>
      </c>
      <c r="B8174" s="1"/>
    </row>
    <row r="8175">
      <c r="A8175" s="1" t="str">
        <f>IFERROR(__xludf.DUMMYFUNCTION("""COMPUTED_VALUE"""),"138369;INF223J01FC5;INF223J01FD3;PGIM India Equity Savings Fund - Monthly Dividend option;12.5713;25-Aug-2023")</f>
        <v>138369;INF223J01FC5;INF223J01FD3;PGIM India Equity Savings Fund - Monthly Dividend option;12.5713;25-Aug-2023</v>
      </c>
      <c r="B8175" s="1"/>
    </row>
    <row r="8176">
      <c r="A8176" s="1" t="str">
        <f>IFERROR(__xludf.DUMMYFUNCTION("""COMPUTED_VALUE"""),"138370;INF223J01FE1;INF223J01FF8;PGIM India Equity Savings Fund - Quarterly  Dividend;12.3639;05-Mar-2021")</f>
        <v>138370;INF223J01FE1;INF223J01FF8;PGIM India Equity Savings Fund - Quarterly  Dividend;12.3639;05-Mar-2021</v>
      </c>
      <c r="B8176" s="1"/>
    </row>
    <row r="8177">
      <c r="A8177" s="1" t="str">
        <f>IFERROR(__xludf.DUMMYFUNCTION("""COMPUTED_VALUE"""),"142426;INF663L01YO4;INF663L01YP1;PGIM India Equity Savings Fund - Regular Plan - Regular Dividend Option;12.1179;05-Mar-2021")</f>
        <v>142426;INF663L01YO4;INF663L01YP1;PGIM India Equity Savings Fund - Regular Plan - Regular Dividend Option;12.1179;05-Mar-2021</v>
      </c>
      <c r="B8177" s="1"/>
    </row>
    <row r="8178">
      <c r="A8178" s="1"/>
      <c r="B8178" s="1"/>
    </row>
    <row r="8179">
      <c r="A8179" s="1" t="str">
        <f>IFERROR(__xludf.DUMMYFUNCTION("""COMPUTED_VALUE"""),"SBI Mutual Fund")</f>
        <v>SBI Mutual Fund</v>
      </c>
      <c r="B8179" s="1"/>
    </row>
    <row r="8180">
      <c r="A8180" s="1"/>
      <c r="B8180" s="1"/>
    </row>
    <row r="8181">
      <c r="A8181" s="1" t="str">
        <f>IFERROR(__xludf.DUMMYFUNCTION("""COMPUTED_VALUE"""),"134643;INF200KA1DF3;-;SBI Equity Savings Fund - Direct Plan - Growth;21.3294;25-Aug-2023")</f>
        <v>134643;INF200KA1DF3;-;SBI Equity Savings Fund - Direct Plan - Growth;21.3294;25-Aug-2023</v>
      </c>
      <c r="B8181" s="1"/>
    </row>
    <row r="8182">
      <c r="A8182" s="1" t="str">
        <f>IFERROR(__xludf.DUMMYFUNCTION("""COMPUTED_VALUE"""),"134641;INF200KA1DG1;INF200KA1DH9;SBI Equity Savings Fund - Direct Plan - Monthly Income Distribution cum Capital Withdrawal Option (IDCW);19.5154;25-Aug-2023")</f>
        <v>134641;INF200KA1DG1;INF200KA1DH9;SBI Equity Savings Fund - Direct Plan - Monthly Income Distribution cum Capital Withdrawal Option (IDCW);19.5154;25-Aug-2023</v>
      </c>
      <c r="B8182" s="1"/>
    </row>
    <row r="8183">
      <c r="A8183" s="1" t="str">
        <f>IFERROR(__xludf.DUMMYFUNCTION("""COMPUTED_VALUE"""),"134640;INF200KA1DI7;INF200KA1DJ5;SBI Equity Savings Fund - Direct Plan - Quarterly Income Distribution cum Capital Withdrawal Option (IDCW);20.1985;25-Aug-2023")</f>
        <v>134640;INF200KA1DI7;INF200KA1DJ5;SBI Equity Savings Fund - Direct Plan - Quarterly Income Distribution cum Capital Withdrawal Option (IDCW);20.1985;25-Aug-2023</v>
      </c>
      <c r="B8183" s="1"/>
    </row>
    <row r="8184">
      <c r="A8184" s="1" t="str">
        <f>IFERROR(__xludf.DUMMYFUNCTION("""COMPUTED_VALUE"""),"134644;INF200KA1DA4;-;SBI Equity Savings Fund - Regular Plan - Growth;19.5377;25-Aug-2023")</f>
        <v>134644;INF200KA1DA4;-;SBI Equity Savings Fund - Regular Plan - Growth;19.5377;25-Aug-2023</v>
      </c>
      <c r="B8184" s="1"/>
    </row>
    <row r="8185">
      <c r="A8185" s="1" t="str">
        <f>IFERROR(__xludf.DUMMYFUNCTION("""COMPUTED_VALUE"""),"134639;INF200KA1DB2;INF200KA1DC0;SBI Equity Savings Fund - Regular Plan - Monthly Income Distribution cum Capital Withdrawal Option (IDCW);18.1133;25-Aug-2023")</f>
        <v>134639;INF200KA1DB2;INF200KA1DC0;SBI Equity Savings Fund - Regular Plan - Monthly Income Distribution cum Capital Withdrawal Option (IDCW);18.1133;25-Aug-2023</v>
      </c>
      <c r="B8185" s="1"/>
    </row>
    <row r="8186">
      <c r="A8186" s="1" t="str">
        <f>IFERROR(__xludf.DUMMYFUNCTION("""COMPUTED_VALUE"""),"134642;INF200KA1DD8;INF200KA1DE6;SBI Equity Savings Fund - Regular Plan - Quarterly Income Distribution cum Capital Withdrawal Option (IDCW);18.4751;25-Aug-2023")</f>
        <v>134642;INF200KA1DD8;INF200KA1DE6;SBI Equity Savings Fund - Regular Plan - Quarterly Income Distribution cum Capital Withdrawal Option (IDCW);18.4751;25-Aug-2023</v>
      </c>
      <c r="B8186" s="1"/>
    </row>
    <row r="8187">
      <c r="A8187" s="1"/>
      <c r="B8187" s="1"/>
    </row>
    <row r="8188">
      <c r="A8188" s="1" t="str">
        <f>IFERROR(__xludf.DUMMYFUNCTION("""COMPUTED_VALUE"""),"Sundaram Mutual Fund")</f>
        <v>Sundaram Mutual Fund</v>
      </c>
      <c r="B8188" s="1"/>
    </row>
    <row r="8189">
      <c r="A8189" s="1"/>
      <c r="B8189" s="1"/>
    </row>
    <row r="8190">
      <c r="A8190" s="1" t="str">
        <f>IFERROR(__xludf.DUMMYFUNCTION("""COMPUTED_VALUE"""),"149677;INF173K01HC6;INF173K01HD4;Sundaram Equity Savings Fund (Formerly Known as  Principal Equity Savings Fund) - Direct Plan - Income Distribution CUM Capital Withdrawal Option - Half Yearly;15.1814;25-Aug-2023")</f>
        <v>149677;INF173K01HC6;INF173K01HD4;Sundaram Equity Savings Fund (Formerly Known as  Principal Equity Savings Fund) - Direct Plan - Income Distribution CUM Capital Withdrawal Option - Half Yearly;15.1814;25-Aug-2023</v>
      </c>
      <c r="B8190" s="1"/>
    </row>
    <row r="8191">
      <c r="A8191" s="1" t="str">
        <f>IFERROR(__xludf.DUMMYFUNCTION("""COMPUTED_VALUE"""),"149679;INF173K01GZ9;-;Sundaram Equity Savings Fund (Formerly Known as Principal Equity Savings Fund) - Direct Plan - Growth Option;63.7481;25-Aug-2023")</f>
        <v>149679;INF173K01GZ9;-;Sundaram Equity Savings Fund (Formerly Known as Principal Equity Savings Fund) - Direct Plan - Growth Option;63.7481;25-Aug-2023</v>
      </c>
      <c r="B8191" s="1"/>
    </row>
    <row r="8192">
      <c r="A8192" s="1" t="str">
        <f>IFERROR(__xludf.DUMMYFUNCTION("""COMPUTED_VALUE"""),"149674;INF173K01213;-;Sundaram Equity Savings Fund (Formerly Known as Principal Equity Savings Fund) - Growth Option;56.6132;25-Aug-2023")</f>
        <v>149674;INF173K01213;-;Sundaram Equity Savings Fund (Formerly Known as Principal Equity Savings Fund) - Growth Option;56.6132;25-Aug-2023</v>
      </c>
      <c r="B8192" s="1"/>
    </row>
    <row r="8193">
      <c r="A8193" s="1" t="str">
        <f>IFERROR(__xludf.DUMMYFUNCTION("""COMPUTED_VALUE"""),"149676;INF173K01262;INF173K01270;Sundaram Equity Savings Fund (Formerly Known as Principal Equity Savings Fund) -Quarterly Income Distribution CUM Capital Withdrawal;15.7157;25-Aug-2023")</f>
        <v>149676;INF173K01262;INF173K01270;Sundaram Equity Savings Fund (Formerly Known as Principal Equity Savings Fund) -Quarterly Income Distribution CUM Capital Withdrawal;15.7157;25-Aug-2023</v>
      </c>
      <c r="B8193" s="1"/>
    </row>
    <row r="8194">
      <c r="A8194" s="1" t="str">
        <f>IFERROR(__xludf.DUMMYFUNCTION("""COMPUTED_VALUE"""),"149678;INF173K01HF9;INF173K01HG7;Sundaram Equity Savings Fund (Formerly Known as Principal Equity Savings Fund)- Direct Plan - Income Distribution CUM Capital Withdrawal Option - Quarterly;22.1356;25-Aug-2023")</f>
        <v>149678;INF173K01HF9;INF173K01HG7;Sundaram Equity Savings Fund (Formerly Known as Principal Equity Savings Fund)- Direct Plan - Income Distribution CUM Capital Withdrawal Option - Quarterly;22.1356;25-Aug-2023</v>
      </c>
      <c r="B8194" s="1"/>
    </row>
    <row r="8195">
      <c r="A8195" s="1" t="str">
        <f>IFERROR(__xludf.DUMMYFUNCTION("""COMPUTED_VALUE"""),"149675;INF173K01247;INF173K01254;Sundaram Equity Savings Fund (Formerly Known as Principal Equity Savings Fund)- Half Yearly Income Distribution CUM Capital Withdrawal;14.5911;25-Aug-2023")</f>
        <v>149675;INF173K01247;INF173K01254;Sundaram Equity Savings Fund (Formerly Known as Principal Equity Savings Fund)- Half Yearly Income Distribution CUM Capital Withdrawal;14.5911;25-Aug-2023</v>
      </c>
      <c r="B8195" s="1"/>
    </row>
    <row r="8196">
      <c r="A8196" s="1"/>
      <c r="B8196" s="1"/>
    </row>
    <row r="8197">
      <c r="A8197" s="1" t="str">
        <f>IFERROR(__xludf.DUMMYFUNCTION("""COMPUTED_VALUE"""),"Tata Mutual Fund")</f>
        <v>Tata Mutual Fund</v>
      </c>
      <c r="B8197" s="1"/>
    </row>
    <row r="8198">
      <c r="A8198" s="1"/>
      <c r="B8198" s="1"/>
    </row>
    <row r="8199">
      <c r="A8199" s="1" t="str">
        <f>IFERROR(__xludf.DUMMYFUNCTION("""COMPUTED_VALUE"""),"101906;INF277K01907;-;Tata Equity Savings Fund -Regular Plan-Growth Option;44.8667;25-Aug-2023")</f>
        <v>101906;INF277K01907;-;Tata Equity Savings Fund -Regular Plan-Growth Option;44.8667;25-Aug-2023</v>
      </c>
      <c r="B8199" s="1"/>
    </row>
    <row r="8200">
      <c r="A8200" s="1" t="str">
        <f>IFERROR(__xludf.DUMMYFUNCTION("""COMPUTED_VALUE"""),"119960;INF277K01QH5;-;Tata Equity Savings Fund- Direct Plan- Growth Option;49.9389;25-Aug-2023")</f>
        <v>119960;INF277K01QH5;-;Tata Equity Savings Fund- Direct Plan- Growth Option;49.9389;25-Aug-2023</v>
      </c>
      <c r="B8200" s="1"/>
    </row>
    <row r="8201">
      <c r="A8201" s="1" t="str">
        <f>IFERROR(__xludf.DUMMYFUNCTION("""COMPUTED_VALUE"""),"102118;INF277K01EF5;INF277K01915;Tata Equity Savings Fund- Regular Plan - Periodic Payout of IDCW Option;21.4930;25-Aug-2023")</f>
        <v>102118;INF277K01EF5;INF277K01915;Tata Equity Savings Fund- Regular Plan - Periodic Payout of IDCW Option;21.4930;25-Aug-2023</v>
      </c>
      <c r="B8201" s="1"/>
    </row>
    <row r="8202">
      <c r="A8202" s="1" t="str">
        <f>IFERROR(__xludf.DUMMYFUNCTION("""COMPUTED_VALUE"""),"101609;INF277K01EE8;INF277K01899;TATA Equity Savings Fund- Regular Plan -Monthly Payout of IDCW option;15.4544;25-Aug-2023")</f>
        <v>101609;INF277K01EE8;INF277K01899;TATA Equity Savings Fund- Regular Plan -Monthly Payout of IDCW option;15.4544;25-Aug-2023</v>
      </c>
      <c r="B8202" s="1"/>
    </row>
    <row r="8203">
      <c r="A8203" s="1" t="str">
        <f>IFERROR(__xludf.DUMMYFUNCTION("""COMPUTED_VALUE"""),"119958;INF277K01QI3;INF277K01QJ1;Tata Equity Savings Fund-Direct Plan - Monthly Payout of IDCW Option;18.4427;25-Aug-2023")</f>
        <v>119958;INF277K01QI3;INF277K01QJ1;Tata Equity Savings Fund-Direct Plan - Monthly Payout of IDCW Option;18.4427;25-Aug-2023</v>
      </c>
      <c r="B8203" s="1"/>
    </row>
    <row r="8204">
      <c r="A8204" s="1" t="str">
        <f>IFERROR(__xludf.DUMMYFUNCTION("""COMPUTED_VALUE"""),"119959;INF277K01QK9;INF277K01QL7;Tata Equity Savings Fund-Direct Plan - Periodic Payout of IDCWS Option;24.4024;25-Aug-2023")</f>
        <v>119959;INF277K01QK9;INF277K01QL7;Tata Equity Savings Fund-Direct Plan - Periodic Payout of IDCWS Option;24.4024;25-Aug-2023</v>
      </c>
      <c r="B8204" s="1"/>
    </row>
    <row r="8205">
      <c r="A8205" s="1"/>
      <c r="B8205" s="1"/>
    </row>
    <row r="8206">
      <c r="A8206" s="1" t="str">
        <f>IFERROR(__xludf.DUMMYFUNCTION("""COMPUTED_VALUE"""),"Union Mutual Fund")</f>
        <v>Union Mutual Fund</v>
      </c>
      <c r="B8206" s="1"/>
    </row>
    <row r="8207">
      <c r="A8207" s="1"/>
      <c r="B8207" s="1"/>
    </row>
    <row r="8208">
      <c r="A8208" s="1" t="str">
        <f>IFERROR(__xludf.DUMMYFUNCTION("""COMPUTED_VALUE"""),"144312;INF582M01EC1;-;Union Equity Savings Fund - Direct Plan - Growth Option;14.69;25-Aug-2023")</f>
        <v>144312;INF582M01EC1;-;Union Equity Savings Fund - Direct Plan - Growth Option;14.69;25-Aug-2023</v>
      </c>
      <c r="B8208" s="1"/>
    </row>
    <row r="8209">
      <c r="A8209" s="1" t="str">
        <f>IFERROR(__xludf.DUMMYFUNCTION("""COMPUTED_VALUE"""),"144313;INF582M01EE7;INF582M01ED9;Union Equity Savings Fund - Direct Plan - IDCW Option;14.69;25-Aug-2023")</f>
        <v>144313;INF582M01EE7;INF582M01ED9;Union Equity Savings Fund - Direct Plan - IDCW Option;14.69;25-Aug-2023</v>
      </c>
      <c r="B8209" s="1"/>
    </row>
    <row r="8210">
      <c r="A8210" s="1" t="str">
        <f>IFERROR(__xludf.DUMMYFUNCTION("""COMPUTED_VALUE"""),"144310;INF582M01EG2;-;Union Equity Savings Fund - Regular Plan - Growth Option;14.26;25-Aug-2023")</f>
        <v>144310;INF582M01EG2;-;Union Equity Savings Fund - Regular Plan - Growth Option;14.26;25-Aug-2023</v>
      </c>
      <c r="B8210" s="1"/>
    </row>
    <row r="8211">
      <c r="A8211" s="1" t="str">
        <f>IFERROR(__xludf.DUMMYFUNCTION("""COMPUTED_VALUE"""),"144311;INF582M01EI8;INF582M01EH0;Union Equity Savings Fund - Regular Plan - IDCW Option;14.26;25-Aug-2023")</f>
        <v>144311;INF582M01EI8;INF582M01EH0;Union Equity Savings Fund - Regular Plan - IDCW Option;14.26;25-Aug-2023</v>
      </c>
      <c r="B8211" s="1"/>
    </row>
    <row r="8212">
      <c r="A8212" s="1"/>
      <c r="B8212" s="1"/>
    </row>
    <row r="8213">
      <c r="A8213" s="1" t="str">
        <f>IFERROR(__xludf.DUMMYFUNCTION("""COMPUTED_VALUE"""),"UTI Mutual Fund")</f>
        <v>UTI Mutual Fund</v>
      </c>
      <c r="B8213" s="1"/>
    </row>
    <row r="8214">
      <c r="A8214" s="1"/>
      <c r="B8214" s="1"/>
    </row>
    <row r="8215">
      <c r="A8215" s="1" t="str">
        <f>IFERROR(__xludf.DUMMYFUNCTION("""COMPUTED_VALUE"""),"144490;INF789F1A777;-;UTI Equity Savings Fund - Direct Plan - Growth Option;15.7014;25-Aug-2023")</f>
        <v>144490;INF789F1A777;-;UTI Equity Savings Fund - Direct Plan - Growth Option;15.7014;25-Aug-2023</v>
      </c>
      <c r="B8215" s="1"/>
    </row>
    <row r="8216">
      <c r="A8216" s="1" t="str">
        <f>IFERROR(__xludf.DUMMYFUNCTION("""COMPUTED_VALUE"""),"144491;INF789F1A769;INF789F1A751;UTI Equity Savings Fund - Direct Plan - IDCW;15.7014;25-Aug-2023")</f>
        <v>144491;INF789F1A769;INF789F1A751;UTI Equity Savings Fund - Direct Plan - IDCW;15.7014;25-Aug-2023</v>
      </c>
      <c r="B8216" s="1"/>
    </row>
    <row r="8217">
      <c r="A8217" s="1" t="str">
        <f>IFERROR(__xludf.DUMMYFUNCTION("""COMPUTED_VALUE"""),"144489;INF789F1A819;INF789F1A801;UTI Equity Savings Fund - Direct Plan - Monthly IDCW;15.7022;25-Aug-2023")</f>
        <v>144489;INF789F1A819;INF789F1A801;UTI Equity Savings Fund - Direct Plan - Monthly IDCW;15.7022;25-Aug-2023</v>
      </c>
      <c r="B8217" s="1"/>
    </row>
    <row r="8218">
      <c r="A8218" s="1" t="str">
        <f>IFERROR(__xludf.DUMMYFUNCTION("""COMPUTED_VALUE"""),"144488;INF789F1A850;INF789F1A843;UTI Equity Savings Fund - Direct Plan - Quarterly IDCW;15.7013;25-Aug-2023")</f>
        <v>144488;INF789F1A850;INF789F1A843;UTI Equity Savings Fund - Direct Plan - Quarterly IDCW;15.7013;25-Aug-2023</v>
      </c>
      <c r="B8218" s="1"/>
    </row>
    <row r="8219">
      <c r="A8219" s="1" t="str">
        <f>IFERROR(__xludf.DUMMYFUNCTION("""COMPUTED_VALUE"""),"144484;INF789F1A744;-;UTI Equity Savings Fund - Regular Plan - Growth Option;15.0191;25-Aug-2023")</f>
        <v>144484;INF789F1A744;-;UTI Equity Savings Fund - Regular Plan - Growth Option;15.0191;25-Aug-2023</v>
      </c>
      <c r="B8219" s="1"/>
    </row>
    <row r="8220">
      <c r="A8220" s="1" t="str">
        <f>IFERROR(__xludf.DUMMYFUNCTION("""COMPUTED_VALUE"""),"144485;INF789F1A736;INF789F1A728;UTI Equity Savings Fund - Regular Plan - IDCW;15.0191;25-Aug-2023")</f>
        <v>144485;INF789F1A736;INF789F1A728;UTI Equity Savings Fund - Regular Plan - IDCW;15.0191;25-Aug-2023</v>
      </c>
      <c r="B8220" s="1"/>
    </row>
    <row r="8221">
      <c r="A8221" s="1" t="str">
        <f>IFERROR(__xludf.DUMMYFUNCTION("""COMPUTED_VALUE"""),"144486;INF789F1A793;INF789F1A785;UTI Equity Savings Fund - Regular Plan - Monthly IDCW;15.0192;25-Aug-2023")</f>
        <v>144486;INF789F1A793;INF789F1A785;UTI Equity Savings Fund - Regular Plan - Monthly IDCW;15.0192;25-Aug-2023</v>
      </c>
      <c r="B8221" s="1"/>
    </row>
    <row r="8222">
      <c r="A8222" s="1" t="str">
        <f>IFERROR(__xludf.DUMMYFUNCTION("""COMPUTED_VALUE"""),"144487;INF789F1A835;INF789F1A827;UTI Equity Savings Fund - Regular Plan - Quarterly IDCW;15.0191;25-Aug-2023")</f>
        <v>144487;INF789F1A835;INF789F1A827;UTI Equity Savings Fund - Regular Plan - Quarterly IDCW;15.0191;25-Aug-2023</v>
      </c>
      <c r="B8222" s="1"/>
    </row>
    <row r="8223">
      <c r="A8223" s="1"/>
      <c r="B8223" s="1"/>
    </row>
    <row r="8224">
      <c r="A8224" s="1" t="str">
        <f>IFERROR(__xludf.DUMMYFUNCTION("""COMPUTED_VALUE"""),"Open Ended Schemes(Hybrid Scheme - Multi Asset Allocation)")</f>
        <v>Open Ended Schemes(Hybrid Scheme - Multi Asset Allocation)</v>
      </c>
      <c r="B8224" s="1"/>
    </row>
    <row r="8225">
      <c r="A8225" s="1"/>
      <c r="B8225" s="1"/>
    </row>
    <row r="8226">
      <c r="A8226" s="1" t="str">
        <f>IFERROR(__xludf.DUMMYFUNCTION("""COMPUTED_VALUE"""),"Aditya Birla Sun Life Mutual Fund")</f>
        <v>Aditya Birla Sun Life Mutual Fund</v>
      </c>
      <c r="B8226" s="1"/>
    </row>
    <row r="8227">
      <c r="A8227" s="1"/>
      <c r="B8227" s="1"/>
    </row>
    <row r="8228">
      <c r="A8228" s="1" t="str">
        <f>IFERROR(__xludf.DUMMYFUNCTION("""COMPUTED_VALUE"""),"151307;INF209KB15R9;-;Aditya Birla Sun Life Multi Asset Allocation Fund-Direct Growth;11.1354;25-Aug-2023")</f>
        <v>151307;INF209KB15R9;-;Aditya Birla Sun Life Multi Asset Allocation Fund-Direct Growth;11.1354;25-Aug-2023</v>
      </c>
      <c r="B8228" s="1"/>
    </row>
    <row r="8229">
      <c r="A8229" s="1" t="str">
        <f>IFERROR(__xludf.DUMMYFUNCTION("""COMPUTED_VALUE"""),"151308;INF209KB16R7;INF209KB17R5;Aditya Birla Sun Life Multi Asset Allocation Fund-Direct IDCW;11.1348;25-Aug-2023")</f>
        <v>151308;INF209KB16R7;INF209KB17R5;Aditya Birla Sun Life Multi Asset Allocation Fund-Direct IDCW;11.1348;25-Aug-2023</v>
      </c>
      <c r="B8229" s="1"/>
    </row>
    <row r="8230">
      <c r="A8230" s="1" t="str">
        <f>IFERROR(__xludf.DUMMYFUNCTION("""COMPUTED_VALUE"""),"151309;INF209KB12R6;-;Aditya Birla Sun Life Multi Asset Allocation Fund-Regular Growth;11.0301;25-Aug-2023")</f>
        <v>151309;INF209KB12R6;-;Aditya Birla Sun Life Multi Asset Allocation Fund-Regular Growth;11.0301;25-Aug-2023</v>
      </c>
      <c r="B8230" s="1"/>
    </row>
    <row r="8231">
      <c r="A8231" s="1" t="str">
        <f>IFERROR(__xludf.DUMMYFUNCTION("""COMPUTED_VALUE"""),"151310;INF209KB13R4;INF209KB14R2;Aditya Birla Sun Life Multi Asset Allocation Fund-Regular IDCW;11.0305;25-Aug-2023")</f>
        <v>151310;INF209KB13R4;INF209KB14R2;Aditya Birla Sun Life Multi Asset Allocation Fund-Regular IDCW;11.0305;25-Aug-2023</v>
      </c>
      <c r="B8231" s="1"/>
    </row>
    <row r="8232">
      <c r="A8232" s="1"/>
      <c r="B8232" s="1"/>
    </row>
    <row r="8233">
      <c r="A8233" s="1" t="str">
        <f>IFERROR(__xludf.DUMMYFUNCTION("""COMPUTED_VALUE"""),"Axis Mutual Fund")</f>
        <v>Axis Mutual Fund</v>
      </c>
      <c r="B8233" s="1"/>
    </row>
    <row r="8234">
      <c r="A8234" s="1"/>
      <c r="B8234" s="1"/>
    </row>
    <row r="8235">
      <c r="A8235" s="1" t="str">
        <f>IFERROR(__xludf.DUMMYFUNCTION("""COMPUTED_VALUE"""),"120524;INF846K01EV4;-;Axis Multi Asset Allocation Fund - Direct Plan - Growth Option;34.8890;25-Aug-2023")</f>
        <v>120524;INF846K01EV4;-;Axis Multi Asset Allocation Fund - Direct Plan - Growth Option;34.8890;25-Aug-2023</v>
      </c>
      <c r="B8235" s="1"/>
    </row>
    <row r="8236">
      <c r="A8236" s="1" t="str">
        <f>IFERROR(__xludf.DUMMYFUNCTION("""COMPUTED_VALUE"""),"120523;INF846K01ET8;INF846K01EU6;Axis Multi Asset Allocation Fund - Direct Plan - IDCW;22.4795;25-Aug-2023")</f>
        <v>120523;INF846K01ET8;INF846K01EU6;Axis Multi Asset Allocation Fund - Direct Plan - IDCW;22.4795;25-Aug-2023</v>
      </c>
      <c r="B8236" s="1"/>
    </row>
    <row r="8237">
      <c r="A8237" s="1" t="str">
        <f>IFERROR(__xludf.DUMMYFUNCTION("""COMPUTED_VALUE"""),"113064;INF846K01768;-;Axis Multi Asset Allocation Fund - Regular Plan - Growth Option;30.6584;25-Aug-2023")</f>
        <v>113064;INF846K01768;-;Axis Multi Asset Allocation Fund - Regular Plan - Growth Option;30.6584;25-Aug-2023</v>
      </c>
      <c r="B8237" s="1"/>
    </row>
    <row r="8238">
      <c r="A8238" s="1" t="str">
        <f>IFERROR(__xludf.DUMMYFUNCTION("""COMPUTED_VALUE"""),"113065;INF846K01776;INF846K01784;Axis Multi Asset Allocation Fund - Regular Plan - IDCW;17.6983;25-Aug-2023")</f>
        <v>113065;INF846K01776;INF846K01784;Axis Multi Asset Allocation Fund - Regular Plan - IDCW;17.6983;25-Aug-2023</v>
      </c>
      <c r="B8238" s="1"/>
    </row>
    <row r="8239">
      <c r="A8239" s="1"/>
      <c r="B8239" s="1"/>
    </row>
    <row r="8240">
      <c r="A8240" s="1" t="str">
        <f>IFERROR(__xludf.DUMMYFUNCTION("""COMPUTED_VALUE"""),"Baroda BNP Paribas Mutual Fund")</f>
        <v>Baroda BNP Paribas Mutual Fund</v>
      </c>
      <c r="B8240" s="1"/>
    </row>
    <row r="8241">
      <c r="A8241" s="1"/>
      <c r="B8241" s="1"/>
    </row>
    <row r="8242">
      <c r="A8242" s="1" t="str">
        <f>IFERROR(__xludf.DUMMYFUNCTION("""COMPUTED_VALUE"""),"150865;INF251K01RF2;-;Baroda BNP Paribas Multi Asset Fund - Direct Plan - Growth Option;10.9798;25-Aug-2023")</f>
        <v>150865;INF251K01RF2;-;Baroda BNP Paribas Multi Asset Fund - Direct Plan - Growth Option;10.9798;25-Aug-2023</v>
      </c>
      <c r="B8242" s="1"/>
    </row>
    <row r="8243">
      <c r="A8243" s="1" t="str">
        <f>IFERROR(__xludf.DUMMYFUNCTION("""COMPUTED_VALUE"""),"150866;INF251K01RG0;INF251K01RH8;Baroda BNP Paribas Multi Asset Fund - Direct Plan - IDCW Option;10.9798;25-Aug-2023")</f>
        <v>150866;INF251K01RG0;INF251K01RH8;Baroda BNP Paribas Multi Asset Fund - Direct Plan - IDCW Option;10.9798;25-Aug-2023</v>
      </c>
      <c r="B8243" s="1"/>
    </row>
    <row r="8244">
      <c r="A8244" s="1" t="str">
        <f>IFERROR(__xludf.DUMMYFUNCTION("""COMPUTED_VALUE"""),"150863;INF251K01RC9;-;Baroda BNP Paribas Multi Asset Fund - Regular Plan - Growth Option;10.8448;25-Aug-2023")</f>
        <v>150863;INF251K01RC9;-;Baroda BNP Paribas Multi Asset Fund - Regular Plan - Growth Option;10.8448;25-Aug-2023</v>
      </c>
      <c r="B8244" s="1"/>
    </row>
    <row r="8245">
      <c r="A8245" s="1" t="str">
        <f>IFERROR(__xludf.DUMMYFUNCTION("""COMPUTED_VALUE"""),"150864;INF251K01RD7;INF251K01RE5;Baroda BNP Paribas Multi Asset Fund - Regular Plan - IDCW Option;10.8448;25-Aug-2023")</f>
        <v>150864;INF251K01RD7;INF251K01RE5;Baroda BNP Paribas Multi Asset Fund - Regular Plan - IDCW Option;10.8448;25-Aug-2023</v>
      </c>
      <c r="B8245" s="1"/>
    </row>
    <row r="8246">
      <c r="A8246" s="1"/>
      <c r="B8246" s="1"/>
    </row>
    <row r="8247">
      <c r="A8247" s="1" t="str">
        <f>IFERROR(__xludf.DUMMYFUNCTION("""COMPUTED_VALUE"""),"Edelweiss Mutual Fund")</f>
        <v>Edelweiss Mutual Fund</v>
      </c>
      <c r="B8247" s="1"/>
    </row>
    <row r="8248">
      <c r="A8248" s="1"/>
      <c r="B8248" s="1"/>
    </row>
    <row r="8249">
      <c r="A8249" s="1" t="str">
        <f>IFERROR(__xludf.DUMMYFUNCTION("""COMPUTED_VALUE"""),"151792;INF754K01RS8;-;Edelweiss Multi Asset Allocation Fund - Direct Plan - Growth;10.1244;25-Aug-2023")</f>
        <v>151792;INF754K01RS8;-;Edelweiss Multi Asset Allocation Fund - Direct Plan - Growth;10.1244;25-Aug-2023</v>
      </c>
      <c r="B8249" s="1"/>
    </row>
    <row r="8250">
      <c r="A8250" s="1" t="str">
        <f>IFERROR(__xludf.DUMMYFUNCTION("""COMPUTED_VALUE"""),"151793;INF754K01RT6;INF754K01RU4;Edelweiss Multi Asset Allocation Fund - Direct Plan - IDCW Option;10.1244;25-Aug-2023")</f>
        <v>151793;INF754K01RT6;INF754K01RU4;Edelweiss Multi Asset Allocation Fund - Direct Plan - IDCW Option;10.1244;25-Aug-2023</v>
      </c>
      <c r="B8250" s="1"/>
    </row>
    <row r="8251">
      <c r="A8251" s="1" t="str">
        <f>IFERROR(__xludf.DUMMYFUNCTION("""COMPUTED_VALUE"""),"151795;INF754K01RO7;-;Edelweiss Multi Asset Allocation Fund - Regular Plan - Growth;10.1190;25-Aug-2023")</f>
        <v>151795;INF754K01RO7;-;Edelweiss Multi Asset Allocation Fund - Regular Plan - Growth;10.1190;25-Aug-2023</v>
      </c>
      <c r="B8251" s="1"/>
    </row>
    <row r="8252">
      <c r="A8252" s="1" t="str">
        <f>IFERROR(__xludf.DUMMYFUNCTION("""COMPUTED_VALUE"""),"151794;INF754K01RP4;INF754K01RQ2;Edelweiss Multi Asset Allocation Fund - Regular Plan - IDCW Option;10.1190;25-Aug-2023")</f>
        <v>151794;INF754K01RP4;INF754K01RQ2;Edelweiss Multi Asset Allocation Fund - Regular Plan - IDCW Option;10.1190;25-Aug-2023</v>
      </c>
      <c r="B8252" s="1"/>
    </row>
    <row r="8253">
      <c r="A8253" s="1"/>
      <c r="B8253" s="1"/>
    </row>
    <row r="8254">
      <c r="A8254" s="1" t="str">
        <f>IFERROR(__xludf.DUMMYFUNCTION("""COMPUTED_VALUE"""),"HDFC Mutual Fund")</f>
        <v>HDFC Mutual Fund</v>
      </c>
      <c r="B8254" s="1"/>
    </row>
    <row r="8255">
      <c r="A8255" s="1"/>
      <c r="B8255" s="1"/>
    </row>
    <row r="8256">
      <c r="A8256" s="1" t="str">
        <f>IFERROR(__xludf.DUMMYFUNCTION("""COMPUTED_VALUE"""),"103131;INF179K01AP0;-;HDFC Multi-Asset Fund - Growth Option;54.041;25-Aug-2023")</f>
        <v>103131;INF179K01AP0;-;HDFC Multi-Asset Fund - Growth Option;54.041;25-Aug-2023</v>
      </c>
      <c r="B8256" s="1"/>
    </row>
    <row r="8257">
      <c r="A8257" s="1" t="str">
        <f>IFERROR(__xludf.DUMMYFUNCTION("""COMPUTED_VALUE"""),"119131;INF179K01XW8;-;HDFC Multi-Asset Fund - Growth Option - Direct Plan;59;25-Aug-2023")</f>
        <v>119131;INF179K01XW8;-;HDFC Multi-Asset Fund - Growth Option - Direct Plan;59;25-Aug-2023</v>
      </c>
      <c r="B8257" s="1"/>
    </row>
    <row r="8258">
      <c r="A8258" s="1" t="str">
        <f>IFERROR(__xludf.DUMMYFUNCTION("""COMPUTED_VALUE"""),"103130;INF179K01AN5;INF179K01AO3;HDFC Multi-Asset Fund - IDCW Option;15.138;25-Aug-2023")</f>
        <v>103130;INF179K01AN5;INF179K01AO3;HDFC Multi-Asset Fund - IDCW Option;15.138;25-Aug-2023</v>
      </c>
      <c r="B8258" s="1"/>
    </row>
    <row r="8259">
      <c r="A8259" s="1" t="str">
        <f>IFERROR(__xludf.DUMMYFUNCTION("""COMPUTED_VALUE"""),"119130;INF179K01XU2;INF179K01XV0;HDFC Multi-Asset Fund - IDCW Option - Direct Plan;17.831;25-Aug-2023")</f>
        <v>119130;INF179K01XU2;INF179K01XV0;HDFC Multi-Asset Fund - IDCW Option - Direct Plan;17.831;25-Aug-2023</v>
      </c>
      <c r="B8259" s="1"/>
    </row>
    <row r="8260">
      <c r="A8260" s="1"/>
      <c r="B8260" s="1"/>
    </row>
    <row r="8261">
      <c r="A8261" s="1" t="str">
        <f>IFERROR(__xludf.DUMMYFUNCTION("""COMPUTED_VALUE"""),"ICICI Prudential Mutual Fund")</f>
        <v>ICICI Prudential Mutual Fund</v>
      </c>
      <c r="B8261" s="1"/>
    </row>
    <row r="8262">
      <c r="A8262" s="1"/>
      <c r="B8262" s="1"/>
    </row>
    <row r="8263">
      <c r="A8263" s="1" t="str">
        <f>IFERROR(__xludf.DUMMYFUNCTION("""COMPUTED_VALUE"""),"120334;INF109K015K4;-;ICICI Prudential Multi-Asset Fund - Direct Plan - Growth;580.6125;25-Aug-2023")</f>
        <v>120334;INF109K015K4;-;ICICI Prudential Multi-Asset Fund - Direct Plan - Growth;580.6125;25-Aug-2023</v>
      </c>
      <c r="B8263" s="1"/>
    </row>
    <row r="8264">
      <c r="A8264" s="1" t="str">
        <f>IFERROR(__xludf.DUMMYFUNCTION("""COMPUTED_VALUE"""),"120335;INF109K013K9;INF109K014K7;ICICI Prudential Multi-Asset Fund - Direct Plan - IDCW;42.7444;25-Aug-2023")</f>
        <v>120335;INF109K013K9;INF109K014K7;ICICI Prudential Multi-Asset Fund - Direct Plan - IDCW;42.7444;25-Aug-2023</v>
      </c>
      <c r="B8264" s="1"/>
    </row>
    <row r="8265">
      <c r="A8265" s="1" t="str">
        <f>IFERROR(__xludf.DUMMYFUNCTION("""COMPUTED_VALUE"""),"101144;INF109K01761;-;ICICI Prudential Multi-Asset Fund - Growth;535.3162;25-Aug-2023")</f>
        <v>101144;INF109K01761;-;ICICI Prudential Multi-Asset Fund - Growth;535.3162;25-Aug-2023</v>
      </c>
      <c r="B8265" s="1"/>
    </row>
    <row r="8266">
      <c r="A8266" s="1" t="str">
        <f>IFERROR(__xludf.DUMMYFUNCTION("""COMPUTED_VALUE"""),"101143;INF109K01ED5;INF109K01779;ICICI Prudential Multi-Asset Fund - IDCW;27.1671;25-Aug-2023")</f>
        <v>101143;INF109K01ED5;INF109K01779;ICICI Prudential Multi-Asset Fund - IDCW;27.1671;25-Aug-2023</v>
      </c>
      <c r="B8266" s="1"/>
    </row>
    <row r="8267">
      <c r="A8267" s="1" t="str">
        <f>IFERROR(__xludf.DUMMYFUNCTION("""COMPUTED_VALUE"""),"115269;INF109K01TN2;-;ICICI Prudential Multi-Asset Fund- Institutional Growth Option;22.849;24-Apr-2020")</f>
        <v>115269;INF109K01TN2;-;ICICI Prudential Multi-Asset Fund- Institutional Growth Option;22.849;24-Apr-2020</v>
      </c>
      <c r="B8267" s="1"/>
    </row>
    <row r="8268">
      <c r="A8268" s="1" t="str">
        <f>IFERROR(__xludf.DUMMYFUNCTION("""COMPUTED_VALUE"""),"104898;INF109K01787;-;ICICI Prudential Multi-Asset Fund-Institutional Option - I;43.0129;18-Jun-2018")</f>
        <v>104898;INF109K01787;-;ICICI Prudential Multi-Asset Fund-Institutional Option - I;43.0129;18-Jun-2018</v>
      </c>
      <c r="B8268" s="1"/>
    </row>
    <row r="8269">
      <c r="A8269" s="1"/>
      <c r="B8269" s="1"/>
    </row>
    <row r="8270">
      <c r="A8270" s="1" t="str">
        <f>IFERROR(__xludf.DUMMYFUNCTION("""COMPUTED_VALUE"""),"Motilal Oswal Mutual Fund")</f>
        <v>Motilal Oswal Mutual Fund</v>
      </c>
      <c r="B8270" s="1"/>
    </row>
    <row r="8271">
      <c r="A8271" s="1"/>
      <c r="B8271" s="1"/>
    </row>
    <row r="8272">
      <c r="A8272" s="1" t="str">
        <f>IFERROR(__xludf.DUMMYFUNCTION("""COMPUTED_VALUE"""),"148454;INF247L01AI8;-;Motilal Oswal Multi Asset Fund - Direct Plan - Growth Option;12.7005;25-Aug-2023")</f>
        <v>148454;INF247L01AI8;-;Motilal Oswal Multi Asset Fund - Direct Plan - Growth Option;12.7005;25-Aug-2023</v>
      </c>
      <c r="B8272" s="1"/>
    </row>
    <row r="8273">
      <c r="A8273" s="1" t="str">
        <f>IFERROR(__xludf.DUMMYFUNCTION("""COMPUTED_VALUE"""),"148455;INF247L01AJ6;-;Motilal Oswal Multi Asset Fund - Regular Plan - Growth Option;12.2058;25-Aug-2023")</f>
        <v>148455;INF247L01AJ6;-;Motilal Oswal Multi Asset Fund - Regular Plan - Growth Option;12.2058;25-Aug-2023</v>
      </c>
      <c r="B8273" s="1"/>
    </row>
    <row r="8274">
      <c r="A8274" s="1"/>
      <c r="B8274" s="1"/>
    </row>
    <row r="8275">
      <c r="A8275" s="1" t="str">
        <f>IFERROR(__xludf.DUMMYFUNCTION("""COMPUTED_VALUE"""),"Nippon India Mutual Fund")</f>
        <v>Nippon India Mutual Fund</v>
      </c>
      <c r="B8275" s="1"/>
    </row>
    <row r="8276">
      <c r="A8276" s="1"/>
      <c r="B8276" s="1"/>
    </row>
    <row r="8277">
      <c r="A8277" s="1" t="str">
        <f>IFERROR(__xludf.DUMMYFUNCTION("""COMPUTED_VALUE"""),"148457;INF204KB19V4;-;Nippon India Multi Asset Fund - Direct Plan - Growth Option;15.7044;25-Aug-2023")</f>
        <v>148457;INF204KB19V4;-;Nippon India Multi Asset Fund - Direct Plan - Growth Option;15.7044;25-Aug-2023</v>
      </c>
      <c r="B8277" s="1"/>
    </row>
    <row r="8278">
      <c r="A8278" s="1" t="str">
        <f>IFERROR(__xludf.DUMMYFUNCTION("""COMPUTED_VALUE"""),"148458;INF204KB10W1;INF204KB11W9;NIPPON INDIA MULTI ASSET FUND - DIRECT Plan - IDCW Option;15.7044;25-Aug-2023")</f>
        <v>148458;INF204KB10W1;INF204KB11W9;NIPPON INDIA MULTI ASSET FUND - DIRECT Plan - IDCW Option;15.7044;25-Aug-2023</v>
      </c>
      <c r="B8278" s="1"/>
    </row>
    <row r="8279">
      <c r="A8279" s="1" t="str">
        <f>IFERROR(__xludf.DUMMYFUNCTION("""COMPUTED_VALUE"""),"148460;INF204KB17V8;INF204KB18V6;NIPPON INDIA MULTI ASSET FUND - IDCW Option;15.0343;25-Aug-2023")</f>
        <v>148460;INF204KB17V8;INF204KB18V6;NIPPON INDIA MULTI ASSET FUND - IDCW Option;15.0343;25-Aug-2023</v>
      </c>
      <c r="B8279" s="1"/>
    </row>
    <row r="8280">
      <c r="A8280" s="1" t="str">
        <f>IFERROR(__xludf.DUMMYFUNCTION("""COMPUTED_VALUE"""),"148459;INF204KB16V0;-;Nippon India Multi Asset Fund - Regular Plan - Growth Option;15.0343;25-Aug-2023")</f>
        <v>148459;INF204KB16V0;-;Nippon India Multi Asset Fund - Regular Plan - Growth Option;15.0343;25-Aug-2023</v>
      </c>
      <c r="B8280" s="1"/>
    </row>
    <row r="8281">
      <c r="A8281" s="1"/>
      <c r="B8281" s="1"/>
    </row>
    <row r="8282">
      <c r="A8282" s="1" t="str">
        <f>IFERROR(__xludf.DUMMYFUNCTION("""COMPUTED_VALUE"""),"quant Mutual Fund")</f>
        <v>quant Mutual Fund</v>
      </c>
      <c r="B8282" s="1"/>
    </row>
    <row r="8283">
      <c r="A8283" s="1"/>
      <c r="B8283" s="1"/>
    </row>
    <row r="8284">
      <c r="A8284" s="1" t="str">
        <f>IFERROR(__xludf.DUMMYFUNCTION("""COMPUTED_VALUE"""),"120820;INF966L01564;INF966L01572;quant Multi Asset Fund - IDCW Option - Direct Plan;89.9756;25-Aug-2023")</f>
        <v>120820;INF966L01564;INF966L01572;quant Multi Asset Fund - IDCW Option - Direct Plan;89.9756;25-Aug-2023</v>
      </c>
      <c r="B8284" s="1"/>
    </row>
    <row r="8285">
      <c r="A8285" s="1" t="str">
        <f>IFERROR(__xludf.DUMMYFUNCTION("""COMPUTED_VALUE"""),"101071;INF966L01184;INF966L01192;quant Multi Asset Fund - IDCW Option - Regular Plan;85.555;25-Aug-2023")</f>
        <v>101071;INF966L01184;INF966L01192;quant Multi Asset Fund - IDCW Option - Regular Plan;85.555;25-Aug-2023</v>
      </c>
      <c r="B8285" s="1"/>
    </row>
    <row r="8286">
      <c r="A8286" s="1" t="str">
        <f>IFERROR(__xludf.DUMMYFUNCTION("""COMPUTED_VALUE"""),"101072;INF966L01200;-;quant Multi Asset Fund-GROWTH OPTION - Regular Plan;93.2503;25-Aug-2023")</f>
        <v>101072;INF966L01200;-;quant Multi Asset Fund-GROWTH OPTION - Regular Plan;93.2503;25-Aug-2023</v>
      </c>
      <c r="B8286" s="1"/>
    </row>
    <row r="8287">
      <c r="A8287" s="1" t="str">
        <f>IFERROR(__xludf.DUMMYFUNCTION("""COMPUTED_VALUE"""),"120821;INF966L01580;-;quant Multi Asset Fund-GROWTH OPTION-Direct Plan;97.6194;25-Aug-2023")</f>
        <v>120821;INF966L01580;-;quant Multi Asset Fund-GROWTH OPTION-Direct Plan;97.6194;25-Aug-2023</v>
      </c>
      <c r="B8287" s="1"/>
    </row>
    <row r="8288">
      <c r="A8288" s="1"/>
      <c r="B8288" s="1"/>
    </row>
    <row r="8289">
      <c r="A8289" s="1" t="str">
        <f>IFERROR(__xludf.DUMMYFUNCTION("""COMPUTED_VALUE"""),"SBI Mutual Fund")</f>
        <v>SBI Mutual Fund</v>
      </c>
      <c r="B8289" s="1"/>
    </row>
    <row r="8290">
      <c r="A8290" s="1"/>
      <c r="B8290" s="1"/>
    </row>
    <row r="8291">
      <c r="A8291" s="1" t="str">
        <f>IFERROR(__xludf.DUMMYFUNCTION("""COMPUTED_VALUE"""),"119840;INF200K01TX8;INF200K01TY6;SBI Multi Asset Allocation Fund - Direct Plan - Annual Income Distribution cum Capital Withdrawal Option (IDCW);27.2416;25-Aug-2023")</f>
        <v>119840;INF200K01TX8;INF200K01TY6;SBI Multi Asset Allocation Fund - Direct Plan - Annual Income Distribution cum Capital Withdrawal Option (IDCW);27.2416;25-Aug-2023</v>
      </c>
      <c r="B8291" s="1"/>
    </row>
    <row r="8292">
      <c r="A8292" s="1" t="str">
        <f>IFERROR(__xludf.DUMMYFUNCTION("""COMPUTED_VALUE"""),"119843;INF200K01TZ3;-;SBI MULTI ASSET ALLOCATION FUND - DIRECT PLAN - GROWTH;47.8121;25-Aug-2023")</f>
        <v>119843;INF200K01TZ3;-;SBI MULTI ASSET ALLOCATION FUND - DIRECT PLAN - GROWTH;47.8121;25-Aug-2023</v>
      </c>
      <c r="B8292" s="1"/>
    </row>
    <row r="8293">
      <c r="A8293" s="1" t="str">
        <f>IFERROR(__xludf.DUMMYFUNCTION("""COMPUTED_VALUE"""),"119841;INF200K01UA4;INF200K01UB2;SBI Multi Asset Allocation Fund - Direct Plan - Monthly Income Distribution cum Capital Withdrawal Option (IDCW);21.4695;25-Aug-2023")</f>
        <v>119841;INF200K01UA4;INF200K01UB2;SBI Multi Asset Allocation Fund - Direct Plan - Monthly Income Distribution cum Capital Withdrawal Option (IDCW);21.4695;25-Aug-2023</v>
      </c>
      <c r="B8293" s="1"/>
    </row>
    <row r="8294">
      <c r="A8294" s="1" t="str">
        <f>IFERROR(__xludf.DUMMYFUNCTION("""COMPUTED_VALUE"""),"119842;INF200K01UC0;INF200K01UD8;SBI Multi Asset Allocation Fund - Direct Plan - Quarterly Income Distribution cum Capital Withdrawal Option (IDCW);22.7105;25-Aug-2023")</f>
        <v>119842;INF200K01UC0;INF200K01UD8;SBI Multi Asset Allocation Fund - Direct Plan - Quarterly Income Distribution cum Capital Withdrawal Option (IDCW);22.7105;25-Aug-2023</v>
      </c>
      <c r="B8294" s="1"/>
    </row>
    <row r="8295">
      <c r="A8295" s="1" t="str">
        <f>IFERROR(__xludf.DUMMYFUNCTION("""COMPUTED_VALUE"""),"103409;INF200K01784;INF200K01792;SBI Multi Asset Allocation Fund - Regular Plan - Annual Income Distribution cum Capital Withdrawal Option (IDCW);24.8025;25-Aug-2023")</f>
        <v>103409;INF200K01784;INF200K01792;SBI Multi Asset Allocation Fund - Regular Plan - Annual Income Distribution cum Capital Withdrawal Option (IDCW);24.8025;25-Aug-2023</v>
      </c>
      <c r="B8295" s="1"/>
    </row>
    <row r="8296">
      <c r="A8296" s="1" t="str">
        <f>IFERROR(__xludf.DUMMYFUNCTION("""COMPUTED_VALUE"""),"103408;INF200K01800;-;SBI MULTI ASSET ALLOCATION FUND - REGULAR PLAN - GROWTH;43.8673;25-Aug-2023")</f>
        <v>103408;INF200K01800;-;SBI MULTI ASSET ALLOCATION FUND - REGULAR PLAN - GROWTH;43.8673;25-Aug-2023</v>
      </c>
      <c r="B8296" s="1"/>
    </row>
    <row r="8297">
      <c r="A8297" s="1" t="str">
        <f>IFERROR(__xludf.DUMMYFUNCTION("""COMPUTED_VALUE"""),"103400;INF200K01818;INF200K01826;SBI Multi Asset Allocation Fund - Regular Plan - Monthly Income Distribution cum Capital Withdrawal Option (IDCW);19.6151;25-Aug-2023")</f>
        <v>103400;INF200K01818;INF200K01826;SBI Multi Asset Allocation Fund - Regular Plan - Monthly Income Distribution cum Capital Withdrawal Option (IDCW);19.6151;25-Aug-2023</v>
      </c>
      <c r="B8297" s="1"/>
    </row>
    <row r="8298">
      <c r="A8298" s="1" t="str">
        <f>IFERROR(__xludf.DUMMYFUNCTION("""COMPUTED_VALUE"""),"103401;INF200K01834;INF200K01842;SBI Multi Asset Allocation Fund - Regular Plan - Quarterly Income Distribution cum Capital Withdrawal Option (IDCW);19.5964;25-Aug-2023")</f>
        <v>103401;INF200K01834;INF200K01842;SBI Multi Asset Allocation Fund - Regular Plan - Quarterly Income Distribution cum Capital Withdrawal Option (IDCW);19.5964;25-Aug-2023</v>
      </c>
      <c r="B8298" s="1"/>
    </row>
    <row r="8299">
      <c r="A8299" s="1"/>
      <c r="B8299" s="1"/>
    </row>
    <row r="8300">
      <c r="A8300" s="1" t="str">
        <f>IFERROR(__xludf.DUMMYFUNCTION("""COMPUTED_VALUE"""),"Tata Mutual Fund")</f>
        <v>Tata Mutual Fund</v>
      </c>
      <c r="B8300" s="1"/>
    </row>
    <row r="8301">
      <c r="A8301" s="1"/>
      <c r="B8301" s="1"/>
    </row>
    <row r="8302">
      <c r="A8302" s="1" t="str">
        <f>IFERROR(__xludf.DUMMYFUNCTION("""COMPUTED_VALUE"""),"148052;-;INF277K010Z9;Tata Multi Asset Opportnities Fund-Direct Plan-Dividend Reinvestment;18.8274;25-Aug-2023")</f>
        <v>148052;-;INF277K010Z9;Tata Multi Asset Opportnities Fund-Direct Plan-Dividend Reinvestment;18.8274;25-Aug-2023</v>
      </c>
      <c r="B8302" s="1"/>
    </row>
    <row r="8303">
      <c r="A8303" s="1" t="str">
        <f>IFERROR(__xludf.DUMMYFUNCTION("""COMPUTED_VALUE"""),"148049;INF277K011Z7;-;Tata Multi Asset Opportunities Fund-Direct Plan-Dividend Payout;18.8274;25-Aug-2023")</f>
        <v>148049;INF277K011Z7;-;Tata Multi Asset Opportunities Fund-Direct Plan-Dividend Payout;18.8274;25-Aug-2023</v>
      </c>
      <c r="B8303" s="1"/>
    </row>
    <row r="8304">
      <c r="A8304" s="1" t="str">
        <f>IFERROR(__xludf.DUMMYFUNCTION("""COMPUTED_VALUE"""),"148053;INF277K019Y3;-;Tata Multi Asset Opportunities Fund-Direct Plan-Growth;18.8274;25-Aug-2023")</f>
        <v>148053;INF277K019Y3;-;Tata Multi Asset Opportunities Fund-Direct Plan-Growth;18.8274;25-Aug-2023</v>
      </c>
      <c r="B8304" s="1"/>
    </row>
    <row r="8305">
      <c r="A8305" s="1" t="str">
        <f>IFERROR(__xludf.DUMMYFUNCTION("""COMPUTED_VALUE"""),"148054;INF277K014Z1;-;Tata Multi Asset Opportunities Fund-Regular Plan-Dividend Payout;17.6836;25-Aug-2023")</f>
        <v>148054;INF277K014Z1;-;Tata Multi Asset Opportunities Fund-Regular Plan-Dividend Payout;17.6836;25-Aug-2023</v>
      </c>
      <c r="B8305" s="1"/>
    </row>
    <row r="8306">
      <c r="A8306" s="1" t="str">
        <f>IFERROR(__xludf.DUMMYFUNCTION("""COMPUTED_VALUE"""),"148051;-;INF277K013Z3;Tata Multi Asset Opportunities Fund-Regular Plan-Dividend Reinvestment;17.6836;25-Aug-2023")</f>
        <v>148051;-;INF277K013Z3;Tata Multi Asset Opportunities Fund-Regular Plan-Dividend Reinvestment;17.6836;25-Aug-2023</v>
      </c>
      <c r="B8306" s="1"/>
    </row>
    <row r="8307">
      <c r="A8307" s="1" t="str">
        <f>IFERROR(__xludf.DUMMYFUNCTION("""COMPUTED_VALUE"""),"148050;INF277K012Z5;-;Tata Multi Asset Opportunities Fund-Regular Plan-Growth;17.6836;25-Aug-2023")</f>
        <v>148050;INF277K012Z5;-;Tata Multi Asset Opportunities Fund-Regular Plan-Growth;17.6836;25-Aug-2023</v>
      </c>
      <c r="B8307" s="1"/>
    </row>
    <row r="8308">
      <c r="A8308" s="1"/>
      <c r="B8308" s="1"/>
    </row>
    <row r="8309">
      <c r="A8309" s="1" t="str">
        <f>IFERROR(__xludf.DUMMYFUNCTION("""COMPUTED_VALUE"""),"UTI Mutual Fund")</f>
        <v>UTI Mutual Fund</v>
      </c>
      <c r="B8309" s="1"/>
    </row>
    <row r="8310">
      <c r="A8310" s="1"/>
      <c r="B8310" s="1"/>
    </row>
    <row r="8311">
      <c r="A8311" s="1" t="str">
        <f>IFERROR(__xludf.DUMMYFUNCTION("""COMPUTED_VALUE"""),"111599;INF789F01AP6;-;UTI - Multi Asset Fund - Regular Plan - Growth Option;51.1093;25-Aug-2023")</f>
        <v>111599;INF789F01AP6;-;UTI - Multi Asset Fund - Regular Plan - Growth Option;51.1093;25-Aug-2023</v>
      </c>
      <c r="B8311" s="1"/>
    </row>
    <row r="8312">
      <c r="A8312" s="1" t="str">
        <f>IFERROR(__xludf.DUMMYFUNCTION("""COMPUTED_VALUE"""),"120760;INF789F01VE6;-;UTI - Multi Asset Fund- Direct Plan - Growth Option;55.5787;25-Aug-2023")</f>
        <v>120760;INF789F01VE6;-;UTI - Multi Asset Fund- Direct Plan - Growth Option;55.5787;25-Aug-2023</v>
      </c>
      <c r="B8312" s="1"/>
    </row>
    <row r="8313">
      <c r="A8313" s="1" t="str">
        <f>IFERROR(__xludf.DUMMYFUNCTION("""COMPUTED_VALUE"""),"120761;INF789F01VC0;INF789F01VD8;UTI Multi Asset Fund - Direct Plan - IDCW;24.018;25-Aug-2023")</f>
        <v>120761;INF789F01VC0;INF789F01VD8;UTI Multi Asset Fund - Direct Plan - IDCW;24.018;25-Aug-2023</v>
      </c>
      <c r="B8313" s="1"/>
    </row>
    <row r="8314">
      <c r="A8314" s="1" t="str">
        <f>IFERROR(__xludf.DUMMYFUNCTION("""COMPUTED_VALUE"""),"111602;INF789F01AN1;INF789F01AO9;UTI Multi Asset Fund - Regular Plan - IDCW;21.3517;25-Aug-2023")</f>
        <v>111602;INF789F01AN1;INF789F01AO9;UTI Multi Asset Fund - Regular Plan - IDCW;21.3517;25-Aug-2023</v>
      </c>
      <c r="B8314" s="1"/>
    </row>
    <row r="8315">
      <c r="A8315" s="1"/>
      <c r="B8315" s="1"/>
    </row>
    <row r="8316">
      <c r="A8316" s="1" t="str">
        <f>IFERROR(__xludf.DUMMYFUNCTION("""COMPUTED_VALUE"""),"WhiteOak Capital Mutual Fund")</f>
        <v>WhiteOak Capital Mutual Fund</v>
      </c>
      <c r="B8316" s="1"/>
    </row>
    <row r="8317">
      <c r="A8317" s="1"/>
      <c r="B8317" s="1"/>
    </row>
    <row r="8318">
      <c r="A8318" s="1" t="str">
        <f>IFERROR(__xludf.DUMMYFUNCTION("""COMPUTED_VALUE"""),"151745;INF03VN01761;-;WhiteOak Capital Multi Asset Allocation Fund Direct Plan Growth;10.354;25-Aug-2023")</f>
        <v>151745;INF03VN01761;-;WhiteOak Capital Multi Asset Allocation Fund Direct Plan Growth;10.354;25-Aug-2023</v>
      </c>
      <c r="B8318" s="1"/>
    </row>
    <row r="8319">
      <c r="A8319" s="1" t="str">
        <f>IFERROR(__xludf.DUMMYFUNCTION("""COMPUTED_VALUE"""),"151746;INF03VN01779;-;WhiteOak Capital Multi Asset Allocation Fund Regular Plan Growth;10.322;25-Aug-2023")</f>
        <v>151746;INF03VN01779;-;WhiteOak Capital Multi Asset Allocation Fund Regular Plan Growth;10.322;25-Aug-2023</v>
      </c>
      <c r="B8319" s="1"/>
    </row>
    <row r="8320">
      <c r="A8320" s="1"/>
      <c r="B8320" s="1"/>
    </row>
    <row r="8321">
      <c r="A8321" s="1" t="str">
        <f>IFERROR(__xludf.DUMMYFUNCTION("""COMPUTED_VALUE"""),"Open Ended Schemes(Income)")</f>
        <v>Open Ended Schemes(Income)</v>
      </c>
      <c r="B8321" s="1"/>
    </row>
    <row r="8322">
      <c r="A8322" s="1"/>
      <c r="B8322" s="1"/>
    </row>
    <row r="8323">
      <c r="A8323" s="1" t="str">
        <f>IFERROR(__xludf.DUMMYFUNCTION("""COMPUTED_VALUE"""),"ICICI Prudential Mutual Fund")</f>
        <v>ICICI Prudential Mutual Fund</v>
      </c>
      <c r="B8323" s="1"/>
    </row>
    <row r="8324">
      <c r="A8324" s="1"/>
      <c r="B8324" s="1"/>
    </row>
    <row r="8325">
      <c r="A8325" s="1" t="str">
        <f>IFERROR(__xludf.DUMMYFUNCTION("""COMPUTED_VALUE"""),"103062;INF109K01EA1;INF109K01AQ5;ICICI Prudential Blended Plan B -  Dividend Option - I;15.0425;07-Oct-2016")</f>
        <v>103062;INF109K01EA1;INF109K01AQ5;ICICI Prudential Blended Plan B -  Dividend Option - I;15.0425;07-Oct-2016</v>
      </c>
      <c r="B8325" s="1"/>
    </row>
    <row r="8326">
      <c r="A8326" s="1" t="str">
        <f>IFERROR(__xludf.DUMMYFUNCTION("""COMPUTED_VALUE"""),"103061;INF109K01AR3;-;ICICI Prudential Blended Plan B -  Growth Option - I;23.9631;07-Oct-2016")</f>
        <v>103061;INF109K01AR3;-;ICICI Prudential Blended Plan B -  Growth Option - I;23.9631;07-Oct-2016</v>
      </c>
      <c r="B8326" s="1"/>
    </row>
    <row r="8327">
      <c r="A8327" s="1" t="str">
        <f>IFERROR(__xludf.DUMMYFUNCTION("""COMPUTED_VALUE"""),"114376;INF109K01VV1;INF109K01ID6;ICICI Prudential Blended Plan B -  Monthly Dividend Option - I;10.2660;07-Oct-2016")</f>
        <v>114376;INF109K01VV1;INF109K01ID6;ICICI Prudential Blended Plan B -  Monthly Dividend Option - I;10.2660;07-Oct-2016</v>
      </c>
      <c r="B8327" s="1"/>
    </row>
    <row r="8328">
      <c r="A8328" s="1" t="str">
        <f>IFERROR(__xludf.DUMMYFUNCTION("""COMPUTED_VALUE"""),"114238;INF109K01VW9;-;ICICI Prudential Blended Plan B - Daily Dividend Option - I;12.4926;07-Oct-2016")</f>
        <v>114238;INF109K01VW9;-;ICICI Prudential Blended Plan B - Daily Dividend Option - I;12.4926;07-Oct-2016</v>
      </c>
      <c r="B8328" s="1"/>
    </row>
    <row r="8329">
      <c r="A8329" s="1" t="str">
        <f>IFERROR(__xludf.DUMMYFUNCTION("""COMPUTED_VALUE"""),"120302;INF109K015J6;INF109K016J4;ICICI Prudential Blended Plan B - Direct Plan -  Dividend Option - I;17.7362;07-Oct-2016")</f>
        <v>120302;INF109K015J6;INF109K016J4;ICICI Prudential Blended Plan B - Direct Plan -  Dividend Option - I;17.7362;07-Oct-2016</v>
      </c>
      <c r="B8329" s="1"/>
    </row>
    <row r="8330">
      <c r="A8330" s="1" t="str">
        <f>IFERROR(__xludf.DUMMYFUNCTION("""COMPUTED_VALUE"""),"120300;INF109K017J2;-;ICICI Prudential Blended Plan B - Direct Plan -  Growth Option - I;24.0808;07-Oct-2016")</f>
        <v>120300;INF109K017J2;-;ICICI Prudential Blended Plan B - Direct Plan -  Growth Option - I;24.0808;07-Oct-2016</v>
      </c>
      <c r="B8330" s="1"/>
    </row>
    <row r="8331">
      <c r="A8331" s="1" t="str">
        <f>IFERROR(__xludf.DUMMYFUNCTION("""COMPUTED_VALUE"""),"120301;INF109K018J0;INF109K019J8;ICICI Prudential Blended Plan B - Direct Plan -  Monthly Dividend Option - I;10.3063;07-Oct-2016")</f>
        <v>120301;INF109K018J0;INF109K019J8;ICICI Prudential Blended Plan B - Direct Plan -  Monthly Dividend Option - I;10.3063;07-Oct-2016</v>
      </c>
      <c r="B8331" s="1"/>
    </row>
    <row r="8332">
      <c r="A8332" s="1" t="str">
        <f>IFERROR(__xludf.DUMMYFUNCTION("""COMPUTED_VALUE"""),"131150;INF109KA1M54;INF109KA1M47;ICICI Prudential Blended Plan B - Direct Plan - Half Yearly Dividend Option - I;10.0227;26-Sep-2014")</f>
        <v>131150;INF109KA1M54;INF109KA1M47;ICICI Prudential Blended Plan B - Direct Plan - Half Yearly Dividend Option - I;10.0227;26-Sep-2014</v>
      </c>
      <c r="B8332" s="1"/>
    </row>
    <row r="8333">
      <c r="A8333" s="1" t="str">
        <f>IFERROR(__xludf.DUMMYFUNCTION("""COMPUTED_VALUE"""),"123542;INF109KA1CK7;INF109KA1CJ9;ICICI Prudential Blended Plan B - Direct Plan - Quarterly Dividend Option - I;10.7000;07-Oct-2016")</f>
        <v>123542;INF109KA1CK7;INF109KA1CJ9;ICICI Prudential Blended Plan B - Direct Plan - Quarterly Dividend Option - I;10.7000;07-Oct-2016</v>
      </c>
      <c r="B8333" s="1"/>
    </row>
    <row r="8334">
      <c r="A8334" s="1" t="str">
        <f>IFERROR(__xludf.DUMMYFUNCTION("""COMPUTED_VALUE"""),"131149;INF109KA1M39;INF109KA1M21;ICICI Prudential Blended Plan B - Half Yearly Dividend Option - I;10.3661;07-Oct-2016")</f>
        <v>131149;INF109KA1M39;INF109KA1M21;ICICI Prudential Blended Plan B - Half Yearly Dividend Option - I;10.3661;07-Oct-2016</v>
      </c>
      <c r="B8334" s="1"/>
    </row>
    <row r="8335">
      <c r="A8335" s="1" t="str">
        <f>IFERROR(__xludf.DUMMYFUNCTION("""COMPUTED_VALUE"""),"132979;INF109KA1392;-;ICICI Prudential Blended Plan B - option I-Bonus;11.9703;07-Oct-2016")</f>
        <v>132979;INF109KA1392;-;ICICI Prudential Blended Plan B - option I-Bonus;11.9703;07-Oct-2016</v>
      </c>
      <c r="B8335" s="1"/>
    </row>
    <row r="8336">
      <c r="A8336" s="1" t="str">
        <f>IFERROR(__xludf.DUMMYFUNCTION("""COMPUTED_VALUE"""),"120303;INF109K014J9;-;ICICI Prudential Blended Plan B-Direct Plan -  Daily Dividend Option - I;12.0320;07-Oct-2016")</f>
        <v>120303;INF109K014J9;-;ICICI Prudential Blended Plan B-Direct Plan -  Daily Dividend Option - I;12.0320;07-Oct-2016</v>
      </c>
      <c r="B8336" s="1"/>
    </row>
    <row r="8337">
      <c r="A8337" s="1" t="str">
        <f>IFERROR(__xludf.DUMMYFUNCTION("""COMPUTED_VALUE"""),"101098;INF109K01597;-;ICICI Prudential Child Care Plan Study - Cumulative;69.6122;25-May-2018")</f>
        <v>101098;INF109K01597;-;ICICI Prudential Child Care Plan Study - Cumulative;69.6122;25-May-2018</v>
      </c>
      <c r="B8337" s="1"/>
    </row>
    <row r="8338">
      <c r="A8338" s="1" t="str">
        <f>IFERROR(__xludf.DUMMYFUNCTION("""COMPUTED_VALUE"""),"120691;INF109K01Y56;-;ICICI Prudential Child Care Plan Study - Direct Plan- Cumulative;72.4243;25-May-2018")</f>
        <v>120691;INF109K01Y56;-;ICICI Prudential Child Care Plan Study - Direct Plan- Cumulative;72.4243;25-May-2018</v>
      </c>
      <c r="B8338" s="1"/>
    </row>
    <row r="8339">
      <c r="A8339" s="1" t="str">
        <f>IFERROR(__xludf.DUMMYFUNCTION("""COMPUTED_VALUE"""),"131621;INF109KA15C5;INF109KA14C8;ICICI Prudential Dynamic Bond Fund - Annual Dividend;10.6484;25-May-2018")</f>
        <v>131621;INF109KA15C5;INF109KA14C8;ICICI Prudential Dynamic Bond Fund - Annual Dividend;10.6484;25-May-2018</v>
      </c>
      <c r="B8339" s="1"/>
    </row>
    <row r="8340">
      <c r="A8340" s="1" t="str">
        <f>IFERROR(__xludf.DUMMYFUNCTION("""COMPUTED_VALUE"""),"122613;INF109KA1350;-;ICICI Prudential Dynamic Bond Fund - Bonus;19.6984;25-May-2018")</f>
        <v>122613;INF109KA1350;-;ICICI Prudential Dynamic Bond Fund - Bonus;19.6984;25-May-2018</v>
      </c>
      <c r="B8340" s="1"/>
    </row>
    <row r="8341">
      <c r="A8341" s="1" t="str">
        <f>IFERROR(__xludf.DUMMYFUNCTION("""COMPUTED_VALUE"""),"113055;INF109K01PJ8;-;ICICI Prudential Dynamic Bond Fund - Daily Dividend;10.0171;25-May-2018")</f>
        <v>113055;INF109K01PJ8;-;ICICI Prudential Dynamic Bond Fund - Daily Dividend;10.0171;25-May-2018</v>
      </c>
      <c r="B8341" s="1"/>
    </row>
    <row r="8342">
      <c r="A8342" s="1" t="str">
        <f>IFERROR(__xludf.DUMMYFUNCTION("""COMPUTED_VALUE"""),"120584;INF109K016K2;-;ICICI Prudential Dynamic Bond Fund - Direct Plan -  Daily Dividend;10.5669;25-May-2018")</f>
        <v>120584;INF109K016K2;-;ICICI Prudential Dynamic Bond Fund - Direct Plan -  Daily Dividend;10.5669;25-May-2018</v>
      </c>
      <c r="B8342" s="1"/>
    </row>
    <row r="8343">
      <c r="A8343" s="1" t="str">
        <f>IFERROR(__xludf.DUMMYFUNCTION("""COMPUTED_VALUE"""),"120582;INF109K017K0;-;ICICI Prudential Dynamic Bond Fund - Direct Plan -  Growth;20.4250;25-May-2018")</f>
        <v>120582;INF109K017K0;-;ICICI Prudential Dynamic Bond Fund - Direct Plan -  Growth;20.4250;25-May-2018</v>
      </c>
      <c r="B8343" s="1"/>
    </row>
    <row r="8344">
      <c r="A8344" s="1" t="str">
        <f>IFERROR(__xludf.DUMMYFUNCTION("""COMPUTED_VALUE"""),"120581;INF109K018K8;INF109K019K6;ICICI Prudential Dynamic Bond Fund - Direct Plan -  Half Yearly Dividend;10.2129;25-May-2018")</f>
        <v>120581;INF109K018K8;INF109K019K6;ICICI Prudential Dynamic Bond Fund - Direct Plan -  Half Yearly Dividend;10.2129;25-May-2018</v>
      </c>
      <c r="B8344" s="1"/>
    </row>
    <row r="8345">
      <c r="A8345" s="1" t="str">
        <f>IFERROR(__xludf.DUMMYFUNCTION("""COMPUTED_VALUE"""),"120580;INF109K010L3;INF109K011L1;ICICI Prudential Dynamic Bond Fund - Direct Plan -  Monthly Dividend;10.4618;25-May-2018")</f>
        <v>120580;INF109K010L3;INF109K011L1;ICICI Prudential Dynamic Bond Fund - Direct Plan -  Monthly Dividend;10.4618;25-May-2018</v>
      </c>
      <c r="B8345" s="1"/>
    </row>
    <row r="8346">
      <c r="A8346" s="1" t="str">
        <f>IFERROR(__xludf.DUMMYFUNCTION("""COMPUTED_VALUE"""),"131620;INF109KA17C1;INF109KA16C3;ICICI Prudential Dynamic Bond Fund - Direct Plan - Annual Dividend;10.6164;25-May-2018")</f>
        <v>131620;INF109KA17C1;INF109KA16C3;ICICI Prudential Dynamic Bond Fund - Direct Plan - Annual Dividend;10.6164;25-May-2018</v>
      </c>
      <c r="B8346" s="1"/>
    </row>
    <row r="8347">
      <c r="A8347" s="1" t="str">
        <f>IFERROR(__xludf.DUMMYFUNCTION("""COMPUTED_VALUE"""),"131199;INF109KA1343;-;ICICI Prudential Dynamic Bond Fund - Direct Plan - Bonus Option;20.2300;25-May-2018")</f>
        <v>131199;INF109KA1343;-;ICICI Prudential Dynamic Bond Fund - Direct Plan - Bonus Option;20.2300;25-May-2018</v>
      </c>
      <c r="B8347" s="1"/>
    </row>
    <row r="8348">
      <c r="A8348" s="1" t="str">
        <f>IFERROR(__xludf.DUMMYFUNCTION("""COMPUTED_VALUE"""),"120583;INF109K012L9;INF109K013L7;ICICI Prudential Dynamic Bond Fund - Direct Plan - Quarterly Dividend;10.4779;25-May-2018")</f>
        <v>120583;INF109K012L9;INF109K013L7;ICICI Prudential Dynamic Bond Fund - Direct Plan - Quarterly Dividend;10.4779;25-May-2018</v>
      </c>
      <c r="B8348" s="1"/>
    </row>
    <row r="8349">
      <c r="A8349" s="1" t="str">
        <f>IFERROR(__xludf.DUMMYFUNCTION("""COMPUTED_VALUE"""),"111996;INF109K01CB3;-;ICICI Prudential Dynamic Bond Fund - Growth;19.6985;25-May-2018")</f>
        <v>111996;INF109K01CB3;-;ICICI Prudential Dynamic Bond Fund - Growth;19.6985;25-May-2018</v>
      </c>
      <c r="B8349" s="1"/>
    </row>
    <row r="8350">
      <c r="A8350" s="1" t="str">
        <f>IFERROR(__xludf.DUMMYFUNCTION("""COMPUTED_VALUE"""),"112005;INF109K01PK6;INF109K01IY2;ICICI Prudential Dynamic Bond Fund - Half Yearly Dividend;10.2388;25-May-2018")</f>
        <v>112005;INF109K01PK6;INF109K01IY2;ICICI Prudential Dynamic Bond Fund - Half Yearly Dividend;10.2388;25-May-2018</v>
      </c>
      <c r="B8350" s="1"/>
    </row>
    <row r="8351">
      <c r="A8351" s="1" t="str">
        <f>IFERROR(__xludf.DUMMYFUNCTION("""COMPUTED_VALUE"""),"111997;INF109K01FE0;INF109K01CC1;ICICI Prudential Dynamic Bond Fund - Monthly Dividend;10.9656;25-May-2018")</f>
        <v>111997;INF109K01FE0;INF109K01CC1;ICICI Prudential Dynamic Bond Fund - Monthly Dividend;10.9656;25-May-2018</v>
      </c>
      <c r="B8351" s="1"/>
    </row>
    <row r="8352">
      <c r="A8352" s="1" t="str">
        <f>IFERROR(__xludf.DUMMYFUNCTION("""COMPUTED_VALUE"""),"112002;INF109K01RW7;-;ICICI Prudential Dynamic Bond Fund - Premium Plus Growth;20.7632;25-May-2018")</f>
        <v>112002;INF109K01RW7;-;ICICI Prudential Dynamic Bond Fund - Premium Plus Growth;20.7632;25-May-2018</v>
      </c>
      <c r="B8352" s="1"/>
    </row>
    <row r="8353">
      <c r="A8353" s="1" t="str">
        <f>IFERROR(__xludf.DUMMYFUNCTION("""COMPUTED_VALUE"""),"111998;INF109K01FF7;INF109K01CD9;ICICI Prudential Dynamic Bond Fund - Quarterly Dividend;10.4080;25-May-2018")</f>
        <v>111998;INF109K01FF7;INF109K01CD9;ICICI Prudential Dynamic Bond Fund - Quarterly Dividend;10.4080;25-May-2018</v>
      </c>
      <c r="B8353" s="1"/>
    </row>
    <row r="8354">
      <c r="A8354" s="1" t="str">
        <f>IFERROR(__xludf.DUMMYFUNCTION("""COMPUTED_VALUE"""),"106290;INF109K01KM3;-;ICICI Prudential Interval Fund - Annual Interval Plan I - Retail Dividend;10.7894;26-Sep-2017")</f>
        <v>106290;INF109K01KM3;-;ICICI Prudential Interval Fund - Annual Interval Plan I - Retail Dividend;10.7894;26-Sep-2017</v>
      </c>
      <c r="B8354" s="1"/>
    </row>
    <row r="8355">
      <c r="A8355" s="1" t="str">
        <f>IFERROR(__xludf.DUMMYFUNCTION("""COMPUTED_VALUE"""),"106292;INF109K01KL5;-;ICICI Prudential Interval Fund - Annual Interval Plan I - Retail Growth;22.5035;26-Sep-2017")</f>
        <v>106292;INF109K01KL5;-;ICICI Prudential Interval Fund - Annual Interval Plan I - Retail Growth;22.5035;26-Sep-2017</v>
      </c>
      <c r="B8355" s="1"/>
    </row>
    <row r="8356">
      <c r="A8356" s="1" t="str">
        <f>IFERROR(__xludf.DUMMYFUNCTION("""COMPUTED_VALUE"""),"130958;INF109KA1C80;-;ICICI Prudential Interval Fund Annual Interval Plan - I - Direct Plan Bonus;12.6280;26-Sep-2017")</f>
        <v>130958;INF109KA1C80;-;ICICI Prudential Interval Fund Annual Interval Plan - I - Direct Plan Bonus;12.6280;26-Sep-2017</v>
      </c>
      <c r="B8356" s="1"/>
    </row>
    <row r="8357">
      <c r="A8357" s="1" t="str">
        <f>IFERROR(__xludf.DUMMYFUNCTION("""COMPUTED_VALUE"""),"106291;INF109K01KN1;-;ICICI Prudential Interval Fund Annual Interval Plan I -  Growth;17.9830;26-Sep-2017")</f>
        <v>106291;INF109K01KN1;-;ICICI Prudential Interval Fund Annual Interval Plan I -  Growth;17.9830;26-Sep-2017</v>
      </c>
      <c r="B8357" s="1"/>
    </row>
    <row r="8358">
      <c r="A8358" s="1" t="str">
        <f>IFERROR(__xludf.DUMMYFUNCTION("""COMPUTED_VALUE"""),"120625;INF109K01K45;-;ICICI Prudential Interval Fund Annual Interval Plan I - Direct Plan -  Growth;18.0131;26-Sep-2017")</f>
        <v>120625;INF109K01K45;-;ICICI Prudential Interval Fund Annual Interval Plan I - Direct Plan -  Growth;18.0131;26-Sep-2017</v>
      </c>
      <c r="B8358" s="1"/>
    </row>
    <row r="8359">
      <c r="A8359" s="1" t="str">
        <f>IFERROR(__xludf.DUMMYFUNCTION("""COMPUTED_VALUE"""),"106293;INF109K01KO9;-;ICICI Prudential Interval Fund Annual Interval Plan I - Dividend;10.8172;26-Sep-2017")</f>
        <v>106293;INF109K01KO9;-;ICICI Prudential Interval Fund Annual Interval Plan I - Dividend;10.8172;26-Sep-2017</v>
      </c>
      <c r="B8359" s="1"/>
    </row>
    <row r="8360">
      <c r="A8360" s="1" t="str">
        <f>IFERROR(__xludf.DUMMYFUNCTION("""COMPUTED_VALUE"""),"106762;INF109K01KQ4;-;ICICI Prudential Interval Fund - Annual Interval Plan II - Retail Dividend;11.9883;14-Nov-2017")</f>
        <v>106762;INF109K01KQ4;-;ICICI Prudential Interval Fund - Annual Interval Plan II - Retail Dividend;11.9883;14-Nov-2017</v>
      </c>
      <c r="B8360" s="1"/>
    </row>
    <row r="8361">
      <c r="A8361" s="1" t="str">
        <f>IFERROR(__xludf.DUMMYFUNCTION("""COMPUTED_VALUE"""),"106763;INF109K01KP6;-;ICICI Prudential Interval Fund - Annual Interval Plan II - Retail Growth;22.6497;14-Nov-2017")</f>
        <v>106763;INF109K01KP6;-;ICICI Prudential Interval Fund - Annual Interval Plan II - Retail Growth;22.6497;14-Nov-2017</v>
      </c>
      <c r="B8361" s="1"/>
    </row>
    <row r="8362">
      <c r="A8362" s="1" t="str">
        <f>IFERROR(__xludf.DUMMYFUNCTION("""COMPUTED_VALUE"""),"120627;INF109K01K60;-;ICICI Prudential Interval Fund Annual Interval Plan II - Direct Plan -  Growth;23.4449;14-Nov-2017")</f>
        <v>120627;INF109K01K60;-;ICICI Prudential Interval Fund Annual Interval Plan II - Direct Plan -  Growth;23.4449;14-Nov-2017</v>
      </c>
      <c r="B8362" s="1"/>
    </row>
    <row r="8363">
      <c r="A8363" s="1" t="str">
        <f>IFERROR(__xludf.DUMMYFUNCTION("""COMPUTED_VALUE"""),"106760;INF109K01KS0;-;ICICI Prudential Interval Fund Annual Interval Plan II - Dividend;11.8549;21-Oct-2013")</f>
        <v>106760;INF109K01KS0;-;ICICI Prudential Interval Fund Annual Interval Plan II - Dividend;11.8549;21-Oct-2013</v>
      </c>
      <c r="B8363" s="1"/>
    </row>
    <row r="8364">
      <c r="A8364" s="1" t="str">
        <f>IFERROR(__xludf.DUMMYFUNCTION("""COMPUTED_VALUE"""),"106761;INF109K01KR2;-;ICICI Prudential Interval Fund Annual Interval Plan II - Growth;23.3622;14-Nov-2017")</f>
        <v>106761;INF109K01KR2;-;ICICI Prudential Interval Fund Annual Interval Plan II - Growth;23.3622;14-Nov-2017</v>
      </c>
      <c r="B8364" s="1"/>
    </row>
    <row r="8365">
      <c r="A8365" s="1" t="str">
        <f>IFERROR(__xludf.DUMMYFUNCTION("""COMPUTED_VALUE"""),"106778;INF109K01KU6;-;ICICI Prudential Interval Fund - Annual Interval Plan III - Retail Dividend;11.7874;21-Nov-2017")</f>
        <v>106778;INF109K01KU6;-;ICICI Prudential Interval Fund - Annual Interval Plan III - Retail Dividend;11.7874;21-Nov-2017</v>
      </c>
      <c r="B8365" s="1"/>
    </row>
    <row r="8366">
      <c r="A8366" s="1" t="str">
        <f>IFERROR(__xludf.DUMMYFUNCTION("""COMPUTED_VALUE"""),"106777;INF109K01KT8;-;ICICI Prudential Interval Fund - Annual Interval Plan III - Retail Growth;21.8977;21-Nov-2017")</f>
        <v>106777;INF109K01KT8;-;ICICI Prudential Interval Fund - Annual Interval Plan III - Retail Growth;21.8977;21-Nov-2017</v>
      </c>
      <c r="B8366" s="1"/>
    </row>
    <row r="8367">
      <c r="A8367" s="1" t="str">
        <f>IFERROR(__xludf.DUMMYFUNCTION("""COMPUTED_VALUE"""),"120629;INF109K01K86;-;ICICI Prudential Interval Fund Annual Interval Plan III - Direct Plan -  Growth;17.7978;21-Nov-2017")</f>
        <v>120629;INF109K01K86;-;ICICI Prudential Interval Fund Annual Interval Plan III - Direct Plan -  Growth;17.7978;21-Nov-2017</v>
      </c>
      <c r="B8367" s="1"/>
    </row>
    <row r="8368">
      <c r="A8368" s="1" t="str">
        <f>IFERROR(__xludf.DUMMYFUNCTION("""COMPUTED_VALUE"""),"106780;INF109K01KW2;-;ICICI Prudential Interval Fund Annual Interval Plan III - Dividend;10.8352;29-Oct-2013")</f>
        <v>106780;INF109K01KW2;-;ICICI Prudential Interval Fund Annual Interval Plan III - Dividend;10.8352;29-Oct-2013</v>
      </c>
      <c r="B8368" s="1"/>
    </row>
    <row r="8369">
      <c r="A8369" s="1" t="str">
        <f>IFERROR(__xludf.DUMMYFUNCTION("""COMPUTED_VALUE"""),"106779;INF109K01KV4;-;ICICI Prudential Interval Fund Annual Interval Plan III - Growth;17.7495;21-Nov-2017")</f>
        <v>106779;INF109K01KV4;-;ICICI Prudential Interval Fund Annual Interval Plan III - Growth;17.7495;21-Nov-2017</v>
      </c>
      <c r="B8369" s="1"/>
    </row>
    <row r="8370">
      <c r="A8370" s="1" t="str">
        <f>IFERROR(__xludf.DUMMYFUNCTION("""COMPUTED_VALUE"""),"106832;INF109K01KI1;-;ICICI Prudential Interval Fund - Annual Interval Plan IV - Retail Dividend;11.6845;05-Dec-2017")</f>
        <v>106832;INF109K01KI1;-;ICICI Prudential Interval Fund - Annual Interval Plan IV - Retail Dividend;11.6845;05-Dec-2017</v>
      </c>
      <c r="B8370" s="1"/>
    </row>
    <row r="8371">
      <c r="A8371" s="1" t="str">
        <f>IFERROR(__xludf.DUMMYFUNCTION("""COMPUTED_VALUE"""),"106833;INF109K01KH3;-;ICICI Prudential Interval Fund - Annual Interval Plan IV - Retail Growth;21.7637;05-Dec-2017")</f>
        <v>106833;INF109K01KH3;-;ICICI Prudential Interval Fund - Annual Interval Plan IV - Retail Growth;21.7637;05-Dec-2017</v>
      </c>
      <c r="B8371" s="1"/>
    </row>
    <row r="8372">
      <c r="A8372" s="1" t="str">
        <f>IFERROR(__xludf.DUMMYFUNCTION("""COMPUTED_VALUE"""),"106830;INF109K01KK7;-;ICICI Prudential Interval Fund Annual Interval Plan IV -  Dividend;11.7708;17-Nov-2014")</f>
        <v>106830;INF109K01KK7;-;ICICI Prudential Interval Fund Annual Interval Plan IV -  Dividend;11.7708;17-Nov-2014</v>
      </c>
      <c r="B8372" s="1"/>
    </row>
    <row r="8373">
      <c r="A8373" s="1" t="str">
        <f>IFERROR(__xludf.DUMMYFUNCTION("""COMPUTED_VALUE"""),"120631;INF109K01L02;-;ICICI Prudential Interval Fund Annual Interval Plan IV - Direct Plan -  Growth;20.4818;05-Dec-2017")</f>
        <v>120631;INF109K01L02;-;ICICI Prudential Interval Fund Annual Interval Plan IV - Direct Plan -  Growth;20.4818;05-Dec-2017</v>
      </c>
      <c r="B8373" s="1"/>
    </row>
    <row r="8374">
      <c r="A8374" s="1" t="str">
        <f>IFERROR(__xludf.DUMMYFUNCTION("""COMPUTED_VALUE"""),"106831;INF109K01KJ9;-;ICICI Prudential Interval Fund Annual Interval Plan IV - Growth;20.4088;05-Dec-2017")</f>
        <v>106831;INF109K01KJ9;-;ICICI Prudential Interval Fund Annual Interval Plan IV - Growth;20.4088;05-Dec-2017</v>
      </c>
      <c r="B8374" s="1"/>
    </row>
    <row r="8375">
      <c r="A8375" s="1" t="str">
        <f>IFERROR(__xludf.DUMMYFUNCTION("""COMPUTED_VALUE"""),"105650;INF109K01ON3;-;ICICI Prudential Interval Fund - Monthly Interval Plan I - Retail Dividend;10.0016;29-Aug-2017")</f>
        <v>105650;INF109K01ON3;-;ICICI Prudential Interval Fund - Monthly Interval Plan I - Retail Dividend;10.0016;29-Aug-2017</v>
      </c>
      <c r="B8375" s="1"/>
    </row>
    <row r="8376">
      <c r="A8376" s="1" t="str">
        <f>IFERROR(__xludf.DUMMYFUNCTION("""COMPUTED_VALUE"""),"105651;INF109K01OM5;-;ICICI Prudential Interval Fund - Monthly Interval Plan I - Retail Growth;21.1844;29-Aug-2017")</f>
        <v>105651;INF109K01OM5;-;ICICI Prudential Interval Fund - Monthly Interval Plan I - Retail Growth;21.1844;29-Aug-2017</v>
      </c>
      <c r="B8376" s="1"/>
    </row>
    <row r="8377">
      <c r="A8377" s="1" t="str">
        <f>IFERROR(__xludf.DUMMYFUNCTION("""COMPUTED_VALUE"""),"120635;INF109K01L36;-;ICICI Prudential Interval Fund Monthly Interval Plan I - Direct Plan -  Dividend;10.0692;30-Jun-2014")</f>
        <v>120635;INF109K01L36;-;ICICI Prudential Interval Fund Monthly Interval Plan I - Direct Plan -  Dividend;10.0692;30-Jun-2014</v>
      </c>
      <c r="B8377" s="1"/>
    </row>
    <row r="8378">
      <c r="A8378" s="1" t="str">
        <f>IFERROR(__xludf.DUMMYFUNCTION("""COMPUTED_VALUE"""),"120636;INF109K01L28;-;ICICI Prudential Interval Fund Monthly Interval Plan I - Direct Plan -  Growth;13.4735;29-Aug-2017")</f>
        <v>120636;INF109K01L28;-;ICICI Prudential Interval Fund Monthly Interval Plan I - Direct Plan -  Growth;13.4735;29-Aug-2017</v>
      </c>
      <c r="B8378" s="1"/>
    </row>
    <row r="8379">
      <c r="A8379" s="1" t="str">
        <f>IFERROR(__xludf.DUMMYFUNCTION("""COMPUTED_VALUE"""),"109680;INF109K01OL7;INF109K01OK9;ICICI Prudential Interval Fund Monthly Interval Plan I - Dividend;10.0015;29-Aug-2017")</f>
        <v>109680;INF109K01OL7;INF109K01OK9;ICICI Prudential Interval Fund Monthly Interval Plan I - Dividend;10.0015;29-Aug-2017</v>
      </c>
      <c r="B8379" s="1"/>
    </row>
    <row r="8380">
      <c r="A8380" s="1" t="str">
        <f>IFERROR(__xludf.DUMMYFUNCTION("""COMPUTED_VALUE"""),"109679;INF109K01OJ1;-;ICICI Prudential Interval Fund Monthly Interval Plan I - Growth;13.4637;29-Aug-2017")</f>
        <v>109679;INF109K01OJ1;-;ICICI Prudential Interval Fund Monthly Interval Plan I - Growth;13.4637;29-Aug-2017</v>
      </c>
      <c r="B8380" s="1"/>
    </row>
    <row r="8381">
      <c r="A8381" s="1" t="str">
        <f>IFERROR(__xludf.DUMMYFUNCTION("""COMPUTED_VALUE"""),"105711;INF109K01LU4;-;ICICI Prudential Interval Fund - Quarterly Interval Plan I - Retail Dividend;10.0025;20-Sep-2017")</f>
        <v>105711;INF109K01LU4;-;ICICI Prudential Interval Fund - Quarterly Interval Plan I - Retail Dividend;10.0025;20-Sep-2017</v>
      </c>
      <c r="B8381" s="1"/>
    </row>
    <row r="8382">
      <c r="A8382" s="1" t="str">
        <f>IFERROR(__xludf.DUMMYFUNCTION("""COMPUTED_VALUE"""),"105710;INF109K01LT6;-;ICICI Prudential Interval Fund - Quarterly Interval Plan I - Retail Growth;21.9999;20-Sep-2017")</f>
        <v>105710;INF109K01LT6;-;ICICI Prudential Interval Fund - Quarterly Interval Plan I - Retail Growth;21.9999;20-Sep-2017</v>
      </c>
      <c r="B8382" s="1"/>
    </row>
    <row r="8383">
      <c r="A8383" s="1" t="str">
        <f>IFERROR(__xludf.DUMMYFUNCTION("""COMPUTED_VALUE"""),"115763;INF109K01LW0;-;ICICI Prudential Interval Fund Quarterly Interval Plan - 1 Retail Quarterly Dividend Payout;10.0022;04-Sep-2014")</f>
        <v>115763;INF109K01LW0;-;ICICI Prudential Interval Fund Quarterly Interval Plan - 1 Retail Quarterly Dividend Payout;10.0022;04-Sep-2014</v>
      </c>
      <c r="B8383" s="1"/>
    </row>
    <row r="8384">
      <c r="A8384" s="1" t="str">
        <f>IFERROR(__xludf.DUMMYFUNCTION("""COMPUTED_VALUE"""),"120638;INF109K01L69;-;ICICI Prudential Interval Fund Quarterly Interval Plan 1 - Direct Plan -  Growth;17.6211;20-Sep-2017")</f>
        <v>120638;INF109K01L69;-;ICICI Prudential Interval Fund Quarterly Interval Plan 1 - Direct Plan -  Growth;17.6211;20-Sep-2017</v>
      </c>
      <c r="B8384" s="1"/>
    </row>
    <row r="8385">
      <c r="A8385" s="1" t="str">
        <f>IFERROR(__xludf.DUMMYFUNCTION("""COMPUTED_VALUE"""),"120637;INF109K01L77;-;ICICI Prudential Interval Fund Quarterly Interval Plan 1 - Direct Plan - Dividend;10.0017;20-Sep-2017")</f>
        <v>120637;INF109K01L77;-;ICICI Prudential Interval Fund Quarterly Interval Plan 1 - Direct Plan - Dividend;10.0017;20-Sep-2017</v>
      </c>
      <c r="B8385" s="1"/>
    </row>
    <row r="8386">
      <c r="A8386" s="1" t="str">
        <f>IFERROR(__xludf.DUMMYFUNCTION("""COMPUTED_VALUE"""),"111405;INF109K01LP4;-;ICICI Prudential Interval Fund Quarterly Interval Plan 1 - Growth;17.5944;20-Sep-2017")</f>
        <v>111405;INF109K01LP4;-;ICICI Prudential Interval Fund Quarterly Interval Plan 1 - Growth;17.5944;20-Sep-2017</v>
      </c>
      <c r="B8386" s="1"/>
    </row>
    <row r="8387">
      <c r="A8387" s="1" t="str">
        <f>IFERROR(__xludf.DUMMYFUNCTION("""COMPUTED_VALUE"""),"111406;INF109K01LR0;INF109K01LQ2;ICICI Prudential Interval Fund Quarterly Interval Plan 1 -Dividend;10.0017;20-Sep-2017")</f>
        <v>111406;INF109K01LR0;INF109K01LQ2;ICICI Prudential Interval Fund Quarterly Interval Plan 1 -Dividend;10.0017;20-Sep-2017</v>
      </c>
      <c r="B8387" s="1"/>
    </row>
    <row r="8388">
      <c r="A8388" s="1" t="str">
        <f>IFERROR(__xludf.DUMMYFUNCTION("""COMPUTED_VALUE"""),"124214;INF109K01N75;-;ICICI Prudential Interval Fund Quarterly Interval Plan 1 Plan - Direct Plan - Quarterly Dividend Payout;10.0023;04-Jun-2014")</f>
        <v>124214;INF109K01N75;-;ICICI Prudential Interval Fund Quarterly Interval Plan 1 Plan - Direct Plan - Quarterly Dividend Payout;10.0023;04-Jun-2014</v>
      </c>
      <c r="B8388" s="1"/>
    </row>
    <row r="8389">
      <c r="A8389" s="1" t="str">
        <f>IFERROR(__xludf.DUMMYFUNCTION("""COMPUTED_VALUE"""),"105907;INF109K01MC0;-;ICICI Prudential Interval Fund - Quarterly Interval Plan II - Retail Dividend;10.0271;24-Oct-2017")</f>
        <v>105907;INF109K01MC0;-;ICICI Prudential Interval Fund - Quarterly Interval Plan II - Retail Dividend;10.0271;24-Oct-2017</v>
      </c>
      <c r="B8389" s="1"/>
    </row>
    <row r="8390">
      <c r="A8390" s="1" t="str">
        <f>IFERROR(__xludf.DUMMYFUNCTION("""COMPUTED_VALUE"""),"105908;INF109K01MB2;-;ICICI Prudential Interval Fund - Quarterly Interval Plan II - Retail Growth;22.0296;24-Oct-2017")</f>
        <v>105908;INF109K01MB2;-;ICICI Prudential Interval Fund - Quarterly Interval Plan II - Retail Growth;22.0296;24-Oct-2017</v>
      </c>
      <c r="B8390" s="1"/>
    </row>
    <row r="8391">
      <c r="A8391" s="1" t="str">
        <f>IFERROR(__xludf.DUMMYFUNCTION("""COMPUTED_VALUE"""),"120639;INF109K01L85;-;ICICI Prudential Interval Fund II Quarterly Interval - Direct Plan -  Growth;20.0513;24-Oct-2017")</f>
        <v>120639;INF109K01L85;-;ICICI Prudential Interval Fund II Quarterly Interval - Direct Plan -  Growth;20.0513;24-Oct-2017</v>
      </c>
      <c r="B8391" s="1"/>
    </row>
    <row r="8392">
      <c r="A8392" s="1" t="str">
        <f>IFERROR(__xludf.DUMMYFUNCTION("""COMPUTED_VALUE"""),"110203;INF109K01LZ3;INF109K01LY6;ICICI Prudential Interval Fund II Quarterly Interval - Dividend;10.0013;24-Oct-2017")</f>
        <v>110203;INF109K01LZ3;INF109K01LY6;ICICI Prudential Interval Fund II Quarterly Interval - Dividend;10.0013;24-Oct-2017</v>
      </c>
      <c r="B8392" s="1"/>
    </row>
    <row r="8393">
      <c r="A8393" s="1" t="str">
        <f>IFERROR(__xludf.DUMMYFUNCTION("""COMPUTED_VALUE"""),"110204;INF109K01LX8;-;ICICI Prudential Interval Fund II Quarterly Interval - Growth;19.9985;24-Oct-2017")</f>
        <v>110204;INF109K01LX8;-;ICICI Prudential Interval Fund II Quarterly Interval - Growth;19.9985;24-Oct-2017</v>
      </c>
      <c r="B8393" s="1"/>
    </row>
    <row r="8394">
      <c r="A8394" s="1" t="str">
        <f>IFERROR(__xludf.DUMMYFUNCTION("""COMPUTED_VALUE"""),"127399;INF109K01N91;-;ICICI Prudential Interval Fund - Quarterly Interval Plan III - Direct Quarterly Dividend Payout;10.0085;28-Aug-2017")</f>
        <v>127399;INF109K01N91;-;ICICI Prudential Interval Fund - Quarterly Interval Plan III - Direct Quarterly Dividend Payout;10.0085;28-Aug-2017</v>
      </c>
      <c r="B8394" s="1"/>
    </row>
    <row r="8395">
      <c r="A8395" s="1" t="str">
        <f>IFERROR(__xludf.DUMMYFUNCTION("""COMPUTED_VALUE"""),"106141;INF109K01MK3;-;ICICI Prudential Interval Fund - Quarterly Interval Plan III - Retail Dividend;10.0083;28-Aug-2017")</f>
        <v>106141;INF109K01MK3;-;ICICI Prudential Interval Fund - Quarterly Interval Plan III - Retail Dividend;10.0083;28-Aug-2017</v>
      </c>
      <c r="B8395" s="1"/>
    </row>
    <row r="8396">
      <c r="A8396" s="1" t="str">
        <f>IFERROR(__xludf.DUMMYFUNCTION("""COMPUTED_VALUE"""),"106142;INF109K01MJ5;-;ICICI Prudential Interval Fund - Quarterly Interval Plan III - Retail Growth;20.7912;28-Aug-2017")</f>
        <v>106142;INF109K01MJ5;-;ICICI Prudential Interval Fund - Quarterly Interval Plan III - Retail Growth;20.7912;28-Aug-2017</v>
      </c>
      <c r="B8396" s="1"/>
    </row>
    <row r="8397">
      <c r="A8397" s="1" t="str">
        <f>IFERROR(__xludf.DUMMYFUNCTION("""COMPUTED_VALUE"""),"120654;INF109K01M19;-;ICICI Prudential Interval Fund III Quarterly Interval - Direct Plan -  Dividend;10.1854;28-Aug-2017")</f>
        <v>120654;INF109K01M19;-;ICICI Prudential Interval Fund III Quarterly Interval - Direct Plan -  Dividend;10.1854;28-Aug-2017</v>
      </c>
      <c r="B8397" s="1"/>
    </row>
    <row r="8398">
      <c r="A8398" s="1" t="str">
        <f>IFERROR(__xludf.DUMMYFUNCTION("""COMPUTED_VALUE"""),"120655;INF109K01M01;-;ICICI Prudential Interval Fund III Quarterly Interval - Direct Plan -  Growth;17.5014;28-Aug-2017")</f>
        <v>120655;INF109K01M01;-;ICICI Prudential Interval Fund III Quarterly Interval - Direct Plan -  Growth;17.5014;28-Aug-2017</v>
      </c>
      <c r="B8398" s="1"/>
    </row>
    <row r="8399">
      <c r="A8399" s="1" t="str">
        <f>IFERROR(__xludf.DUMMYFUNCTION("""COMPUTED_VALUE"""),"110556;INF109K01MH9;INF109K01MG1;ICICI Prudential Interval Fund III Quarterly Interval - Dividend;10.0061;22-Feb-2017")</f>
        <v>110556;INF109K01MH9;INF109K01MG1;ICICI Prudential Interval Fund III Quarterly Interval - Dividend;10.0061;22-Feb-2017</v>
      </c>
      <c r="B8399" s="1"/>
    </row>
    <row r="8400">
      <c r="A8400" s="1" t="str">
        <f>IFERROR(__xludf.DUMMYFUNCTION("""COMPUTED_VALUE"""),"110555;INF109K01MF3;-;ICICI Prudential Interval Fund III Quarterly Interval - Growth;17.4312;28-Aug-2017")</f>
        <v>110555;INF109K01MF3;-;ICICI Prudential Interval Fund III Quarterly Interval - Growth;17.4312;28-Aug-2017</v>
      </c>
      <c r="B8400" s="1"/>
    </row>
    <row r="8401">
      <c r="A8401" s="1" t="str">
        <f>IFERROR(__xludf.DUMMYFUNCTION("""COMPUTED_VALUE"""),"121129;INF109K015G2;-;ICICI Prudential Interval Fund - Series VI - Annual Interval Plan - A - Cumulative;13.9619;15-Mar-2017")</f>
        <v>121129;INF109K015G2;-;ICICI Prudential Interval Fund - Series VI - Annual Interval Plan - A - Cumulative;13.9619;15-Mar-2017</v>
      </c>
      <c r="B8401" s="1"/>
    </row>
    <row r="8402">
      <c r="A8402" s="1" t="str">
        <f>IFERROR(__xludf.DUMMYFUNCTION("""COMPUTED_VALUE"""),"121127;INF109K013G7;-;ICICI Prudential Interval Fund - Series VI - Annual Interval Plan - A - Direct Plan - Cumulative;13.9796;15-Mar-2017")</f>
        <v>121127;INF109K013G7;-;ICICI Prudential Interval Fund - Series VI - Annual Interval Plan - A - Direct Plan - Cumulative;13.9796;15-Mar-2017</v>
      </c>
      <c r="B8402" s="1"/>
    </row>
    <row r="8403">
      <c r="A8403" s="1" t="str">
        <f>IFERROR(__xludf.DUMMYFUNCTION("""COMPUTED_VALUE"""),"121126;INF109K014G5;-;ICICI Prudential Interval Fund - Series VI - Annual Interval Plan - A - Direct Plan - Dividend;10.9291;25-Feb-2014")</f>
        <v>121126;INF109K014G5;-;ICICI Prudential Interval Fund - Series VI - Annual Interval Plan - A - Direct Plan - Dividend;10.9291;25-Feb-2014</v>
      </c>
      <c r="B8403" s="1"/>
    </row>
    <row r="8404">
      <c r="A8404" s="1" t="str">
        <f>IFERROR(__xludf.DUMMYFUNCTION("""COMPUTED_VALUE"""),"121364;INF109K014Q4;-;ICICI Prudential Interval Fund - Series VI - Annual Interval Plan - C - Cumulative;14.9423;09-Apr-2018")</f>
        <v>121364;INF109K014Q4;-;ICICI Prudential Interval Fund - Series VI - Annual Interval Plan - C - Cumulative;14.9423;09-Apr-2018</v>
      </c>
      <c r="B8404" s="1"/>
    </row>
    <row r="8405">
      <c r="A8405" s="1" t="str">
        <f>IFERROR(__xludf.DUMMYFUNCTION("""COMPUTED_VALUE"""),"121362;INF109K016Q9;-;ICICI Prudential Interval Fund - Series VI - Annual Interval Plan - C - Direct Plan - Cumulative;14.9835;09-Apr-2018")</f>
        <v>121362;INF109K016Q9;-;ICICI Prudential Interval Fund - Series VI - Annual Interval Plan - C - Direct Plan - Cumulative;14.9835;09-Apr-2018</v>
      </c>
      <c r="B8405" s="1"/>
    </row>
    <row r="8406">
      <c r="A8406" s="1" t="str">
        <f>IFERROR(__xludf.DUMMYFUNCTION("""COMPUTED_VALUE"""),"121441;INF109K018Q5;-;ICICI Prudential Interval Fund - Series VI - Annual Interval Plan - D - Cumulative;14.9023;10-Apr-2018")</f>
        <v>121441;INF109K018Q5;-;ICICI Prudential Interval Fund - Series VI - Annual Interval Plan - D - Cumulative;14.9023;10-Apr-2018</v>
      </c>
      <c r="B8406" s="1"/>
    </row>
    <row r="8407">
      <c r="A8407" s="1" t="str">
        <f>IFERROR(__xludf.DUMMYFUNCTION("""COMPUTED_VALUE"""),"121440;INF109K010R0;-;ICICI Prudential Interval Fund - Series VI - Annual Interval Plan - D - Direct Plan - Cumulative;14.9454;10-Apr-2018")</f>
        <v>121440;INF109K010R0;-;ICICI Prudential Interval Fund - Series VI - Annual Interval Plan - D - Direct Plan - Cumulative;14.9454;10-Apr-2018</v>
      </c>
      <c r="B8407" s="1"/>
    </row>
    <row r="8408">
      <c r="A8408" s="1" t="str">
        <f>IFERROR(__xludf.DUMMYFUNCTION("""COMPUTED_VALUE"""),"121442;INF109K011R8;-;ICICI Prudential Interval Fund - Series VI - Annual Interval Plan - D - Direct Plan - Dividend;10.4410;23-Mar-2015")</f>
        <v>121442;INF109K011R8;-;ICICI Prudential Interval Fund - Series VI - Annual Interval Plan - D - Direct Plan - Dividend;10.4410;23-Mar-2015</v>
      </c>
      <c r="B8408" s="1"/>
    </row>
    <row r="8409">
      <c r="A8409" s="1" t="str">
        <f>IFERROR(__xludf.DUMMYFUNCTION("""COMPUTED_VALUE"""),"127238;INF109KA1NV1;-;ICICI Prudential Interval Fund - Series VII - Annual Interval Plan - C - Cumulative;13.7740;13-Mar-2018")</f>
        <v>127238;INF109KA1NV1;-;ICICI Prudential Interval Fund - Series VII - Annual Interval Plan - C - Cumulative;13.7740;13-Mar-2018</v>
      </c>
      <c r="B8409" s="1"/>
    </row>
    <row r="8410">
      <c r="A8410" s="1" t="str">
        <f>IFERROR(__xludf.DUMMYFUNCTION("""COMPUTED_VALUE"""),"127236;INF109KA1NX7;-;ICICI Prudential Interval Fund - Series VII - Annual Interval Plan - C - Direct Plan - Cumulative;13.7979;13-Mar-2018")</f>
        <v>127236;INF109KA1NX7;-;ICICI Prudential Interval Fund - Series VII - Annual Interval Plan - C - Direct Plan - Cumulative;13.7979;13-Mar-2018</v>
      </c>
      <c r="B8410" s="1"/>
    </row>
    <row r="8411">
      <c r="A8411" s="1" t="str">
        <f>IFERROR(__xludf.DUMMYFUNCTION("""COMPUTED_VALUE"""),"127235;INF109KA1NW9;-;ICICI Prudential Interval Fund - Series VII - Annual Interval Plan - C - Dividend;10.8654;29-Feb-2016")</f>
        <v>127235;INF109KA1NW9;-;ICICI Prudential Interval Fund - Series VII - Annual Interval Plan - C - Dividend;10.8654;29-Feb-2016</v>
      </c>
      <c r="B8411" s="1"/>
    </row>
    <row r="8412">
      <c r="A8412" s="1" t="str">
        <f>IFERROR(__xludf.DUMMYFUNCTION("""COMPUTED_VALUE"""),"123597;INF109K01O17;-;ICICI Prudential Interval Fund II - Quarterly Interval Plan A - Direct Plan - Quarterly Dividend Payout;10.2479;15-May-2014")</f>
        <v>123597;INF109K01O17;-;ICICI Prudential Interval Fund II - Quarterly Interval Plan A - Direct Plan - Quarterly Dividend Payout;10.2479;15-May-2014</v>
      </c>
      <c r="B8412" s="1"/>
    </row>
    <row r="8413">
      <c r="A8413" s="1" t="str">
        <f>IFERROR(__xludf.DUMMYFUNCTION("""COMPUTED_VALUE"""),"106828;INF109K01MO5;-;ICICI Prudential Interval Fund II - Quarterly Interval Plan A - Retail Dividend;10.0016;05-Sep-2017")</f>
        <v>106828;INF109K01MO5;-;ICICI Prudential Interval Fund II - Quarterly Interval Plan A - Retail Dividend;10.0016;05-Sep-2017</v>
      </c>
      <c r="B8413" s="1"/>
    </row>
    <row r="8414">
      <c r="A8414" s="1" t="str">
        <f>IFERROR(__xludf.DUMMYFUNCTION("""COMPUTED_VALUE"""),"106829;INF109K01MN7;-;ICICI Prudential Interval Fund II - Quarterly Interval Plan A - Retail Growth;21.1917;05-Sep-2017")</f>
        <v>106829;INF109K01MN7;-;ICICI Prudential Interval Fund II - Quarterly Interval Plan A - Retail Growth;21.1917;05-Sep-2017</v>
      </c>
      <c r="B8414" s="1"/>
    </row>
    <row r="8415">
      <c r="A8415" s="1" t="str">
        <f>IFERROR(__xludf.DUMMYFUNCTION("""COMPUTED_VALUE"""),"123645;INF109K01MU2;-;ICICI Prudential Interval Fund II Quarterly Interval Plan A -  Quarterly Dividend Payout;10.0015;05-Sep-2017")</f>
        <v>123645;INF109K01MU2;-;ICICI Prudential Interval Fund II Quarterly Interval Plan A -  Quarterly Dividend Payout;10.0015;05-Sep-2017</v>
      </c>
      <c r="B8415" s="1"/>
    </row>
    <row r="8416">
      <c r="A8416" s="1" t="str">
        <f>IFERROR(__xludf.DUMMYFUNCTION("""COMPUTED_VALUE"""),"120641;INF109K01M50;-;ICICI Prudential Interval Fund II Quarterly Interval Plan A - Direct Plan -  Dividend;10.0016;05-Sep-2017")</f>
        <v>120641;INF109K01M50;-;ICICI Prudential Interval Fund II Quarterly Interval Plan A - Direct Plan -  Dividend;10.0016;05-Sep-2017</v>
      </c>
      <c r="B8416" s="1"/>
    </row>
    <row r="8417">
      <c r="A8417" s="1" t="str">
        <f>IFERROR(__xludf.DUMMYFUNCTION("""COMPUTED_VALUE"""),"120642;INF109K01M43;-;ICICI Prudential Interval Fund II Quarterly Interval Plan A - Direct Plan -  Growth;13.6172;05-Sep-2017")</f>
        <v>120642;INF109K01M43;-;ICICI Prudential Interval Fund II Quarterly Interval Plan A - Direct Plan -  Growth;13.6172;05-Sep-2017</v>
      </c>
      <c r="B8417" s="1"/>
    </row>
    <row r="8418">
      <c r="A8418" s="1" t="str">
        <f>IFERROR(__xludf.DUMMYFUNCTION("""COMPUTED_VALUE"""),"110664;INF109K01MT4;INF109K01MS6;ICICI Prudential Interval Fund II Quarterly Interval Plan A - Dividend;10.0017;05-Sep-2017")</f>
        <v>110664;INF109K01MT4;INF109K01MS6;ICICI Prudential Interval Fund II Quarterly Interval Plan A - Dividend;10.0017;05-Sep-2017</v>
      </c>
      <c r="B8418" s="1"/>
    </row>
    <row r="8419">
      <c r="A8419" s="1" t="str">
        <f>IFERROR(__xludf.DUMMYFUNCTION("""COMPUTED_VALUE"""),"110663;INF109K01MR8;-;ICICI Prudential Interval Fund II Quarterly Interval Plan A - Growth;13.6425;05-Sep-2017")</f>
        <v>110663;INF109K01MR8;-;ICICI Prudential Interval Fund II Quarterly Interval Plan A - Growth;13.6425;05-Sep-2017</v>
      </c>
      <c r="B8419" s="1"/>
    </row>
    <row r="8420">
      <c r="A8420" s="1" t="str">
        <f>IFERROR(__xludf.DUMMYFUNCTION("""COMPUTED_VALUE"""),"117368;INF109K01MQ0;-;ICICI Prudential Interval Fund II Quarterly Interval Plan A - Retail Quarterly Dividend Payout;10.2240;19-Aug-2014")</f>
        <v>117368;INF109K01MQ0;-;ICICI Prudential Interval Fund II Quarterly Interval Plan A - Retail Quarterly Dividend Payout;10.2240;19-Aug-2014</v>
      </c>
      <c r="B8420" s="1"/>
    </row>
    <row r="8421">
      <c r="A8421" s="1" t="str">
        <f>IFERROR(__xludf.DUMMYFUNCTION("""COMPUTED_VALUE"""),"106885;INF109K01MW8;-;ICICI Prudential Interval Fund II - Quarterly Interval Plan B - Retail Dividend;10.0124;14-Sep-2017")</f>
        <v>106885;INF109K01MW8;-;ICICI Prudential Interval Fund II - Quarterly Interval Plan B - Retail Dividend;10.0124;14-Sep-2017</v>
      </c>
      <c r="B8421" s="1"/>
    </row>
    <row r="8422">
      <c r="A8422" s="1" t="str">
        <f>IFERROR(__xludf.DUMMYFUNCTION("""COMPUTED_VALUE"""),"106886;INF109K01MV0;-;ICICI Prudential Interval Fund II - Quarterly Interval Plan B - Retail Growth;20.9682;14-Sep-2017")</f>
        <v>106886;INF109K01MV0;-;ICICI Prudential Interval Fund II - Quarterly Interval Plan B - Retail Growth;20.9682;14-Sep-2017</v>
      </c>
      <c r="B8422" s="1"/>
    </row>
    <row r="8423">
      <c r="A8423" s="1" t="str">
        <f>IFERROR(__xludf.DUMMYFUNCTION("""COMPUTED_VALUE"""),"120644;INF109K01M76;-;ICICI Prudential Interval Fund II Quarterly Interval Plan B - Direct Plan -  Dividend;10.0051;14-Sep-2017")</f>
        <v>120644;INF109K01M76;-;ICICI Prudential Interval Fund II Quarterly Interval Plan B - Direct Plan -  Dividend;10.0051;14-Sep-2017</v>
      </c>
      <c r="B8423" s="1"/>
    </row>
    <row r="8424">
      <c r="A8424" s="1" t="str">
        <f>IFERROR(__xludf.DUMMYFUNCTION("""COMPUTED_VALUE"""),"120643;INF109K01M68;-;ICICI Prudential Interval Fund II Quarterly Interval Plan B - Direct Plan -  Growth;14.1819;14-Sep-2017")</f>
        <v>120643;INF109K01M68;-;ICICI Prudential Interval Fund II Quarterly Interval Plan B - Direct Plan -  Growth;14.1819;14-Sep-2017</v>
      </c>
      <c r="B8424" s="1"/>
    </row>
    <row r="8425">
      <c r="A8425" s="1" t="str">
        <f>IFERROR(__xludf.DUMMYFUNCTION("""COMPUTED_VALUE"""),"111317;INF109K01NB0;INF109K01NA2;ICICI Prudential Interval Fund II Quarterly Interval Plan B - Dividend;10.0016;14-Sep-2017")</f>
        <v>111317;INF109K01NB0;INF109K01NA2;ICICI Prudential Interval Fund II Quarterly Interval Plan B - Dividend;10.0016;14-Sep-2017</v>
      </c>
      <c r="B8425" s="1"/>
    </row>
    <row r="8426">
      <c r="A8426" s="1" t="str">
        <f>IFERROR(__xludf.DUMMYFUNCTION("""COMPUTED_VALUE"""),"111316;INF109K01MZ1;-;ICICI Prudential Interval Fund II Quarterly Interval Plan B - Growth;14.2363;14-Sep-2017")</f>
        <v>111316;INF109K01MZ1;-;ICICI Prudential Interval Fund II Quarterly Interval Plan B - Growth;14.2363;14-Sep-2017</v>
      </c>
      <c r="B8426" s="1"/>
    </row>
    <row r="8427">
      <c r="A8427" s="1" t="str">
        <f>IFERROR(__xludf.DUMMYFUNCTION("""COMPUTED_VALUE"""),"118037;INF109K01NC8;-;ICICI Prudential Interval Fund II Quarterly Interval Plan B - Quarterly Dividend Payout;10.0016;14-Sep-2017")</f>
        <v>118037;INF109K01NC8;-;ICICI Prudential Interval Fund II Quarterly Interval Plan B - Quarterly Dividend Payout;10.0016;14-Sep-2017</v>
      </c>
      <c r="B8427" s="1"/>
    </row>
    <row r="8428">
      <c r="A8428" s="1" t="str">
        <f>IFERROR(__xludf.DUMMYFUNCTION("""COMPUTED_VALUE"""),"106977;INF109K01NI5;-;ICICI Prudential Interval Fund II - Quarterly Interval Plan C - Retail Dividend;10.0038;25-Sep-2017")</f>
        <v>106977;INF109K01NI5;-;ICICI Prudential Interval Fund II - Quarterly Interval Plan C - Retail Dividend;10.0038;25-Sep-2017</v>
      </c>
      <c r="B8428" s="1"/>
    </row>
    <row r="8429">
      <c r="A8429" s="1" t="str">
        <f>IFERROR(__xludf.DUMMYFUNCTION("""COMPUTED_VALUE"""),"106976;INF109K01NH7;-;ICICI Prudential Interval Fund II - Quarterly Interval Plan C - Retail Growth;22.1759;25-Sep-2017")</f>
        <v>106976;INF109K01NH7;-;ICICI Prudential Interval Fund II - Quarterly Interval Plan C - Retail Growth;22.1759;25-Sep-2017</v>
      </c>
      <c r="B8429" s="1"/>
    </row>
    <row r="8430">
      <c r="A8430" s="1" t="str">
        <f>IFERROR(__xludf.DUMMYFUNCTION("""COMPUTED_VALUE"""),"120647;INF109K01L51;-;ICICI Prudential Interval Fund II Quarterly Interval Plan C - Direct Plan -  Dividend;10.0016;23-Mar-2017")</f>
        <v>120647;INF109K01L51;-;ICICI Prudential Interval Fund II Quarterly Interval Plan C - Direct Plan -  Dividend;10.0016;23-Mar-2017</v>
      </c>
      <c r="B8430" s="1"/>
    </row>
    <row r="8431">
      <c r="A8431" s="1" t="str">
        <f>IFERROR(__xludf.DUMMYFUNCTION("""COMPUTED_VALUE"""),"120646;INF109K01L44;-;ICICI Prudential Interval Fund II Quarterly Interval Plan C - Direct Plan -  Growth;14.0323;25-Sep-2017")</f>
        <v>120646;INF109K01L44;-;ICICI Prudential Interval Fund II Quarterly Interval Plan C - Direct Plan -  Growth;14.0323;25-Sep-2017</v>
      </c>
      <c r="B8431" s="1"/>
    </row>
    <row r="8432">
      <c r="A8432" s="1" t="str">
        <f>IFERROR(__xludf.DUMMYFUNCTION("""COMPUTED_VALUE"""),"120648;INF109K01N67;-;ICICI Prudential Interval Fund II Quarterly Interval Plan C - Direct Plan -  Quarterly Dividend Payout;10.2204;11-Dec-2014")</f>
        <v>120648;INF109K01N67;-;ICICI Prudential Interval Fund II Quarterly Interval Plan C - Direct Plan -  Quarterly Dividend Payout;10.2204;11-Dec-2014</v>
      </c>
      <c r="B8432" s="1"/>
    </row>
    <row r="8433">
      <c r="A8433" s="1" t="str">
        <f>IFERROR(__xludf.DUMMYFUNCTION("""COMPUTED_VALUE"""),"109855;INF109K01NF1;INF109K01NE4;ICICI Prudential Interval Fund II Quarterly Interval Plan C - Dividend;10.0039;25-Sep-2017")</f>
        <v>109855;INF109K01NF1;INF109K01NE4;ICICI Prudential Interval Fund II Quarterly Interval Plan C - Dividend;10.0039;25-Sep-2017</v>
      </c>
      <c r="B8433" s="1"/>
    </row>
    <row r="8434">
      <c r="A8434" s="1" t="str">
        <f>IFERROR(__xludf.DUMMYFUNCTION("""COMPUTED_VALUE"""),"109854;INF109K01ND6;-;ICICI Prudential Interval Fund II Quarterly Interval Plan C - Growth;13.9772;25-Sep-2017")</f>
        <v>109854;INF109K01ND6;-;ICICI Prudential Interval Fund II Quarterly Interval Plan C - Growth;13.9772;25-Sep-2017</v>
      </c>
      <c r="B8434" s="1"/>
    </row>
    <row r="8435">
      <c r="A8435" s="1" t="str">
        <f>IFERROR(__xludf.DUMMYFUNCTION("""COMPUTED_VALUE"""),"118235;INF109K01NG9;-;ICICI Prudential Interval Fund II Quarterly Interval Plan C- Institutional Quarterly Dividend Payout;10.2061;04-Mar-2013")</f>
        <v>118235;INF109K01NG9;-;ICICI Prudential Interval Fund II Quarterly Interval Plan C- Institutional Quarterly Dividend Payout;10.2061;04-Mar-2013</v>
      </c>
      <c r="B8435" s="1"/>
    </row>
    <row r="8436">
      <c r="A8436" s="1" t="str">
        <f>IFERROR(__xludf.DUMMYFUNCTION("""COMPUTED_VALUE"""),"107138;INF109K01NQ8;-;ICICI Prudential Interval Fund II - Quarterly Interval Plan D - Retail Dividend;10.0799;09-Oct-2017")</f>
        <v>107138;INF109K01NQ8;-;ICICI Prudential Interval Fund II - Quarterly Interval Plan D - Retail Dividend;10.0799;09-Oct-2017</v>
      </c>
      <c r="B8436" s="1"/>
    </row>
    <row r="8437">
      <c r="A8437" s="1" t="str">
        <f>IFERROR(__xludf.DUMMYFUNCTION("""COMPUTED_VALUE"""),"107139;INF109K01NP0;-;ICICI Prudential Interval Fund II - Quarterly Interval Plan D - Retail Growth;22.7950;09-Oct-2017")</f>
        <v>107139;INF109K01NP0;-;ICICI Prudential Interval Fund II - Quarterly Interval Plan D - Retail Growth;22.7950;09-Oct-2017</v>
      </c>
      <c r="B8437" s="1"/>
    </row>
    <row r="8438">
      <c r="A8438" s="1" t="str">
        <f>IFERROR(__xludf.DUMMYFUNCTION("""COMPUTED_VALUE"""),"120651;INF109K01M92;-;ICICI Prudential Interval Fund II Quarterly Interval Plan D - Direct Plan -  Dividend;10.0051;09-Oct-2017")</f>
        <v>120651;INF109K01M92;-;ICICI Prudential Interval Fund II Quarterly Interval Plan D - Direct Plan -  Dividend;10.0051;09-Oct-2017</v>
      </c>
      <c r="B8438" s="1"/>
    </row>
    <row r="8439">
      <c r="A8439" s="1" t="str">
        <f>IFERROR(__xludf.DUMMYFUNCTION("""COMPUTED_VALUE"""),"120650;INF109K01O33;-;ICICI Prudential Interval Fund II Quarterly Interval Plan D - Direct Plan -  Quarterly Dividend Payout;10.1535;03-Oct-2016")</f>
        <v>120650;INF109K01O33;-;ICICI Prudential Interval Fund II Quarterly Interval Plan D - Direct Plan -  Quarterly Dividend Payout;10.1535;03-Oct-2016</v>
      </c>
      <c r="B8439" s="1"/>
    </row>
    <row r="8440">
      <c r="A8440" s="1" t="str">
        <f>IFERROR(__xludf.DUMMYFUNCTION("""COMPUTED_VALUE"""),"120649;INF109K01M84;-;ICICI Prudential Interval Fund II Quarterly Interval Plan D - Direct Plan - Growth;17.7073;09-Oct-2017")</f>
        <v>120649;INF109K01M84;-;ICICI Prudential Interval Fund II Quarterly Interval Plan D - Direct Plan - Growth;17.7073;09-Oct-2017</v>
      </c>
      <c r="B8440" s="1"/>
    </row>
    <row r="8441">
      <c r="A8441" s="1" t="str">
        <f>IFERROR(__xludf.DUMMYFUNCTION("""COMPUTED_VALUE"""),"110014;INF109K01NN5;INF109K01NM7;ICICI Prudential Interval Fund II Quarterly Interval Plan D - Dividend;10.0050;09-Oct-2017")</f>
        <v>110014;INF109K01NN5;INF109K01NM7;ICICI Prudential Interval Fund II Quarterly Interval Plan D - Dividend;10.0050;09-Oct-2017</v>
      </c>
      <c r="B8441" s="1"/>
    </row>
    <row r="8442">
      <c r="A8442" s="1" t="str">
        <f>IFERROR(__xludf.DUMMYFUNCTION("""COMPUTED_VALUE"""),"110013;INF109K01NL9;-;ICICI Prudential Interval Fund II Quarterly Interval Plan D - Growth;13.4690;09-Oct-2017")</f>
        <v>110013;INF109K01NL9;-;ICICI Prudential Interval Fund II Quarterly Interval Plan D - Growth;13.4690;09-Oct-2017</v>
      </c>
      <c r="B8442" s="1"/>
    </row>
    <row r="8443">
      <c r="A8443" s="1" t="str">
        <f>IFERROR(__xludf.DUMMYFUNCTION("""COMPUTED_VALUE"""),"114929;INF109K01NO3;-;ICICI Prudential Interval Fund II Quarterly Interval Plan D - Quarterly Dividend Payout;10.2309;11-Sep-2012")</f>
        <v>114929;INF109K01NO3;-;ICICI Prudential Interval Fund II Quarterly Interval Plan D - Quarterly Dividend Payout;10.2309;11-Sep-2012</v>
      </c>
      <c r="B8443" s="1"/>
    </row>
    <row r="8444">
      <c r="A8444" s="1" t="str">
        <f>IFERROR(__xludf.DUMMYFUNCTION("""COMPUTED_VALUE"""),"107309;INF109K01NU0;-;ICICI Prudential Interval Fund II - Quarterly Interval Plan F - Retail Dividend;10.0742;16-Aug-2017")</f>
        <v>107309;INF109K01NU0;-;ICICI Prudential Interval Fund II - Quarterly Interval Plan F - Retail Dividend;10.0742;16-Aug-2017</v>
      </c>
      <c r="B8444" s="1"/>
    </row>
    <row r="8445">
      <c r="A8445" s="1" t="str">
        <f>IFERROR(__xludf.DUMMYFUNCTION("""COMPUTED_VALUE"""),"107310;INF109K01NT2;-;ICICI Prudential Interval Fund II - Quarterly Interval Plan F - Retail Growth;20.2500;16-Aug-2017")</f>
        <v>107310;INF109K01NT2;-;ICICI Prudential Interval Fund II - Quarterly Interval Plan F - Retail Growth;20.2500;16-Aug-2017</v>
      </c>
      <c r="B8445" s="1"/>
    </row>
    <row r="8446">
      <c r="A8446" s="1" t="str">
        <f>IFERROR(__xludf.DUMMYFUNCTION("""COMPUTED_VALUE"""),"120653;INF109K01N18;-;ICICI Prudential Interval Fund II Quarterly Interval Plan F - Direct Plan -  Dividend;10.0168;31-Jul-2014")</f>
        <v>120653;INF109K01N18;-;ICICI Prudential Interval Fund II Quarterly Interval Plan F - Direct Plan -  Dividend;10.0168;31-Jul-2014</v>
      </c>
      <c r="B8446" s="1"/>
    </row>
    <row r="8447">
      <c r="A8447" s="1" t="str">
        <f>IFERROR(__xludf.DUMMYFUNCTION("""COMPUTED_VALUE"""),"120652;INF109K01N00;-;ICICI Prudential Interval Fund II Quarterly Interval Plan F - Direct Plan -  Growth;17.7138;16-Aug-2017")</f>
        <v>120652;INF109K01N00;-;ICICI Prudential Interval Fund II Quarterly Interval Plan F - Direct Plan -  Growth;17.7138;16-Aug-2017</v>
      </c>
      <c r="B8447" s="1"/>
    </row>
    <row r="8448">
      <c r="A8448" s="1" t="str">
        <f>IFERROR(__xludf.DUMMYFUNCTION("""COMPUTED_VALUE"""),"123055;INF109K01O41;-;ICICI Prudential Interval Fund II Quarterly Interval Plan F - Direct Plan -  Quarterly Dividend Payout;10.0095;20-Jan-2014")</f>
        <v>123055;INF109K01O41;-;ICICI Prudential Interval Fund II Quarterly Interval Plan F - Direct Plan -  Quarterly Dividend Payout;10.0095;20-Jan-2014</v>
      </c>
      <c r="B8448" s="1"/>
    </row>
    <row r="8449">
      <c r="A8449" s="1" t="str">
        <f>IFERROR(__xludf.DUMMYFUNCTION("""COMPUTED_VALUE"""),"110384;INF109K01NZ9;INF109K01NY2;ICICI Prudential Interval Fund II Quarterly Interval Plan F - Dividend;10.1825;09-Feb-2017")</f>
        <v>110384;INF109K01NZ9;INF109K01NY2;ICICI Prudential Interval Fund II Quarterly Interval Plan F - Dividend;10.1825;09-Feb-2017</v>
      </c>
      <c r="B8449" s="1"/>
    </row>
    <row r="8450">
      <c r="A8450" s="1" t="str">
        <f>IFERROR(__xludf.DUMMYFUNCTION("""COMPUTED_VALUE"""),"110383;INF109K01NX4;-;ICICI Prudential Interval Fund II Quarterly Interval Plan F - Growth;17.7160;16-Aug-2017")</f>
        <v>110383;INF109K01NX4;-;ICICI Prudential Interval Fund II Quarterly Interval Plan F - Growth;17.7160;16-Aug-2017</v>
      </c>
      <c r="B8450" s="1"/>
    </row>
    <row r="8451">
      <c r="A8451" s="1" t="str">
        <f>IFERROR(__xludf.DUMMYFUNCTION("""COMPUTED_VALUE"""),"115927;INF109K01NW6;-;ICICI Prudential Interval Fund II Quarterly Interval Plan F Retail Quarterly Dividend Payout;10.0046;16-Aug-2017")</f>
        <v>115927;INF109K01NW6;-;ICICI Prudential Interval Fund II Quarterly Interval Plan F Retail Quarterly Dividend Payout;10.0046;16-Aug-2017</v>
      </c>
      <c r="B8451" s="1"/>
    </row>
    <row r="8452">
      <c r="A8452" s="1" t="str">
        <f>IFERROR(__xludf.DUMMYFUNCTION("""COMPUTED_VALUE"""),"110345;INF109K01OG7;-;ICICI Prudential Interval Fund IV - Quarterly Interval Plan B - Retail Dividend;10.0009;27-Oct-2017")</f>
        <v>110345;INF109K01OG7;-;ICICI Prudential Interval Fund IV - Quarterly Interval Plan B - Retail Dividend;10.0009;27-Oct-2017</v>
      </c>
      <c r="B8452" s="1"/>
    </row>
    <row r="8453">
      <c r="A8453" s="1" t="str">
        <f>IFERROR(__xludf.DUMMYFUNCTION("""COMPUTED_VALUE"""),"110348;INF109K01OF9;-;ICICI Prudential Interval Fund IV - Quarterly Interval Plan B - Retail Growth;19.7164;27-Oct-2017")</f>
        <v>110348;INF109K01OF9;-;ICICI Prudential Interval Fund IV - Quarterly Interval Plan B - Retail Growth;19.7164;27-Oct-2017</v>
      </c>
      <c r="B8453" s="1"/>
    </row>
    <row r="8454">
      <c r="A8454" s="1" t="str">
        <f>IFERROR(__xludf.DUMMYFUNCTION("""COMPUTED_VALUE"""),"120624;INF109K01N59;-;ICICI Prudential Interval Fund IV Quarterly Interval Plan B - Direct Plan -  Dividend;10.0010;27-Oct-2017")</f>
        <v>120624;INF109K01N59;-;ICICI Prudential Interval Fund IV Quarterly Interval Plan B - Direct Plan -  Dividend;10.0010;27-Oct-2017</v>
      </c>
      <c r="B8454" s="1"/>
    </row>
    <row r="8455">
      <c r="A8455" s="1" t="str">
        <f>IFERROR(__xludf.DUMMYFUNCTION("""COMPUTED_VALUE"""),"120623;INF109K01N42;-;ICICI Prudential Interval Fund IV Quarterly Interval Plan B - Direct Plan -  Growth;18.1794;27-Oct-2017")</f>
        <v>120623;INF109K01N42;-;ICICI Prudential Interval Fund IV Quarterly Interval Plan B - Direct Plan -  Growth;18.1794;27-Oct-2017</v>
      </c>
      <c r="B8455" s="1"/>
    </row>
    <row r="8456">
      <c r="A8456" s="1" t="str">
        <f>IFERROR(__xludf.DUMMYFUNCTION("""COMPUTED_VALUE"""),"120811;INF109K01O58;-;ICICI Prudential Interval Fund IV Quarterly Interval Plan B - Direct Plan -  Quarterly Dividend Payout;10.2084;15-Apr-2015")</f>
        <v>120811;INF109K01O58;-;ICICI Prudential Interval Fund IV Quarterly Interval Plan B - Direct Plan -  Quarterly Dividend Payout;10.2084;15-Apr-2015</v>
      </c>
      <c r="B8456" s="1"/>
    </row>
    <row r="8457">
      <c r="A8457" s="1" t="str">
        <f>IFERROR(__xludf.DUMMYFUNCTION("""COMPUTED_VALUE"""),"110346;INF109K01OB8;-;ICICI Prudential Interval Fund IV Quarterly Interval Plan B - Growth;18.1012;27-Oct-2017")</f>
        <v>110346;INF109K01OB8;-;ICICI Prudential Interval Fund IV Quarterly Interval Plan B - Growth;18.1012;27-Oct-2017</v>
      </c>
      <c r="B8457" s="1"/>
    </row>
    <row r="8458">
      <c r="A8458" s="1" t="str">
        <f>IFERROR(__xludf.DUMMYFUNCTION("""COMPUTED_VALUE"""),"110347;INF109K01OD4;INF109K01OE2;ICICI Prudential Interval Fund IV Quarterly Interval Plan B -Dividend;10.1688;20-Apr-2016")</f>
        <v>110347;INF109K01OD4;INF109K01OE2;ICICI Prudential Interval Fund IV Quarterly Interval Plan B -Dividend;10.1688;20-Apr-2016</v>
      </c>
      <c r="B8458" s="1"/>
    </row>
    <row r="8459">
      <c r="A8459" s="1" t="str">
        <f>IFERROR(__xludf.DUMMYFUNCTION("""COMPUTED_VALUE"""),"115022;INF109K01ME6;-;ICICI Prudential Interval Fund Quarterly Interval Plan - II Retail Quarterly Dividend Payout;10.2340;20-Sep-2012")</f>
        <v>115022;INF109K01ME6;-;ICICI Prudential Interval Fund Quarterly Interval Plan - II Retail Quarterly Dividend Payout;10.2340;20-Sep-2012</v>
      </c>
      <c r="B8459" s="1"/>
    </row>
    <row r="8460">
      <c r="A8460" s="1" t="str">
        <f>IFERROR(__xludf.DUMMYFUNCTION("""COMPUTED_VALUE"""),"110048;INF109K01OU8;-;ICICI Prudential Interval Fund V - Monthly Interval Plan A - Retail Dividend;10.0033;16-Aug-2017")</f>
        <v>110048;INF109K01OU8;-;ICICI Prudential Interval Fund V - Monthly Interval Plan A - Retail Dividend;10.0033;16-Aug-2017</v>
      </c>
      <c r="B8460" s="1"/>
    </row>
    <row r="8461">
      <c r="A8461" s="1" t="str">
        <f>IFERROR(__xludf.DUMMYFUNCTION("""COMPUTED_VALUE"""),"110047;INF109K01OS2;-;ICICI Prudential Interval Fund V - Monthly Interval Plan A - Retail Growth;20.0008;16-Aug-2017")</f>
        <v>110047;INF109K01OS2;-;ICICI Prudential Interval Fund V - Monthly Interval Plan A - Retail Growth;20.0008;16-Aug-2017</v>
      </c>
      <c r="B8461" s="1"/>
    </row>
    <row r="8462">
      <c r="A8462" s="1" t="str">
        <f>IFERROR(__xludf.DUMMYFUNCTION("""COMPUTED_VALUE"""),"120660;INF109K01N34;-;ICICI Prudential Interval Fund V Monthly Interval Plan A - Direct Plan -  Dividend;10.0033;16-Aug-2017")</f>
        <v>120660;INF109K01N34;-;ICICI Prudential Interval Fund V Monthly Interval Plan A - Direct Plan -  Dividend;10.0033;16-Aug-2017</v>
      </c>
      <c r="B8462" s="1"/>
    </row>
    <row r="8463">
      <c r="A8463" s="1" t="str">
        <f>IFERROR(__xludf.DUMMYFUNCTION("""COMPUTED_VALUE"""),"120661;INF109K01N26;-;ICICI Prudential Interval Fund V Monthly Interval Plan A - Direct Plan - Growth;13.9183;16-Aug-2017")</f>
        <v>120661;INF109K01N26;-;ICICI Prudential Interval Fund V Monthly Interval Plan A - Direct Plan - Growth;13.9183;16-Aug-2017</v>
      </c>
      <c r="B8463" s="1"/>
    </row>
    <row r="8464">
      <c r="A8464" s="1" t="str">
        <f>IFERROR(__xludf.DUMMYFUNCTION("""COMPUTED_VALUE"""),"110046;INF109K01OR4;INF109K01OQ6;ICICI Prudential Interval Fund V Monthly Interval Plan A - Dividend;10.0033;16-Aug-2017")</f>
        <v>110046;INF109K01OR4;INF109K01OQ6;ICICI Prudential Interval Fund V Monthly Interval Plan A - Dividend;10.0033;16-Aug-2017</v>
      </c>
      <c r="B8464" s="1"/>
    </row>
    <row r="8465">
      <c r="A8465" s="1" t="str">
        <f>IFERROR(__xludf.DUMMYFUNCTION("""COMPUTED_VALUE"""),"110045;INF109K01OP8;-;ICICI Prudential Interval Fund V Monthly Interval Plan A - Growth;13.8735;16-Aug-2017")</f>
        <v>110045;INF109K01OP8;-;ICICI Prudential Interval Fund V Monthly Interval Plan A - Growth;13.8735;16-Aug-2017</v>
      </c>
      <c r="B8465" s="1"/>
    </row>
    <row r="8466">
      <c r="A8466" s="1" t="str">
        <f>IFERROR(__xludf.DUMMYFUNCTION("""COMPUTED_VALUE"""),"120669;INF109K01T79;INF109K01T87;ICICI Prudential MIP - Direct Plan -  Dividend Half Yearly;13.6318;25-May-2018")</f>
        <v>120669;INF109K01T79;INF109K01T87;ICICI Prudential MIP - Direct Plan -  Dividend Half Yearly;13.6318;25-May-2018</v>
      </c>
      <c r="B8466" s="1"/>
    </row>
    <row r="8467">
      <c r="A8467" s="1" t="str">
        <f>IFERROR(__xludf.DUMMYFUNCTION("""COMPUTED_VALUE"""),"120667;INF109K01T95;INF109K01U01;ICICI Prudential MIP - Direct Plan -  Dividend Monthly;12.7914;25-May-2018")</f>
        <v>120667;INF109K01T95;INF109K01U01;ICICI Prudential MIP - Direct Plan -  Dividend Monthly;12.7914;25-May-2018</v>
      </c>
      <c r="B8467" s="1"/>
    </row>
    <row r="8468">
      <c r="A8468" s="1" t="str">
        <f>IFERROR(__xludf.DUMMYFUNCTION("""COMPUTED_VALUE"""),"120666;INF109K01U19;INF109K01U27;ICICI Prudential MIP - Direct Plan -  Dividend Quarterly;13.8562;25-May-2018")</f>
        <v>120666;INF109K01U19;INF109K01U27;ICICI Prudential MIP - Direct Plan -  Dividend Quarterly;13.8562;25-May-2018</v>
      </c>
      <c r="B8468" s="1"/>
    </row>
    <row r="8469">
      <c r="A8469" s="1" t="str">
        <f>IFERROR(__xludf.DUMMYFUNCTION("""COMPUTED_VALUE"""),"120668;INF109K01U35;-;ICICI Prudential MIP - Direct Plan -  Growth;49.7829;25-May-2018")</f>
        <v>120668;INF109K01U35;-;ICICI Prudential MIP - Direct Plan -  Growth;49.7829;25-May-2018</v>
      </c>
      <c r="B8469" s="1"/>
    </row>
    <row r="8470">
      <c r="A8470" s="1" t="str">
        <f>IFERROR(__xludf.DUMMYFUNCTION("""COMPUTED_VALUE"""),"130940;INF109KA1H44;-;ICICI Prudential MIP - Direct Plan Bonus;13.7171;25-May-2018")</f>
        <v>130940;INF109KA1H44;-;ICICI Prudential MIP - Direct Plan Bonus;13.7171;25-May-2018</v>
      </c>
      <c r="B8470" s="1"/>
    </row>
    <row r="8471">
      <c r="A8471" s="1" t="str">
        <f>IFERROR(__xludf.DUMMYFUNCTION("""COMPUTED_VALUE"""),"100955;INF109K01FG5;INF109K01548;ICICI Prudential MIP - Dividend Half Yearly;12.8248;25-May-2018")</f>
        <v>100955;INF109K01FG5;INF109K01548;ICICI Prudential MIP - Dividend Half Yearly;12.8248;25-May-2018</v>
      </c>
      <c r="B8471" s="1"/>
    </row>
    <row r="8472">
      <c r="A8472" s="1" t="str">
        <f>IFERROR(__xludf.DUMMYFUNCTION("""COMPUTED_VALUE"""),"100953;INF109K01FH3;INF109K01522;ICICI Prudential MIP - Dividend Monthly;12.3602;25-May-2018")</f>
        <v>100953;INF109K01FH3;INF109K01522;ICICI Prudential MIP - Dividend Monthly;12.3602;25-May-2018</v>
      </c>
      <c r="B8472" s="1"/>
    </row>
    <row r="8473">
      <c r="A8473" s="1" t="str">
        <f>IFERROR(__xludf.DUMMYFUNCTION("""COMPUTED_VALUE"""),"100954;INF109K01FI1;INF109K01530;ICICI Prudential MIP - Dividend Quarterly;13.5226;25-May-2018")</f>
        <v>100954;INF109K01FI1;INF109K01530;ICICI Prudential MIP - Dividend Quarterly;13.5226;25-May-2018</v>
      </c>
      <c r="B8473" s="1"/>
    </row>
    <row r="8474">
      <c r="A8474" s="1" t="str">
        <f>IFERROR(__xludf.DUMMYFUNCTION("""COMPUTED_VALUE"""),"100952;INF109K01555;-;ICICI Prudential MIP - Growth;48.1366;25-May-2018")</f>
        <v>100952;INF109K01555;-;ICICI Prudential MIP - Growth;48.1366;25-May-2018</v>
      </c>
      <c r="B8474" s="1"/>
    </row>
    <row r="8475">
      <c r="A8475" s="1"/>
      <c r="B8475" s="1"/>
    </row>
    <row r="8476">
      <c r="A8476" s="1" t="str">
        <f>IFERROR(__xludf.DUMMYFUNCTION("""COMPUTED_VALUE"""),"Nippon India Mutual Fund")</f>
        <v>Nippon India Mutual Fund</v>
      </c>
      <c r="B8476" s="1"/>
    </row>
    <row r="8477">
      <c r="A8477" s="1"/>
      <c r="B8477" s="1"/>
    </row>
    <row r="8478">
      <c r="A8478" s="1" t="str">
        <f>IFERROR(__xludf.DUMMYFUNCTION("""COMPUTED_VALUE"""),"124679;INF204KA1AI9;-;Reliance Interval Fund - II - Series 1 -Direct Plan -Growth Option;12.8420;17-Oct-2016")</f>
        <v>124679;INF204KA1AI9;-;Reliance Interval Fund - II - Series 1 -Direct Plan -Growth Option;12.8420;17-Oct-2016</v>
      </c>
      <c r="B8478" s="1"/>
    </row>
    <row r="8479">
      <c r="A8479" s="1" t="str">
        <f>IFERROR(__xludf.DUMMYFUNCTION("""COMPUTED_VALUE"""),"124681;INF204KA1AJ7;INF204KA1AK5;Reliance Interval Fund - II - Series 1 -Dividend Option;10.0000;17-Oct-2016")</f>
        <v>124681;INF204KA1AJ7;INF204KA1AK5;Reliance Interval Fund - II - Series 1 -Dividend Option;10.0000;17-Oct-2016</v>
      </c>
      <c r="B8479" s="1"/>
    </row>
    <row r="8480">
      <c r="A8480" s="1" t="str">
        <f>IFERROR(__xludf.DUMMYFUNCTION("""COMPUTED_VALUE"""),"124678;INF204KA1AL3;-;Reliance Interval Fund - II - Series 1 -Growth Plan;12.8098;17-Oct-2016")</f>
        <v>124678;INF204KA1AL3;-;Reliance Interval Fund - II - Series 1 -Growth Plan;12.8098;17-Oct-2016</v>
      </c>
      <c r="B8480" s="1"/>
    </row>
    <row r="8481">
      <c r="A8481" s="1" t="str">
        <f>IFERROR(__xludf.DUMMYFUNCTION("""COMPUTED_VALUE"""),"124751;INF204KA1AM1;INF204KA1AN9;Reliance Interval Fund - II - Series 2 - Direct Plan - Dividend Plan - Dividend Option;10.0000;27-Oct-2016")</f>
        <v>124751;INF204KA1AM1;INF204KA1AN9;Reliance Interval Fund - II - Series 2 - Direct Plan - Dividend Plan - Dividend Option;10.0000;27-Oct-2016</v>
      </c>
      <c r="B8481" s="1"/>
    </row>
    <row r="8482">
      <c r="A8482" s="1" t="str">
        <f>IFERROR(__xludf.DUMMYFUNCTION("""COMPUTED_VALUE"""),"124749;INF204KA1AO7;-;Reliance Interval Fund - II - Series 2 - Direct Plan - Growth Plan - Growth Option;12.9862;27-Oct-2016")</f>
        <v>124749;INF204KA1AO7;-;Reliance Interval Fund - II - Series 2 - Direct Plan - Growth Plan - Growth Option;12.9862;27-Oct-2016</v>
      </c>
      <c r="B8482" s="1"/>
    </row>
    <row r="8483">
      <c r="A8483" s="1" t="str">
        <f>IFERROR(__xludf.DUMMYFUNCTION("""COMPUTED_VALUE"""),"124750;INF204KA1AP4;INF204KA1AQ2;Reliance Interval Fund - II - Series 2 - Dividend Plan - Dividend Option;10.0000;27-Oct-2016")</f>
        <v>124750;INF204KA1AP4;INF204KA1AQ2;Reliance Interval Fund - II - Series 2 - Dividend Plan - Dividend Option;10.0000;27-Oct-2016</v>
      </c>
      <c r="B8483" s="1"/>
    </row>
    <row r="8484">
      <c r="A8484" s="1" t="str">
        <f>IFERROR(__xludf.DUMMYFUNCTION("""COMPUTED_VALUE"""),"124748;INF204KA1AR0;-;Reliance Interval Fund - II - Series 2 - Growth Plan - Growth Option;12.7938;27-Oct-2016")</f>
        <v>124748;INF204KA1AR0;-;Reliance Interval Fund - II - Series 2 - Growth Plan - Growth Option;12.7938;27-Oct-2016</v>
      </c>
      <c r="B8484" s="1"/>
    </row>
    <row r="8485">
      <c r="A8485" s="1" t="str">
        <f>IFERROR(__xludf.DUMMYFUNCTION("""COMPUTED_VALUE"""),"124755;INF204KA1AS8;INF204KA1AT6;Reliance Interval Fund - II - Series 3 - Direct Plan - Dividend Plan - Dividend Option;10.0000;01-Nov-2016")</f>
        <v>124755;INF204KA1AS8;INF204KA1AT6;Reliance Interval Fund - II - Series 3 - Direct Plan - Dividend Plan - Dividend Option;10.0000;01-Nov-2016</v>
      </c>
      <c r="B8485" s="1"/>
    </row>
    <row r="8486">
      <c r="A8486" s="1" t="str">
        <f>IFERROR(__xludf.DUMMYFUNCTION("""COMPUTED_VALUE"""),"124753;INF204KA1AU4;-;Reliance Interval Fund - II - Series 3 - Direct Plan - Growth Plan - Growth Option;12.8033;01-Nov-2016")</f>
        <v>124753;INF204KA1AU4;-;Reliance Interval Fund - II - Series 3 - Direct Plan - Growth Plan - Growth Option;12.8033;01-Nov-2016</v>
      </c>
      <c r="B8486" s="1"/>
    </row>
    <row r="8487">
      <c r="A8487" s="1" t="str">
        <f>IFERROR(__xludf.DUMMYFUNCTION("""COMPUTED_VALUE"""),"124754;INF204KA1AV2;INF204KA1AW0;Reliance Interval Fund - II - Series 3 - Dividend Plan - Dividend Option;10.0000;01-Nov-2016")</f>
        <v>124754;INF204KA1AV2;INF204KA1AW0;Reliance Interval Fund - II - Series 3 - Dividend Plan - Dividend Option;10.0000;01-Nov-2016</v>
      </c>
      <c r="B8487" s="1"/>
    </row>
    <row r="8488">
      <c r="A8488" s="1" t="str">
        <f>IFERROR(__xludf.DUMMYFUNCTION("""COMPUTED_VALUE"""),"124752;INF204KA1AX8;-;Reliance Interval Fund - II - Series 3 - Growth Plan - Growth Option;12.7519;01-Nov-2016")</f>
        <v>124752;INF204KA1AX8;-;Reliance Interval Fund - II - Series 3 - Growth Plan - Growth Option;12.7519;01-Nov-2016</v>
      </c>
      <c r="B8488" s="1"/>
    </row>
    <row r="8489">
      <c r="A8489" s="1" t="str">
        <f>IFERROR(__xludf.DUMMYFUNCTION("""COMPUTED_VALUE"""),"124876;INF204KA1BA4;-;Reliance Interval Fund - II - Series 4-Direct Plan-Growth Plan -Growth Option;13.6322;10-Nov-2017")</f>
        <v>124876;INF204KA1BA4;-;Reliance Interval Fund - II - Series 4-Direct Plan-Growth Plan -Growth Option;13.6322;10-Nov-2017</v>
      </c>
      <c r="B8489" s="1"/>
    </row>
    <row r="8490">
      <c r="A8490" s="1" t="str">
        <f>IFERROR(__xludf.DUMMYFUNCTION("""COMPUTED_VALUE"""),"124877;INF204KA1BB2;INF204KA1BC0;Reliance Interval Fund - II - Series 4-Dividend Plan -Dividend Option;10.0000;10-Nov-2017")</f>
        <v>124877;INF204KA1BB2;INF204KA1BC0;Reliance Interval Fund - II - Series 4-Dividend Plan -Dividend Option;10.0000;10-Nov-2017</v>
      </c>
      <c r="B8490" s="1"/>
    </row>
    <row r="8491">
      <c r="A8491" s="1" t="str">
        <f>IFERROR(__xludf.DUMMYFUNCTION("""COMPUTED_VALUE"""),"124874;INF204KA1BD8;-;Reliance Interval Fund - II - Series 4-Growth Plan-Growth Option;13.5960;10-Nov-2017")</f>
        <v>124874;INF204KA1BD8;-;Reliance Interval Fund - II - Series 4-Growth Plan-Growth Option;13.5960;10-Nov-2017</v>
      </c>
      <c r="B8491" s="1"/>
    </row>
    <row r="8492">
      <c r="A8492" s="1" t="str">
        <f>IFERROR(__xludf.DUMMYFUNCTION("""COMPUTED_VALUE"""),"120954;INF204K01R83;INF204K01R91;Reliance Yearly Interval Fund - Series 2 - Direct Plan - Dividend Plan - Dividend Option;10.0000;05-Mar-2018")</f>
        <v>120954;INF204K01R83;INF204K01R91;Reliance Yearly Interval Fund - Series 2 - Direct Plan - Dividend Plan - Dividend Option;10.0000;05-Mar-2018</v>
      </c>
      <c r="B8492" s="1"/>
    </row>
    <row r="8493">
      <c r="A8493" s="1" t="str">
        <f>IFERROR(__xludf.DUMMYFUNCTION("""COMPUTED_VALUE"""),"120955;INF204K01R75;-;Reliance Yearly Interval Fund - Series 2 - Direct Plan - Growth Plan - Growth Option;15.1049;05-Mar-2018")</f>
        <v>120955;INF204K01R75;-;Reliance Yearly Interval Fund - Series 2 - Direct Plan - Growth Plan - Growth Option;15.1049;05-Mar-2018</v>
      </c>
      <c r="B8493" s="1"/>
    </row>
    <row r="8494">
      <c r="A8494" s="1" t="str">
        <f>IFERROR(__xludf.DUMMYFUNCTION("""COMPUTED_VALUE"""),"120957;INF204K01R59;INF204K01R67;Reliance Yearly Interval Fund - Series 2 - Dividend Plan - Dividend Option;10.0000;05-Mar-2018")</f>
        <v>120957;INF204K01R59;INF204K01R67;Reliance Yearly Interval Fund - Series 2 - Dividend Plan - Dividend Option;10.0000;05-Mar-2018</v>
      </c>
      <c r="B8494" s="1"/>
    </row>
    <row r="8495">
      <c r="A8495" s="1" t="str">
        <f>IFERROR(__xludf.DUMMYFUNCTION("""COMPUTED_VALUE"""),"120956;INF204K01R42;-;Reliance Yearly Interval Fund - Series 2 - Growth Plan - Growth Option;15.0408;05-Mar-2018")</f>
        <v>120956;INF204K01R42;-;Reliance Yearly Interval Fund - Series 2 - Growth Plan - Growth Option;15.0408;05-Mar-2018</v>
      </c>
      <c r="B8495" s="1"/>
    </row>
    <row r="8496">
      <c r="A8496" s="1" t="str">
        <f>IFERROR(__xludf.DUMMYFUNCTION("""COMPUTED_VALUE"""),"121701;INF204K01T57;-;Reliance Yearly Interval Fund - Series 5 - Direct Plan - Growth Plan - Growth Option;13.8817;07-Apr-2017")</f>
        <v>121701;INF204K01T57;-;Reliance Yearly Interval Fund - Series 5 - Direct Plan - Growth Plan - Growth Option;13.8817;07-Apr-2017</v>
      </c>
      <c r="B8496" s="1"/>
    </row>
    <row r="8497">
      <c r="A8497" s="1" t="str">
        <f>IFERROR(__xludf.DUMMYFUNCTION("""COMPUTED_VALUE"""),"121699;INF204K01T24;-;Reliance Yearly Interval Fund - Series 5 - Growth Plan - Growth Option;13.8388;07-Apr-2017")</f>
        <v>121699;INF204K01T24;-;Reliance Yearly Interval Fund - Series 5 - Growth Plan - Growth Option;13.8388;07-Apr-2017</v>
      </c>
      <c r="B8497" s="1"/>
    </row>
    <row r="8498">
      <c r="A8498" s="1" t="str">
        <f>IFERROR(__xludf.DUMMYFUNCTION("""COMPUTED_VALUE"""),"122654;INF204K01V46;INF204K01V53;Reliance Yearly Interval Fund - Series 8 - Direct Plan - Dividend Plan - Dividend Option;10.0000;17-Jun-2014")</f>
        <v>122654;INF204K01V46;INF204K01V53;Reliance Yearly Interval Fund - Series 8 - Direct Plan - Dividend Plan - Dividend Option;10.0000;17-Jun-2014</v>
      </c>
      <c r="B8498" s="1"/>
    </row>
    <row r="8499">
      <c r="A8499" s="1" t="str">
        <f>IFERROR(__xludf.DUMMYFUNCTION("""COMPUTED_VALUE"""),"122653;INF204K01V38;-;Reliance Yearly Interval Fund - Series 8 - Direct Plan - Growth Plan - Growth Option;13.7847;28-Jun-2017")</f>
        <v>122653;INF204K01V38;-;Reliance Yearly Interval Fund - Series 8 - Direct Plan - Growth Plan - Growth Option;13.7847;28-Jun-2017</v>
      </c>
      <c r="B8499" s="1"/>
    </row>
    <row r="8500">
      <c r="A8500" s="1" t="str">
        <f>IFERROR(__xludf.DUMMYFUNCTION("""COMPUTED_VALUE"""),"122655;INF204K01V12;INF204K01V20;Reliance Yearly Interval Fund - Series 8 - Dividend Plan - Dividend Option;10.0005;28-Jun-2017")</f>
        <v>122655;INF204K01V12;INF204K01V20;Reliance Yearly Interval Fund - Series 8 - Dividend Plan - Dividend Option;10.0005;28-Jun-2017</v>
      </c>
      <c r="B8500" s="1"/>
    </row>
    <row r="8501">
      <c r="A8501" s="1" t="str">
        <f>IFERROR(__xludf.DUMMYFUNCTION("""COMPUTED_VALUE"""),"122652;INF204K01V04;-;Reliance Yearly Interval Fund - Series 8 - Growth Plan - Growth Option;13.7436;28-Jun-2017")</f>
        <v>122652;INF204K01V04;-;Reliance Yearly Interval Fund - Series 8 - Growth Plan - Growth Option;13.7436;28-Jun-2017</v>
      </c>
      <c r="B8501" s="1"/>
    </row>
    <row r="8502">
      <c r="A8502" s="1" t="str">
        <f>IFERROR(__xludf.DUMMYFUNCTION("""COMPUTED_VALUE"""),"122726;INF204K01V95;-;Reliance Yearly Interval Fund - Series 9 - Direct Plan - Growth Plan - Growth Option;13.7640;14-Jul-2017")</f>
        <v>122726;INF204K01V95;-;Reliance Yearly Interval Fund - Series 9 - Direct Plan - Growth Plan - Growth Option;13.7640;14-Jul-2017</v>
      </c>
      <c r="B8502" s="1"/>
    </row>
    <row r="8503">
      <c r="A8503" s="1" t="str">
        <f>IFERROR(__xludf.DUMMYFUNCTION("""COMPUTED_VALUE"""),"122727;INF204K01V79;INF204K01V87;Reliance Yearly Interval Fund - Series 9 - Dividend Plan - Dividend Option;10.0001;14-Jul-2017")</f>
        <v>122727;INF204K01V79;INF204K01V87;Reliance Yearly Interval Fund - Series 9 - Dividend Plan - Dividend Option;10.0001;14-Jul-2017</v>
      </c>
      <c r="B8503" s="1"/>
    </row>
    <row r="8504">
      <c r="A8504" s="1" t="str">
        <f>IFERROR(__xludf.DUMMYFUNCTION("""COMPUTED_VALUE"""),"122729;INF204K01V61;-;Reliance Yearly Interval Fund - Series 9 - Growth Plan - Growth Option;13.7202;14-Jul-2017")</f>
        <v>122729;INF204K01V61;-;Reliance Yearly Interval Fund - Series 9 - Growth Plan - Growth Option;13.7202;14-Jul-2017</v>
      </c>
      <c r="B8504" s="1"/>
    </row>
    <row r="8505">
      <c r="A8505" s="1"/>
      <c r="B8505" s="1"/>
    </row>
    <row r="8506">
      <c r="A8506" s="1" t="str">
        <f>IFERROR(__xludf.DUMMYFUNCTION("""COMPUTED_VALUE"""),"SBI Mutual Fund")</f>
        <v>SBI Mutual Fund</v>
      </c>
      <c r="B8506" s="1"/>
    </row>
    <row r="8507">
      <c r="A8507" s="1"/>
      <c r="B8507" s="1"/>
    </row>
    <row r="8508">
      <c r="A8508" s="1" t="str">
        <f>IFERROR(__xludf.DUMMYFUNCTION("""COMPUTED_VALUE"""),"102056;INF200K01750;INF200K01768;SBI Magnum Income Plus Fund - Savings Plan (D);11.1062;05-Oct-2012")</f>
        <v>102056;INF200K01750;INF200K01768;SBI Magnum Income Plus Fund - Savings Plan (D);11.1062;05-Oct-2012</v>
      </c>
      <c r="B8508" s="1"/>
    </row>
    <row r="8509">
      <c r="A8509" s="1" t="str">
        <f>IFERROR(__xludf.DUMMYFUNCTION("""COMPUTED_VALUE"""),"102055;INF200K01743;-;SBI Magnum Income Plus Fund - Savings Plan (G);12.5326;05-Oct-2012")</f>
        <v>102055;INF200K01743;-;SBI Magnum Income Plus Fund - Savings Plan (G);12.5326;05-Oct-2012</v>
      </c>
      <c r="B8509" s="1"/>
    </row>
    <row r="8510">
      <c r="A8510" s="1"/>
      <c r="B8510" s="1"/>
    </row>
    <row r="8511">
      <c r="A8511" s="1" t="str">
        <f>IFERROR(__xludf.DUMMYFUNCTION("""COMPUTED_VALUE"""),"Open Ended Schemes(Money Market)")</f>
        <v>Open Ended Schemes(Money Market)</v>
      </c>
      <c r="B8511" s="1"/>
    </row>
    <row r="8512">
      <c r="A8512" s="1"/>
      <c r="B8512" s="1"/>
    </row>
    <row r="8513">
      <c r="A8513" s="1" t="str">
        <f>IFERROR(__xludf.DUMMYFUNCTION("""COMPUTED_VALUE"""),"Taurus Mutual Fund")</f>
        <v>Taurus Mutual Fund</v>
      </c>
      <c r="B8513" s="1"/>
    </row>
    <row r="8514">
      <c r="A8514" s="1"/>
      <c r="B8514" s="1"/>
    </row>
    <row r="8515">
      <c r="A8515" s="1" t="str">
        <f>IFERROR(__xludf.DUMMYFUNCTION("""COMPUTED_VALUE"""),"139619;-;-;Taurus Investor Education Pool - Unclaimed Dividend - Growth;10.0000;25-Aug-2023")</f>
        <v>139619;-;-;Taurus Investor Education Pool - Unclaimed Dividend - Growth;10.0000;25-Aug-2023</v>
      </c>
      <c r="B8515" s="1"/>
    </row>
    <row r="8516">
      <c r="A8516" s="1" t="str">
        <f>IFERROR(__xludf.DUMMYFUNCTION("""COMPUTED_VALUE"""),"139618;-;-;Taurus Investor Education Pool - Unclaimed Redemption - Growth;10.0000;25-Aug-2023")</f>
        <v>139618;-;-;Taurus Investor Education Pool - Unclaimed Redemption - Growth;10.0000;25-Aug-2023</v>
      </c>
      <c r="B8516" s="1"/>
    </row>
    <row r="8517">
      <c r="A8517" s="1" t="str">
        <f>IFERROR(__xludf.DUMMYFUNCTION("""COMPUTED_VALUE"""),"139616;-;-;Taurus Unclaimed Dividend - Growth;15.3118;25-Aug-2023")</f>
        <v>139616;-;-;Taurus Unclaimed Dividend - Growth;15.3118;25-Aug-2023</v>
      </c>
      <c r="B8517" s="1"/>
    </row>
    <row r="8518">
      <c r="A8518" s="1" t="str">
        <f>IFERROR(__xludf.DUMMYFUNCTION("""COMPUTED_VALUE"""),"139617;-;-;Taurus Unclaimed Redemption - Growth;15.3131;25-Aug-2023")</f>
        <v>139617;-;-;Taurus Unclaimed Redemption - Growth;15.3131;25-Aug-2023</v>
      </c>
      <c r="B8518" s="1"/>
    </row>
    <row r="8519">
      <c r="A8519" s="1"/>
      <c r="B8519" s="1"/>
    </row>
    <row r="8520">
      <c r="A8520" s="1" t="str">
        <f>IFERROR(__xludf.DUMMYFUNCTION("""COMPUTED_VALUE"""),"Open Ended Schemes(Other Scheme - FoF Domestic)")</f>
        <v>Open Ended Schemes(Other Scheme - FoF Domestic)</v>
      </c>
      <c r="B8520" s="1"/>
    </row>
    <row r="8521">
      <c r="A8521" s="1"/>
      <c r="B8521" s="1"/>
    </row>
    <row r="8522">
      <c r="A8522" s="1" t="str">
        <f>IFERROR(__xludf.DUMMYFUNCTION("""COMPUTED_VALUE"""),"Aditya Birla Sun Life Mutual Fund")</f>
        <v>Aditya Birla Sun Life Mutual Fund</v>
      </c>
      <c r="B8522" s="1"/>
    </row>
    <row r="8523">
      <c r="A8523" s="1"/>
      <c r="B8523" s="1"/>
    </row>
    <row r="8524">
      <c r="A8524" s="1" t="str">
        <f>IFERROR(__xludf.DUMMYFUNCTION("""COMPUTED_VALUE"""),"131897;INF084M01DQ0;INF084M01DR8;Aditya Birla Sun Life Active Debt Multi Manager FoF Scheme - DIRECT - IDCW;21.3789;25-Aug-2023")</f>
        <v>131897;INF084M01DQ0;INF084M01DR8;Aditya Birla Sun Life Active Debt Multi Manager FoF Scheme - DIRECT - IDCW;21.3789;25-Aug-2023</v>
      </c>
      <c r="B8524" s="1"/>
    </row>
    <row r="8525">
      <c r="A8525" s="1" t="str">
        <f>IFERROR(__xludf.DUMMYFUNCTION("""COMPUTED_VALUE"""),"131898;INF084M01DP2;-;Aditya Birla Sun Life Active Debt Multi Manager FoF Scheme - Direct Plan - Growth Option;34.1418;25-Aug-2023")</f>
        <v>131898;INF084M01DP2;-;Aditya Birla Sun Life Active Debt Multi Manager FoF Scheme - Direct Plan - Growth Option;34.1418;25-Aug-2023</v>
      </c>
      <c r="B8525" s="1"/>
    </row>
    <row r="8526">
      <c r="A8526" s="1" t="str">
        <f>IFERROR(__xludf.DUMMYFUNCTION("""COMPUTED_VALUE"""),"131895;INF084M01AI3;INF084M01AJ1;Aditya Birla Sun Life Active Debt Multi Manager FoF Scheme - REGULAR - IDCW;20.3878;25-Aug-2023")</f>
        <v>131895;INF084M01AI3;INF084M01AJ1;Aditya Birla Sun Life Active Debt Multi Manager FoF Scheme - REGULAR - IDCW;20.3878;25-Aug-2023</v>
      </c>
      <c r="B8526" s="1"/>
    </row>
    <row r="8527">
      <c r="A8527" s="1" t="str">
        <f>IFERROR(__xludf.DUMMYFUNCTION("""COMPUTED_VALUE"""),"131896;INF084M01AH5;-;Aditya Birla Sun Life Active Debt Multi Manager FoF Scheme - Regular Plan - Growth Option;32.5094;25-Aug-2023")</f>
        <v>131896;INF084M01AH5;-;Aditya Birla Sun Life Active Debt Multi Manager FoF Scheme - Regular Plan - Growth Option;32.5094;25-Aug-2023</v>
      </c>
      <c r="B8527" s="1"/>
    </row>
    <row r="8528">
      <c r="A8528" s="1" t="str">
        <f>IFERROR(__xludf.DUMMYFUNCTION("""COMPUTED_VALUE"""),"131865;INF084M01DM9;-;Aditya Birla Sun Life Asset Allocator FoF- Direct Plan - Growth Option;24.937;25-Aug-2023")</f>
        <v>131865;INF084M01DM9;-;Aditya Birla Sun Life Asset Allocator FoF- Direct Plan - Growth Option;24.937;25-Aug-2023</v>
      </c>
      <c r="B8528" s="1"/>
    </row>
    <row r="8529">
      <c r="A8529" s="1" t="str">
        <f>IFERROR(__xludf.DUMMYFUNCTION("""COMPUTED_VALUE"""),"131864;INF084M01AE2;-;Aditya Birla Sun Life Asset Allocator FoF- Regular Plan - Growth Option;48.1772;25-Aug-2023")</f>
        <v>131864;INF084M01AE2;-;Aditya Birla Sun Life Asset Allocator FoF- Regular Plan - Growth Option;48.1772;25-Aug-2023</v>
      </c>
      <c r="B8529" s="1"/>
    </row>
    <row r="8530">
      <c r="A8530" s="1" t="str">
        <f>IFERROR(__xludf.DUMMYFUNCTION("""COMPUTED_VALUE"""),"131866;INF084M01DN7;INF084M01DO5;Aditya Birla Sun Life Asset Allocator FoF-DIRECT - IDCW;23.7624;25-Aug-2023")</f>
        <v>131866;INF084M01DN7;INF084M01DO5;Aditya Birla Sun Life Asset Allocator FoF-DIRECT - IDCW;23.7624;25-Aug-2023</v>
      </c>
      <c r="B8530" s="1"/>
    </row>
    <row r="8531">
      <c r="A8531" s="1" t="str">
        <f>IFERROR(__xludf.DUMMYFUNCTION("""COMPUTED_VALUE"""),"131863;INF084M01AF9;INF084M01AG7;Aditya Birla Sun Life Asset Allocator FoF-REGULAR - IDCW;44.3645;25-Aug-2023")</f>
        <v>131863;INF084M01AF9;INF084M01AG7;Aditya Birla Sun Life Asset Allocator FoF-REGULAR - IDCW;44.3645;25-Aug-2023</v>
      </c>
      <c r="B8531" s="1"/>
    </row>
    <row r="8532">
      <c r="A8532" s="1" t="str">
        <f>IFERROR(__xludf.DUMMYFUNCTION("""COMPUTED_VALUE"""),"132187;INF084M01EX4;INF084M01EY2;Aditya Birla Sun Life Financial Planning Fund - Aggressive Plan - Direct - IDCW;38.5282;25-Aug-2023")</f>
        <v>132187;INF084M01EX4;INF084M01EY2;Aditya Birla Sun Life Financial Planning Fund - Aggressive Plan - Direct - IDCW;38.5282;25-Aug-2023</v>
      </c>
      <c r="B8532" s="1"/>
    </row>
    <row r="8533">
      <c r="A8533" s="1" t="str">
        <f>IFERROR(__xludf.DUMMYFUNCTION("""COMPUTED_VALUE"""),"132186;INF084M01EW6;-;Aditya Birla Sun Life Financial Planning Fund - Aggressive Plan - Direct Plan - Growth Option;42.0697;25-Aug-2023")</f>
        <v>132186;INF084M01EW6;-;Aditya Birla Sun Life Financial Planning Fund - Aggressive Plan - Direct Plan - Growth Option;42.0697;25-Aug-2023</v>
      </c>
      <c r="B8533" s="1"/>
    </row>
    <row r="8534">
      <c r="A8534" s="1" t="str">
        <f>IFERROR(__xludf.DUMMYFUNCTION("""COMPUTED_VALUE"""),"132180;INF084M01101;-;Aditya Birla Sun Life Financial Planning Fund - Aggressive Plan - Regular Plan - Growth Option;38.8518;25-Aug-2023")</f>
        <v>132180;INF084M01101;-;Aditya Birla Sun Life Financial Planning Fund - Aggressive Plan - Regular Plan - Growth Option;38.8518;25-Aug-2023</v>
      </c>
      <c r="B8534" s="1"/>
    </row>
    <row r="8535">
      <c r="A8535" s="1" t="str">
        <f>IFERROR(__xludf.DUMMYFUNCTION("""COMPUTED_VALUE"""),"132181;INF084M01119;INF084M01127;Aditya Birla Sun Life Financial Planning Fund - Aggressive Plan -Regular - IDCW;35.5633;25-Aug-2023")</f>
        <v>132181;INF084M01119;INF084M01127;Aditya Birla Sun Life Financial Planning Fund - Aggressive Plan -Regular - IDCW;35.5633;25-Aug-2023</v>
      </c>
      <c r="B8535" s="1"/>
    </row>
    <row r="8536">
      <c r="A8536" s="1" t="str">
        <f>IFERROR(__xludf.DUMMYFUNCTION("""COMPUTED_VALUE"""),"132183;INF084M01EQ8;-;Aditya Birla Sun Life Financial Planning Fund - Conservative Plan - Direct Plan - Growth Option;28.5663;25-Aug-2023")</f>
        <v>132183;INF084M01EQ8;-;Aditya Birla Sun Life Financial Planning Fund - Conservative Plan - Direct Plan - Growth Option;28.5663;25-Aug-2023</v>
      </c>
      <c r="B8536" s="1"/>
    </row>
    <row r="8537">
      <c r="A8537" s="1" t="str">
        <f>IFERROR(__xludf.DUMMYFUNCTION("""COMPUTED_VALUE"""),"132178;INF084M01044;-;Aditya Birla Sun life Financial Planning Fund - Conservative Plan - Regular Plan - Growth Option;27.0802;25-Aug-2023")</f>
        <v>132178;INF084M01044;-;Aditya Birla Sun life Financial Planning Fund - Conservative Plan - Regular Plan - Growth Option;27.0802;25-Aug-2023</v>
      </c>
      <c r="B8537" s="1"/>
    </row>
    <row r="8538">
      <c r="A8538" s="1" t="str">
        <f>IFERROR(__xludf.DUMMYFUNCTION("""COMPUTED_VALUE"""),"132184;INF084M01ER6;INF084M01ES4;Aditya Birla Sun Life Financial Planning Fund - Conservative Plan -Direct - IDCW;19.3959;25-Aug-2023")</f>
        <v>132184;INF084M01ER6;INF084M01ES4;Aditya Birla Sun Life Financial Planning Fund - Conservative Plan -Direct - IDCW;19.3959;25-Aug-2023</v>
      </c>
      <c r="B8538" s="1"/>
    </row>
    <row r="8539">
      <c r="A8539" s="1" t="str">
        <f>IFERROR(__xludf.DUMMYFUNCTION("""COMPUTED_VALUE"""),"132179;INF084M01051;INF084M01069;Aditya Birla Sun Life Financial Planning Fund - Conservative Plan -Regular - IDCW;24.6373;25-Aug-2023")</f>
        <v>132179;INF084M01051;INF084M01069;Aditya Birla Sun Life Financial Planning Fund - Conservative Plan -Regular - IDCW;24.6373;25-Aug-2023</v>
      </c>
      <c r="B8539" s="1"/>
    </row>
    <row r="8540">
      <c r="A8540" s="1" t="str">
        <f>IFERROR(__xludf.DUMMYFUNCTION("""COMPUTED_VALUE"""),"132185;INF084M01ET2;-;Aditya Birla Sun Life Financial Planning Fund - Moderate Plan - Direct Plan - Growth Option;33.7633;25-Aug-2023")</f>
        <v>132185;INF084M01ET2;-;Aditya Birla Sun Life Financial Planning Fund - Moderate Plan - Direct Plan - Growth Option;33.7633;25-Aug-2023</v>
      </c>
      <c r="B8540" s="1"/>
    </row>
    <row r="8541">
      <c r="A8541" s="1" t="str">
        <f>IFERROR(__xludf.DUMMYFUNCTION("""COMPUTED_VALUE"""),"132174;INF084M01077;-;Aditya Birla Sun Life Financial Planning Fund - Moderate Plan - Regular Plan - Growth Option;31.9005;25-Aug-2023")</f>
        <v>132174;INF084M01077;-;Aditya Birla Sun Life Financial Planning Fund - Moderate Plan - Regular Plan - Growth Option;31.9005;25-Aug-2023</v>
      </c>
      <c r="B8541" s="1"/>
    </row>
    <row r="8542">
      <c r="A8542" s="1" t="str">
        <f>IFERROR(__xludf.DUMMYFUNCTION("""COMPUTED_VALUE"""),"132175;INF084M01085;INF084M01093;Aditya Birla Sun Life Financial Planning Fund -Moderate  Plan -  Regular -  IDCW;28.6126;25-Aug-2023")</f>
        <v>132175;INF084M01085;INF084M01093;Aditya Birla Sun Life Financial Planning Fund -Moderate  Plan -  Regular -  IDCW;28.6126;25-Aug-2023</v>
      </c>
      <c r="B8542" s="1"/>
    </row>
    <row r="8543">
      <c r="A8543" s="1" t="str">
        <f>IFERROR(__xludf.DUMMYFUNCTION("""COMPUTED_VALUE"""),"132189;INF084M01EU0;INF084M01EV8;Aditya Birla Sun Life Financial Planning Fund -Moderate  Plan - Direct - IDCW;30.614;25-Aug-2023")</f>
        <v>132189;INF084M01EU0;INF084M01EV8;Aditya Birla Sun Life Financial Planning Fund -Moderate  Plan - Direct - IDCW;30.614;25-Aug-2023</v>
      </c>
      <c r="B8543" s="1"/>
    </row>
    <row r="8544">
      <c r="A8544" s="1" t="str">
        <f>IFERROR(__xludf.DUMMYFUNCTION("""COMPUTED_VALUE"""),"120546;INF209K01YU5;-;Aditya Birla Sun Life Gold Fund - Growth - Direct Plan;18.2541;25-Aug-2023")</f>
        <v>120546;INF209K01YU5;-;Aditya Birla Sun Life Gold Fund - Growth - Direct Plan;18.2541;25-Aug-2023</v>
      </c>
      <c r="B8544" s="1"/>
    </row>
    <row r="8545">
      <c r="A8545" s="1" t="str">
        <f>IFERROR(__xludf.DUMMYFUNCTION("""COMPUTED_VALUE"""),"120545;INF209K01YT7;-;Aditya Birla Sun Life Gold Fund-DIRECT - IDCW;18.2567;25-Aug-2023")</f>
        <v>120545;INF209K01YT7;-;Aditya Birla Sun Life Gold Fund-DIRECT - IDCW;18.2567;25-Aug-2023</v>
      </c>
      <c r="B8545" s="1"/>
    </row>
    <row r="8546">
      <c r="A8546" s="1" t="str">
        <f>IFERROR(__xludf.DUMMYFUNCTION("""COMPUTED_VALUE"""),"116796;INF209K01PF4;-;Aditya Birla Sun Life Gold Fund-Growth;17.6765;25-Aug-2023")</f>
        <v>116796;INF209K01PF4;-;Aditya Birla Sun Life Gold Fund-Growth;17.6765;25-Aug-2023</v>
      </c>
      <c r="B8546" s="1"/>
    </row>
    <row r="8547">
      <c r="A8547" s="1" t="str">
        <f>IFERROR(__xludf.DUMMYFUNCTION("""COMPUTED_VALUE"""),"116795;INF209K01PG2;INF209K01PH0;Aditya Birla Sun Life Gold Fund-REGULAR - IDCW;17.6757;25-Aug-2023")</f>
        <v>116795;INF209K01PG2;INF209K01PH0;Aditya Birla Sun Life Gold Fund-REGULAR - IDCW;17.6757;25-Aug-2023</v>
      </c>
      <c r="B8547" s="1"/>
    </row>
    <row r="8548">
      <c r="A8548" s="1" t="str">
        <f>IFERROR(__xludf.DUMMYFUNCTION("""COMPUTED_VALUE"""),"150688;INF209KB15M0;-;Aditya Birla Sun Life Multi - Index Fund of Funds-Direct Growth;11.1058;25-Aug-2023")</f>
        <v>150688;INF209KB15M0;-;Aditya Birla Sun Life Multi - Index Fund of Funds-Direct Growth;11.1058;25-Aug-2023</v>
      </c>
      <c r="B8548" s="1"/>
    </row>
    <row r="8549">
      <c r="A8549" s="1" t="str">
        <f>IFERROR(__xludf.DUMMYFUNCTION("""COMPUTED_VALUE"""),"150689;INF209KB16M8;INF209KB17M6;Aditya Birla Sun Life Multi- Index Fund Of Fund-Direct IDCW;11.1058;25-Aug-2023")</f>
        <v>150689;INF209KB16M8;INF209KB17M6;Aditya Birla Sun Life Multi- Index Fund Of Fund-Direct IDCW;11.1058;25-Aug-2023</v>
      </c>
      <c r="B8549" s="1"/>
    </row>
    <row r="8550">
      <c r="A8550" s="1" t="str">
        <f>IFERROR(__xludf.DUMMYFUNCTION("""COMPUTED_VALUE"""),"150691;INF209KB13M5;INF209KB14M3;Aditya Birla Sun Life Multi- Index Fund Of Fund-Regular IDCW;11.0649;25-Aug-2023")</f>
        <v>150691;INF209KB13M5;INF209KB14M3;Aditya Birla Sun Life Multi- Index Fund Of Fund-Regular IDCW;11.0649;25-Aug-2023</v>
      </c>
      <c r="B8550" s="1"/>
    </row>
    <row r="8551">
      <c r="A8551" s="1" t="str">
        <f>IFERROR(__xludf.DUMMYFUNCTION("""COMPUTED_VALUE"""),"150690;INF209KB12M7;-;Aditya Birla Sun Life Multi-Index Fund Of Fund-Regular Growth;11.0649;25-Aug-2023")</f>
        <v>150690;INF209KB12M7;-;Aditya Birla Sun Life Multi-Index Fund Of Fund-Regular Growth;11.0649;25-Aug-2023</v>
      </c>
      <c r="B8551" s="1"/>
    </row>
    <row r="8552">
      <c r="A8552" s="1" t="str">
        <f>IFERROR(__xludf.DUMMYFUNCTION("""COMPUTED_VALUE"""),"149780;INF209KB16F2;-;Aditya Birla Sun Life Silver ETF FOF-Direct Growth;11.9394;25-Aug-2023")</f>
        <v>149780;INF209KB16F2;-;Aditya Birla Sun Life Silver ETF FOF-Direct Growth;11.9394;25-Aug-2023</v>
      </c>
      <c r="B8552" s="1"/>
    </row>
    <row r="8553">
      <c r="A8553" s="1" t="str">
        <f>IFERROR(__xludf.DUMMYFUNCTION("""COMPUTED_VALUE"""),"149781;INF209KB17F0;INF209KB18F8;Aditya Birla Sun Life Silver ETF FOF-Direct IDCW;11.9365;25-Aug-2023")</f>
        <v>149781;INF209KB17F0;INF209KB18F8;Aditya Birla Sun Life Silver ETF FOF-Direct IDCW;11.9365;25-Aug-2023</v>
      </c>
      <c r="B8553" s="1"/>
    </row>
    <row r="8554">
      <c r="A8554" s="1" t="str">
        <f>IFERROR(__xludf.DUMMYFUNCTION("""COMPUTED_VALUE"""),"149783;INF209KB13F9;-;Aditya Birla Sun Life Silver ETF FOF-Regular Growth;11.8397;25-Aug-2023")</f>
        <v>149783;INF209KB13F9;-;Aditya Birla Sun Life Silver ETF FOF-Regular Growth;11.8397;25-Aug-2023</v>
      </c>
      <c r="B8554" s="1"/>
    </row>
    <row r="8555">
      <c r="A8555" s="1" t="str">
        <f>IFERROR(__xludf.DUMMYFUNCTION("""COMPUTED_VALUE"""),"149784;INF209KB14F7;INF209KB15F4;Aditya Birla Sun Life Silver ETF FOF-Regular IDCW;11.8377;25-Aug-2023")</f>
        <v>149784;INF209KB14F7;INF209KB15F4;Aditya Birla Sun Life Silver ETF FOF-Regular IDCW;11.8377;25-Aug-2023</v>
      </c>
      <c r="B8555" s="1"/>
    </row>
    <row r="8556">
      <c r="A8556" s="1"/>
      <c r="B8556" s="1"/>
    </row>
    <row r="8557">
      <c r="A8557" s="1" t="str">
        <f>IFERROR(__xludf.DUMMYFUNCTION("""COMPUTED_VALUE"""),"Axis Mutual Fund")</f>
        <v>Axis Mutual Fund</v>
      </c>
      <c r="B8557" s="1"/>
    </row>
    <row r="8558">
      <c r="A8558" s="1"/>
      <c r="B8558" s="1"/>
    </row>
    <row r="8559">
      <c r="A8559" s="1" t="str">
        <f>IFERROR(__xludf.DUMMYFUNCTION("""COMPUTED_VALUE"""),"147905;INF846K01V73;INF846K01V65;Axis All Seasons Debt Fund of Fund - Regular Plan - Quarterly IDCW;10.9420;24-Aug-2023")</f>
        <v>147905;INF846K01V73;INF846K01V65;Axis All Seasons Debt Fund of Fund - Regular Plan - Quarterly IDCW;10.9420;24-Aug-2023</v>
      </c>
      <c r="B8559" s="1"/>
    </row>
    <row r="8560">
      <c r="A8560" s="1" t="str">
        <f>IFERROR(__xludf.DUMMYFUNCTION("""COMPUTED_VALUE"""),"147895;INF846K01U25;INF846K01U17;Axis All Seasons Debt Fund of Funds - Direct Plan - Annual IDCW;11.9931;24-Aug-2023")</f>
        <v>147895;INF846K01U25;INF846K01U17;Axis All Seasons Debt Fund of Funds - Direct Plan - Annual IDCW;11.9931;24-Aug-2023</v>
      </c>
      <c r="B8560" s="1"/>
    </row>
    <row r="8561">
      <c r="A8561" s="1" t="str">
        <f>IFERROR(__xludf.DUMMYFUNCTION("""COMPUTED_VALUE"""),"147889;INF846K01U09;-;Axis All Seasons Debt Fund of Funds - Direct Plan - Growth Option;12.5120;24-Aug-2023")</f>
        <v>147889;INF846K01U09;-;Axis All Seasons Debt Fund of Funds - Direct Plan - Growth Option;12.5120;24-Aug-2023</v>
      </c>
      <c r="B8561" s="1"/>
    </row>
    <row r="8562">
      <c r="A8562" s="1" t="str">
        <f>IFERROR(__xludf.DUMMYFUNCTION("""COMPUTED_VALUE"""),"147894;INF846K01U74;INF846K01U82;Axis All Seasons Debt Fund of Funds - Direct Plan - Half Yearly Dividend Option;11.0817;24-Aug-2023")</f>
        <v>147894;INF846K01U74;INF846K01U82;Axis All Seasons Debt Fund of Funds - Direct Plan - Half Yearly Dividend Option;11.0817;24-Aug-2023</v>
      </c>
      <c r="B8562" s="1"/>
    </row>
    <row r="8563">
      <c r="A8563" s="1" t="str">
        <f>IFERROR(__xludf.DUMMYFUNCTION("""COMPUTED_VALUE"""),"147891;INF846K01U90;INF846K01V08;Axis All Seasons Debt Fund of Funds - Direct Plan - IDCW;12.5206;24-Aug-2023")</f>
        <v>147891;INF846K01U90;INF846K01V08;Axis All Seasons Debt Fund of Funds - Direct Plan - IDCW;12.5206;24-Aug-2023</v>
      </c>
      <c r="B8563" s="1"/>
    </row>
    <row r="8564">
      <c r="A8564" s="1" t="str">
        <f>IFERROR(__xludf.DUMMYFUNCTION("""COMPUTED_VALUE"""),"147892;INF846K01U41;INF846K01U33;Axis All Seasons Debt Fund of Funds - Direct Plan - Monthly IDCW;12.5225;24-Aug-2023")</f>
        <v>147892;INF846K01U41;INF846K01U33;Axis All Seasons Debt Fund of Funds - Direct Plan - Monthly IDCW;12.5225;24-Aug-2023</v>
      </c>
      <c r="B8564" s="1"/>
    </row>
    <row r="8565">
      <c r="A8565" s="1" t="str">
        <f>IFERROR(__xludf.DUMMYFUNCTION("""COMPUTED_VALUE"""),"147893;INF846K01U66;INF846K01U58;Axis All Seasons Debt Fund of Funds - Direct Plan - Quarterly IDCW;10.9376;24-Aug-2023")</f>
        <v>147893;INF846K01U66;INF846K01U58;Axis All Seasons Debt Fund of Funds - Direct Plan - Quarterly IDCW;10.9376;24-Aug-2023</v>
      </c>
      <c r="B8565" s="1"/>
    </row>
    <row r="8566">
      <c r="A8566" s="1" t="str">
        <f>IFERROR(__xludf.DUMMYFUNCTION("""COMPUTED_VALUE"""),"147898;INF846K01V32;INF846K01V24;Axis All Seasons Debt Fund of Funds - Regular Plan - Annual IDCW;11.8673;24-Aug-2023")</f>
        <v>147898;INF846K01V32;INF846K01V24;Axis All Seasons Debt Fund of Funds - Regular Plan - Annual IDCW;11.8673;24-Aug-2023</v>
      </c>
      <c r="B8566" s="1"/>
    </row>
    <row r="8567">
      <c r="A8567" s="1" t="str">
        <f>IFERROR(__xludf.DUMMYFUNCTION("""COMPUTED_VALUE"""),"147890;INF846K01V16;-;Axis All Seasons Debt Fund of Funds - Regular Plan - Growth Option;12.3613;24-Aug-2023")</f>
        <v>147890;INF846K01V16;-;Axis All Seasons Debt Fund of Funds - Regular Plan - Growth Option;12.3613;24-Aug-2023</v>
      </c>
      <c r="B8567" s="1"/>
    </row>
    <row r="8568">
      <c r="A8568" s="1" t="str">
        <f>IFERROR(__xludf.DUMMYFUNCTION("""COMPUTED_VALUE"""),"147897;INF846K01V81;INF846K01V99;Axis All Seasons Debt Fund of Funds - Regular Plan - Half Yearly IDCW;12.0070;24-Aug-2023")</f>
        <v>147897;INF846K01V81;INF846K01V99;Axis All Seasons Debt Fund of Funds - Regular Plan - Half Yearly IDCW;12.0070;24-Aug-2023</v>
      </c>
      <c r="B8568" s="1"/>
    </row>
    <row r="8569">
      <c r="A8569" s="1" t="str">
        <f>IFERROR(__xludf.DUMMYFUNCTION("""COMPUTED_VALUE"""),"147888;INF846K01W07;INF846K01W15;Axis All Seasons Debt Fund of Funds - Regular Plan - IDCW;12.3611;24-Aug-2023")</f>
        <v>147888;INF846K01W07;INF846K01W15;Axis All Seasons Debt Fund of Funds - Regular Plan - IDCW;12.3611;24-Aug-2023</v>
      </c>
      <c r="B8569" s="1"/>
    </row>
    <row r="8570">
      <c r="A8570" s="1" t="str">
        <f>IFERROR(__xludf.DUMMYFUNCTION("""COMPUTED_VALUE"""),"147896;INF846K01V57;INF846K01V40;Axis All Seasons Debt Fund of Funds - Regular Plan - Monthly IDCW;12.3605;24-Aug-2023")</f>
        <v>147896;INF846K01V57;INF846K01V40;Axis All Seasons Debt Fund of Funds - Regular Plan - Monthly IDCW;12.3605;24-Aug-2023</v>
      </c>
      <c r="B8570" s="1"/>
    </row>
    <row r="8571">
      <c r="A8571" s="1" t="str">
        <f>IFERROR(__xludf.DUMMYFUNCTION("""COMPUTED_VALUE"""),"149847;INF846K011G9;-;Axis Equity ETFs FOF - Direct Plan - Growth Option;11.7233;25-Aug-2023")</f>
        <v>149847;INF846K011G9;-;Axis Equity ETFs FOF - Direct Plan - Growth Option;11.7233;25-Aug-2023</v>
      </c>
      <c r="B8571" s="1"/>
    </row>
    <row r="8572">
      <c r="A8572" s="1" t="str">
        <f>IFERROR(__xludf.DUMMYFUNCTION("""COMPUTED_VALUE"""),"149846;INF846K012G7;INF846K013G5;Axis Equity ETFs FOF - Direct Plan - IDCW;11.7233;25-Aug-2023")</f>
        <v>149846;INF846K012G7;INF846K013G5;Axis Equity ETFs FOF - Direct Plan - IDCW;11.7233;25-Aug-2023</v>
      </c>
      <c r="B8572" s="1"/>
    </row>
    <row r="8573">
      <c r="A8573" s="1" t="str">
        <f>IFERROR(__xludf.DUMMYFUNCTION("""COMPUTED_VALUE"""),"149844;INF846K014G3;-;Axis Equity ETFs FOF - Regular Plan - Growth Option;11.6952;25-Aug-2023")</f>
        <v>149844;INF846K014G3;-;Axis Equity ETFs FOF - Regular Plan - Growth Option;11.6952;25-Aug-2023</v>
      </c>
      <c r="B8573" s="1"/>
    </row>
    <row r="8574">
      <c r="A8574" s="1" t="str">
        <f>IFERROR(__xludf.DUMMYFUNCTION("""COMPUTED_VALUE"""),"149845;INF846K015G0;INF846K016G8;Axis Equity ETFs FOF - Regular Plan - IDCW;11.6952;25-Aug-2023")</f>
        <v>149845;INF846K015G0;INF846K016G8;Axis Equity ETFs FOF - Regular Plan - IDCW;11.6952;25-Aug-2023</v>
      </c>
      <c r="B8574" s="1"/>
    </row>
    <row r="8575">
      <c r="A8575" s="1" t="str">
        <f>IFERROR(__xludf.DUMMYFUNCTION("""COMPUTED_VALUE"""),"120473;INF846K01DS2;-;Axis Gold Fund - Direct Plan - Growth option;19.2030;25-Aug-2023")</f>
        <v>120473;INF846K01DS2;-;Axis Gold Fund - Direct Plan - Growth option;19.2030;25-Aug-2023</v>
      </c>
      <c r="B8575" s="1"/>
    </row>
    <row r="8576">
      <c r="A8576" s="1" t="str">
        <f>IFERROR(__xludf.DUMMYFUNCTION("""COMPUTED_VALUE"""),"120472;INF846K01DQ6;INF846K01DR4;Axis Gold Fund - Direct Plan - IDCW;19.2211;25-Aug-2023")</f>
        <v>120472;INF846K01DQ6;INF846K01DR4;Axis Gold Fund - Direct Plan - IDCW;19.2211;25-Aug-2023</v>
      </c>
      <c r="B8576" s="1"/>
    </row>
    <row r="8577">
      <c r="A8577" s="1" t="str">
        <f>IFERROR(__xludf.DUMMYFUNCTION("""COMPUTED_VALUE"""),"115897;INF846K01AL3;-;Axis Gold Fund - Regular Plan - Growth Option;17.7472;25-Aug-2023")</f>
        <v>115897;INF846K01AL3;-;Axis Gold Fund - Regular Plan - Growth Option;17.7472;25-Aug-2023</v>
      </c>
      <c r="B8577" s="1"/>
    </row>
    <row r="8578">
      <c r="A8578" s="1" t="str">
        <f>IFERROR(__xludf.DUMMYFUNCTION("""COMPUTED_VALUE"""),"115898;INF846K01AM1;INF846K01AN9;Axis Gold Fund - Regular Plan - IDCW;17.7697;25-Aug-2023")</f>
        <v>115898;INF846K01AM1;INF846K01AN9;Axis Gold Fund - Regular Plan - IDCW;17.7697;25-Aug-2023</v>
      </c>
      <c r="B8578" s="1"/>
    </row>
    <row r="8579">
      <c r="A8579" s="1" t="str">
        <f>IFERROR(__xludf.DUMMYFUNCTION("""COMPUTED_VALUE"""),"149243;INF846K017C5;-;Axis Nifty AAA Bond Plus SDL Apr 2026 50:50 ETF FOF - Direct Plan - Growth Option;10.7257;25-Aug-2023")</f>
        <v>149243;INF846K017C5;-;Axis Nifty AAA Bond Plus SDL Apr 2026 50:50 ETF FOF - Direct Plan - Growth Option;10.7257;25-Aug-2023</v>
      </c>
      <c r="B8579" s="1"/>
    </row>
    <row r="8580">
      <c r="A8580" s="1" t="str">
        <f>IFERROR(__xludf.DUMMYFUNCTION("""COMPUTED_VALUE"""),"149242;INF846K010D8;-;Axis Nifty AAA Bond Plus SDL Apr 2026 50:50 ETF FOF - Regular Plan - Growth Option;10.6961;25-Aug-2023")</f>
        <v>149242;INF846K010D8;-;Axis Nifty AAA Bond Plus SDL Apr 2026 50:50 ETF FOF - Regular Plan - Growth Option;10.6961;25-Aug-2023</v>
      </c>
      <c r="B8580" s="1"/>
    </row>
    <row r="8581">
      <c r="A8581" s="1" t="str">
        <f>IFERROR(__xludf.DUMMYFUNCTION("""COMPUTED_VALUE"""),"149245;INF846K011D6;INF846K012D4;Axis Nifty AAA Bond Plus SDL Apr 2026 50:50 ETF FOF - Regular Plan - IDCW Option;10.6961;25-Aug-2023")</f>
        <v>149245;INF846K011D6;INF846K012D4;Axis Nifty AAA Bond Plus SDL Apr 2026 50:50 ETF FOF - Regular Plan - IDCW Option;10.6961;25-Aug-2023</v>
      </c>
      <c r="B8581" s="1"/>
    </row>
    <row r="8582">
      <c r="A8582" s="1" t="str">
        <f>IFERROR(__xludf.DUMMYFUNCTION("""COMPUTED_VALUE"""),"149244;INF846K018C3;INF846K019C1;Axis Nifty AAA Bond Plus SDL April 2026 50:50 ETF FOF - Direct Plan - IDCW Option;10.7257;25-Aug-2023")</f>
        <v>149244;INF846K018C3;INF846K019C1;Axis Nifty AAA Bond Plus SDL April 2026 50:50 ETF FOF - Direct Plan - IDCW Option;10.7257;25-Aug-2023</v>
      </c>
      <c r="B8582" s="1"/>
    </row>
    <row r="8583">
      <c r="A8583" s="1" t="str">
        <f>IFERROR(__xludf.DUMMYFUNCTION("""COMPUTED_VALUE"""),"150618;INF846K019J6;INF846K010K3;Axis Silver Fund of Fund - Regular Plan - IDCW Option;13.0396;25-Aug-2023")</f>
        <v>150618;INF846K019J6;INF846K010K3;Axis Silver Fund of Fund - Regular Plan - IDCW Option;13.0396;25-Aug-2023</v>
      </c>
      <c r="B8583" s="1"/>
    </row>
    <row r="8584">
      <c r="A8584" s="1" t="str">
        <f>IFERROR(__xludf.DUMMYFUNCTION("""COMPUTED_VALUE"""),"150617;INF846K018J8;-;Axis Silver Fund of Fund -Regular Plan- Growth Option;13.0396;25-Aug-2023")</f>
        <v>150617;INF846K018J8;-;Axis Silver Fund of Fund -Regular Plan- Growth Option;13.0396;25-Aug-2023</v>
      </c>
      <c r="B8584" s="1"/>
    </row>
    <row r="8585">
      <c r="A8585" s="1" t="str">
        <f>IFERROR(__xludf.DUMMYFUNCTION("""COMPUTED_VALUE"""),"150616;INF846K016J2;INF846K017J0;Axis Silver Fund of Fund- Direct Plan - IDCW Option;13.1063;25-Aug-2023")</f>
        <v>150616;INF846K016J2;INF846K017J0;Axis Silver Fund of Fund- Direct Plan - IDCW Option;13.1063;25-Aug-2023</v>
      </c>
      <c r="B8585" s="1"/>
    </row>
    <row r="8586">
      <c r="A8586" s="1" t="str">
        <f>IFERROR(__xludf.DUMMYFUNCTION("""COMPUTED_VALUE"""),"150615;INF846K015J4;-;Axis Silver Fund of Fund- Direct Plan-Growth Option;13.1063;25-Aug-2023")</f>
        <v>150615;INF846K015J4;-;Axis Silver Fund of Fund- Direct Plan-Growth Option;13.1063;25-Aug-2023</v>
      </c>
      <c r="B8586" s="1"/>
    </row>
    <row r="8587">
      <c r="A8587" s="1"/>
      <c r="B8587" s="1"/>
    </row>
    <row r="8588">
      <c r="A8588" s="1" t="str">
        <f>IFERROR(__xludf.DUMMYFUNCTION("""COMPUTED_VALUE"""),"Bandhan Mutual Fund")</f>
        <v>Bandhan Mutual Fund</v>
      </c>
      <c r="B8588" s="1"/>
    </row>
    <row r="8589">
      <c r="A8589" s="1"/>
      <c r="B8589" s="1"/>
    </row>
    <row r="8590">
      <c r="A8590" s="1" t="str">
        <f>IFERROR(__xludf.DUMMYFUNCTION("""COMPUTED_VALUE"""),"118412;-;INF194K01V71;BANDHAN ALL SEASONS BOND FUND - DIRECT PLAN-WEEKLY IDCW;12.2124;25-Aug-2023")</f>
        <v>118412;-;INF194K01V71;BANDHAN ALL SEASONS BOND FUND - DIRECT PLAN-WEEKLY IDCW;12.2124;25-Aug-2023</v>
      </c>
      <c r="B8590" s="1"/>
    </row>
    <row r="8591">
      <c r="A8591" s="1" t="str">
        <f>IFERROR(__xludf.DUMMYFUNCTION("""COMPUTED_VALUE"""),"108547;INF194K01SG0;INF194K01SF2;BANDHAN All Seasons Bond Fund - Regular Plan - Annual IDCW;14.1978;25-Aug-2023")</f>
        <v>108547;INF194K01SG0;INF194K01SF2;BANDHAN All Seasons Bond Fund - Regular Plan - Annual IDCW;14.1978;25-Aug-2023</v>
      </c>
      <c r="B8591" s="1"/>
    </row>
    <row r="8592">
      <c r="A8592" s="1" t="str">
        <f>IFERROR(__xludf.DUMMYFUNCTION("""COMPUTED_VALUE"""),"117868;-;INF194K01F55;BANDHAN All Seasons Bond Fund - Regular Plan - Daily IDCW;12.1907;25-Aug-2023")</f>
        <v>117868;-;INF194K01F55;BANDHAN All Seasons Bond Fund - Regular Plan - Daily IDCW;12.1907;25-Aug-2023</v>
      </c>
      <c r="B8592" s="1"/>
    </row>
    <row r="8593">
      <c r="A8593" s="1" t="str">
        <f>IFERROR(__xludf.DUMMYFUNCTION("""COMPUTED_VALUE"""),"115874;INF194K01SM8;INF194K01SL0;BANDHAN All Seasons Bond Fund - Regular Plan - Fortnightly IDCW;12.1828;25-Aug-2023")</f>
        <v>115874;INF194K01SM8;INF194K01SL0;BANDHAN All Seasons Bond Fund - Regular Plan - Fortnightly IDCW;12.1828;25-Aug-2023</v>
      </c>
      <c r="B8593" s="1"/>
    </row>
    <row r="8594">
      <c r="A8594" s="1" t="str">
        <f>IFERROR(__xludf.DUMMYFUNCTION("""COMPUTED_VALUE"""),"108545;INF194K01SE5;-;BANDHAN All Seasons Bond Fund - Regular Plan - Growth;38.0149;25-Aug-2023")</f>
        <v>108545;INF194K01SE5;-;BANDHAN All Seasons Bond Fund - Regular Plan - Growth;38.0149;25-Aug-2023</v>
      </c>
      <c r="B8594" s="1"/>
    </row>
    <row r="8595">
      <c r="A8595" s="1" t="str">
        <f>IFERROR(__xludf.DUMMYFUNCTION("""COMPUTED_VALUE"""),"108546;INF194K01SI6;INF194K01SH8;BANDHAN All Seasons Bond Fund - Regular Plan - Half Yearly IDCW;12.6900;25-Aug-2023")</f>
        <v>108546;INF194K01SI6;INF194K01SH8;BANDHAN All Seasons Bond Fund - Regular Plan - Half Yearly IDCW;12.6900;25-Aug-2023</v>
      </c>
      <c r="B8595" s="1"/>
    </row>
    <row r="8596">
      <c r="A8596" s="1" t="str">
        <f>IFERROR(__xludf.DUMMYFUNCTION("""COMPUTED_VALUE"""),"131399;INF194KA1TS0;INF194KA1TT8;BANDHAN All Seasons Bond Fund - Regular Plan - Periodic IDCW;13.2934;25-Aug-2023")</f>
        <v>131399;INF194KA1TS0;INF194KA1TT8;BANDHAN All Seasons Bond Fund - Regular Plan - Periodic IDCW;13.2934;25-Aug-2023</v>
      </c>
      <c r="B8596" s="1"/>
    </row>
    <row r="8597">
      <c r="A8597" s="1" t="str">
        <f>IFERROR(__xludf.DUMMYFUNCTION("""COMPUTED_VALUE"""),"108544;INF194K01SK2;INF194K01SJ4;BANDHAN All Seasons Bond Fund - Regular Plan - Quarterly IDCW;12.5873;25-Aug-2023")</f>
        <v>108544;INF194K01SK2;INF194K01SJ4;BANDHAN All Seasons Bond Fund - Regular Plan - Quarterly IDCW;12.5873;25-Aug-2023</v>
      </c>
      <c r="B8597" s="1"/>
    </row>
    <row r="8598">
      <c r="A8598" s="1" t="str">
        <f>IFERROR(__xludf.DUMMYFUNCTION("""COMPUTED_VALUE"""),"117867;-;INF194K01F63;BANDHAN All Seasons Bond Fund - Regular Plan - Weekly IDCW;12.2095;25-Aug-2023")</f>
        <v>117867;-;INF194K01F63;BANDHAN All Seasons Bond Fund - Regular Plan - Weekly IDCW;12.2095;25-Aug-2023</v>
      </c>
      <c r="B8598" s="1"/>
    </row>
    <row r="8599">
      <c r="A8599" s="1" t="str">
        <f>IFERROR(__xludf.DUMMYFUNCTION("""COMPUTED_VALUE"""),"118408;INF194K01U98;INF194K01U80;BANDHAN All Seasons Bond Fund-Direct Plan-Annual IDCW;14.9722;25-Aug-2023")</f>
        <v>118408;INF194K01U98;INF194K01U80;BANDHAN All Seasons Bond Fund-Direct Plan-Annual IDCW;14.9722;25-Aug-2023</v>
      </c>
      <c r="B8599" s="1"/>
    </row>
    <row r="8600">
      <c r="A8600" s="1" t="str">
        <f>IFERROR(__xludf.DUMMYFUNCTION("""COMPUTED_VALUE"""),"118409;-;INF194K01V63;BANDHAN All Seasons Bond Fund-Direct Plan-Daily IDCW;12.2079;25-Aug-2023")</f>
        <v>118409;-;INF194K01V63;BANDHAN All Seasons Bond Fund-Direct Plan-Daily IDCW;12.2079;25-Aug-2023</v>
      </c>
      <c r="B8600" s="1"/>
    </row>
    <row r="8601">
      <c r="A8601" s="1" t="str">
        <f>IFERROR(__xludf.DUMMYFUNCTION("""COMPUTED_VALUE"""),"118414;INF194K01V55;INF194K01V48;BANDHAN All Seasons Bond Fund-Direct Plan-Fortnightly IDCW;12.2050;25-Aug-2023")</f>
        <v>118414;INF194K01V55;INF194K01V48;BANDHAN All Seasons Bond Fund-Direct Plan-Fortnightly IDCW;12.2050;25-Aug-2023</v>
      </c>
      <c r="B8601" s="1"/>
    </row>
    <row r="8602">
      <c r="A8602" s="1" t="str">
        <f>IFERROR(__xludf.DUMMYFUNCTION("""COMPUTED_VALUE"""),"118410;INF194K01U72;-;BANDHAN All Seasons Bond Fund-Direct Plan-Growth;39.6859;25-Aug-2023")</f>
        <v>118410;INF194K01U72;-;BANDHAN All Seasons Bond Fund-Direct Plan-Growth;39.6859;25-Aug-2023</v>
      </c>
      <c r="B8602" s="1"/>
    </row>
    <row r="8603">
      <c r="A8603" s="1" t="str">
        <f>IFERROR(__xludf.DUMMYFUNCTION("""COMPUTED_VALUE"""),"118411;INF194K01V14;INF194K01V06;BANDHAN All Seasons Bond Fund-Direct Plan-Half Yearly IDCW;14.9123;25-Aug-2023")</f>
        <v>118411;INF194K01V14;INF194K01V06;BANDHAN All Seasons Bond Fund-Direct Plan-Half Yearly IDCW;14.9123;25-Aug-2023</v>
      </c>
      <c r="B8603" s="1"/>
    </row>
    <row r="8604">
      <c r="A8604" s="1" t="str">
        <f>IFERROR(__xludf.DUMMYFUNCTION("""COMPUTED_VALUE"""),"131398;INF194KA1TV4;INF194KA1TW2;BANDHAN All Seasons Bond Fund-Direct Plan-Periodic IDCW;13.6404;25-Aug-2023")</f>
        <v>131398;INF194KA1TV4;INF194KA1TW2;BANDHAN All Seasons Bond Fund-Direct Plan-Periodic IDCW;13.6404;25-Aug-2023</v>
      </c>
      <c r="B8604" s="1"/>
    </row>
    <row r="8605">
      <c r="A8605" s="1" t="str">
        <f>IFERROR(__xludf.DUMMYFUNCTION("""COMPUTED_VALUE"""),"118413;INF194K01V30;INF194K01V22;BANDHAN All Seasons Bond Fund-Direct Plan-Quarterly IDCW;12.6760;25-Aug-2023")</f>
        <v>118413;INF194K01V30;INF194K01V22;BANDHAN All Seasons Bond Fund-Direct Plan-Quarterly IDCW;12.6760;25-Aug-2023</v>
      </c>
      <c r="B8605" s="1"/>
    </row>
    <row r="8606">
      <c r="A8606" s="1" t="str">
        <f>IFERROR(__xludf.DUMMYFUNCTION("""COMPUTED_VALUE"""),"112332;INF194K01953;-;BANDHAN Asset Allocation Fund - Regular Plan - Aggressive Plan - Growth;34.4812;25-Aug-2023")</f>
        <v>112332;INF194K01953;-;BANDHAN Asset Allocation Fund - Regular Plan - Aggressive Plan - Growth;34.4812;25-Aug-2023</v>
      </c>
      <c r="B8606" s="1"/>
    </row>
    <row r="8607">
      <c r="A8607" s="1" t="str">
        <f>IFERROR(__xludf.DUMMYFUNCTION("""COMPUTED_VALUE"""),"112331;INF194K01961;INF194K01979;BANDHAN Asset Allocation Fund - Regular Plan - Aggressive Plan - IDCW;21.4395;25-Aug-2023")</f>
        <v>112331;INF194K01961;INF194K01979;BANDHAN Asset Allocation Fund - Regular Plan - Aggressive Plan - IDCW;21.4395;25-Aug-2023</v>
      </c>
      <c r="B8607" s="1"/>
    </row>
    <row r="8608">
      <c r="A8608" s="1" t="str">
        <f>IFERROR(__xludf.DUMMYFUNCTION("""COMPUTED_VALUE"""),"118485;INF194K012B6;-;BANDHAN Asset Allocation Fund Of Fund-Aggressive Plan-Direct Plan-Growth;36.7497;25-Aug-2023")</f>
        <v>118485;INF194K012B6;-;BANDHAN Asset Allocation Fund Of Fund-Aggressive Plan-Direct Plan-Growth;36.7497;25-Aug-2023</v>
      </c>
      <c r="B8608" s="1"/>
    </row>
    <row r="8609">
      <c r="A8609" s="1" t="str">
        <f>IFERROR(__xludf.DUMMYFUNCTION("""COMPUTED_VALUE"""),"118484;INF194K013B4;INF194K014B2;BANDHAN Asset Allocation Fund Of Fund-Aggressive Plan-Direct Plan-IDCW;25.4457;25-Aug-2023")</f>
        <v>118484;INF194K013B4;INF194K014B2;BANDHAN Asset Allocation Fund Of Fund-Aggressive Plan-Direct Plan-IDCW;25.4457;25-Aug-2023</v>
      </c>
      <c r="B8609" s="1"/>
    </row>
    <row r="8610">
      <c r="A8610" s="1" t="str">
        <f>IFERROR(__xludf.DUMMYFUNCTION("""COMPUTED_VALUE"""),"112327;INF194K01987;-;BANDHAN Asset Allocation Fund - Regular Plan - Conservative Plan - Growth;28.0232;25-Aug-2023")</f>
        <v>112327;INF194K01987;-;BANDHAN Asset Allocation Fund - Regular Plan - Conservative Plan - Growth;28.0232;25-Aug-2023</v>
      </c>
      <c r="B8610" s="1"/>
    </row>
    <row r="8611">
      <c r="A8611" s="1" t="str">
        <f>IFERROR(__xludf.DUMMYFUNCTION("""COMPUTED_VALUE"""),"112328;INF194K01995;INF194K01AA1;BANDHAN Asset Allocation Fund - Regular Plan - Conservative Plan - IDCW;16.2049;25-Aug-2023")</f>
        <v>112328;INF194K01995;INF194K01AA1;BANDHAN Asset Allocation Fund - Regular Plan - Conservative Plan - IDCW;16.2049;25-Aug-2023</v>
      </c>
      <c r="B8611" s="1"/>
    </row>
    <row r="8612">
      <c r="A8612" s="1" t="str">
        <f>IFERROR(__xludf.DUMMYFUNCTION("""COMPUTED_VALUE"""),"118486;INF194K016A9;-;BANDHAN Asset Allocation Fund Of Fund-Conservative Plan-Direct Plan-Growth;29.7323;25-Aug-2023")</f>
        <v>118486;INF194K016A9;-;BANDHAN Asset Allocation Fund Of Fund-Conservative Plan-Direct Plan-Growth;29.7323;25-Aug-2023</v>
      </c>
      <c r="B8612" s="1"/>
    </row>
    <row r="8613">
      <c r="A8613" s="1" t="str">
        <f>IFERROR(__xludf.DUMMYFUNCTION("""COMPUTED_VALUE"""),"118487;INF194K017A7;INF194K018A5;BANDHAN Asset Allocation Fund Of Fund-Conservative Plan-Direct Plan-IDCW;17.1956;25-Aug-2023")</f>
        <v>118487;INF194K017A7;INF194K018A5;BANDHAN Asset Allocation Fund Of Fund-Conservative Plan-Direct Plan-IDCW;17.1956;25-Aug-2023</v>
      </c>
      <c r="B8613" s="1"/>
    </row>
    <row r="8614">
      <c r="A8614" s="1" t="str">
        <f>IFERROR(__xludf.DUMMYFUNCTION("""COMPUTED_VALUE"""),"112329;INF194K01AB9;-;BANDHAN Asset Allocation Fund - Regular Plan - Moderate Plan - Growth;31.8914;25-Aug-2023")</f>
        <v>112329;INF194K01AB9;-;BANDHAN Asset Allocation Fund - Regular Plan - Moderate Plan - Growth;31.8914;25-Aug-2023</v>
      </c>
      <c r="B8614" s="1"/>
    </row>
    <row r="8615">
      <c r="A8615" s="1" t="str">
        <f>IFERROR(__xludf.DUMMYFUNCTION("""COMPUTED_VALUE"""),"112330;INF194K01AC7;INF194K01AD5;BANDHAN Asset Allocation Fund - Regular Plan - Moderate Plan - IDCW;19.2651;25-Aug-2023")</f>
        <v>112330;INF194K01AC7;INF194K01AD5;BANDHAN Asset Allocation Fund - Regular Plan - Moderate Plan - IDCW;19.2651;25-Aug-2023</v>
      </c>
      <c r="B8615" s="1"/>
    </row>
    <row r="8616">
      <c r="A8616" s="1" t="str">
        <f>IFERROR(__xludf.DUMMYFUNCTION("""COMPUTED_VALUE"""),"118489;INF194K019A3;-;BANDHAN Asset Allocation Fund Of Fund-Moderate Plan-Direct Plan-Growth;33.7418;25-Aug-2023")</f>
        <v>118489;INF194K019A3;-;BANDHAN Asset Allocation Fund Of Fund-Moderate Plan-Direct Plan-Growth;33.7418;25-Aug-2023</v>
      </c>
      <c r="B8616" s="1"/>
    </row>
    <row r="8617">
      <c r="A8617" s="1" t="str">
        <f>IFERROR(__xludf.DUMMYFUNCTION("""COMPUTED_VALUE"""),"118488;INF194K010B0;INF194K011B8;BANDHAN Asset Allocation Fund Of Fund-Moderate Plan-Direct Plan-IDCW;20.0571;25-Aug-2023")</f>
        <v>118488;INF194K010B0;INF194K011B8;BANDHAN Asset Allocation Fund Of Fund-Moderate Plan-Direct Plan-IDCW;20.0571;25-Aug-2023</v>
      </c>
      <c r="B8617" s="1"/>
    </row>
    <row r="8618">
      <c r="A8618" s="1"/>
      <c r="B8618" s="1"/>
    </row>
    <row r="8619">
      <c r="A8619" s="1" t="str">
        <f>IFERROR(__xludf.DUMMYFUNCTION("""COMPUTED_VALUE"""),"Edelweiss Mutual Fund")</f>
        <v>Edelweiss Mutual Fund</v>
      </c>
      <c r="B8619" s="1"/>
    </row>
    <row r="8620">
      <c r="A8620" s="1"/>
      <c r="B8620" s="1"/>
    </row>
    <row r="8621">
      <c r="A8621" s="1" t="str">
        <f>IFERROR(__xludf.DUMMYFUNCTION("""COMPUTED_VALUE"""),"149401;INF754K01NY5;-;BHARAT Bond ETF FOF - April 2032 Direct Growth;10.785;25-Aug-2023")</f>
        <v>149401;INF754K01NY5;-;BHARAT Bond ETF FOF - April 2032 Direct Growth;10.785;25-Aug-2023</v>
      </c>
      <c r="B8621" s="1"/>
    </row>
    <row r="8622">
      <c r="A8622" s="1" t="str">
        <f>IFERROR(__xludf.DUMMYFUNCTION("""COMPUTED_VALUE"""),"149402;INF754K01NZ2;INF754K01OA3;BHARAT Bond ETF FOF - April 2032 Direct Plan Dividend;10.785;25-Aug-2023")</f>
        <v>149402;INF754K01NZ2;INF754K01OA3;BHARAT Bond ETF FOF - April 2032 Direct Plan Dividend;10.785;25-Aug-2023</v>
      </c>
      <c r="B8622" s="1"/>
    </row>
    <row r="8623">
      <c r="A8623" s="1" t="str">
        <f>IFERROR(__xludf.DUMMYFUNCTION("""COMPUTED_VALUE"""),"149400;INF754K01NW9;INF754K01NX7;BHARAT Bond ETF FOF - April 2032 Regular Plan Dividend;10.785;25-Aug-2023")</f>
        <v>149400;INF754K01NW9;INF754K01NX7;BHARAT Bond ETF FOF - April 2032 Regular Plan Dividend;10.785;25-Aug-2023</v>
      </c>
      <c r="B8623" s="1"/>
    </row>
    <row r="8624">
      <c r="A8624" s="1" t="str">
        <f>IFERROR(__xludf.DUMMYFUNCTION("""COMPUTED_VALUE"""),"149399;INF754K01NV1;-;BHARAT Bond ETF FOF - April 2032 Regular Plan Growth;10.785;25-Aug-2023")</f>
        <v>149399;INF754K01NV1;-;BHARAT Bond ETF FOF - April 2032 Regular Plan Growth;10.785;25-Aug-2023</v>
      </c>
      <c r="B8624" s="1"/>
    </row>
    <row r="8625">
      <c r="A8625" s="1" t="str">
        <f>IFERROR(__xludf.DUMMYFUNCTION("""COMPUTED_VALUE"""),"150989;INF754K01RC2;-;BHARAT Bond ETF FOF - April 2033 - Direct Plan - Growth;10.5512;25-Aug-2023")</f>
        <v>150989;INF754K01RC2;-;BHARAT Bond ETF FOF - April 2033 - Direct Plan - Growth;10.5512;25-Aug-2023</v>
      </c>
      <c r="B8625" s="1"/>
    </row>
    <row r="8626">
      <c r="A8626" s="1" t="str">
        <f>IFERROR(__xludf.DUMMYFUNCTION("""COMPUTED_VALUE"""),"150990;INF754K01RD0;INF754K01RE8;BHARAT Bond ETF FOF - April 2033 - Direct Plan - IDCW;10.5512;25-Aug-2023")</f>
        <v>150990;INF754K01RD0;INF754K01RE8;BHARAT Bond ETF FOF - April 2033 - Direct Plan - IDCW;10.5512;25-Aug-2023</v>
      </c>
      <c r="B8626" s="1"/>
    </row>
    <row r="8627">
      <c r="A8627" s="1" t="str">
        <f>IFERROR(__xludf.DUMMYFUNCTION("""COMPUTED_VALUE"""),"150991;INF754K01QY8;-;BHARAT Bond ETF FOF - April 2033 - Regular Plan - Growth;10.5512;25-Aug-2023")</f>
        <v>150991;INF754K01QY8;-;BHARAT Bond ETF FOF - April 2033 - Regular Plan - Growth;10.5512;25-Aug-2023</v>
      </c>
      <c r="B8627" s="1"/>
    </row>
    <row r="8628">
      <c r="A8628" s="1" t="str">
        <f>IFERROR(__xludf.DUMMYFUNCTION("""COMPUTED_VALUE"""),"150988;INF754K01QZ5;INF754K01RA6;BHARAT Bond ETF FOF - April 2033 - Regular Plan - IDCW;10.5512;25-Aug-2023")</f>
        <v>150988;INF754K01QZ5;INF754K01RA6;BHARAT Bond ETF FOF - April 2033 - Regular Plan - IDCW;10.5512;25-Aug-2023</v>
      </c>
      <c r="B8628" s="1"/>
    </row>
    <row r="8629">
      <c r="A8629" s="1" t="str">
        <f>IFERROR(__xludf.DUMMYFUNCTION("""COMPUTED_VALUE"""),"147851;INF754K01KS3;-;Bharat Bond FOF - April 2023 - Direct Plan - Growth Option;12.3105;18-Apr-2023")</f>
        <v>147851;INF754K01KS3;-;Bharat Bond FOF - April 2023 - Direct Plan - Growth Option;12.3105;18-Apr-2023</v>
      </c>
      <c r="B8629" s="1"/>
    </row>
    <row r="8630">
      <c r="A8630" s="1" t="str">
        <f>IFERROR(__xludf.DUMMYFUNCTION("""COMPUTED_VALUE"""),"147852;INF754K01KT1;INF754K01KU9;BHARAT Bond FOF - April 2023 - Direct Plan - IDCW Option;12.3105;18-Apr-2023")</f>
        <v>147852;INF754K01KT1;INF754K01KU9;BHARAT Bond FOF - April 2023 - Direct Plan - IDCW Option;12.3105;18-Apr-2023</v>
      </c>
      <c r="B8630" s="1"/>
    </row>
    <row r="8631">
      <c r="A8631" s="1" t="str">
        <f>IFERROR(__xludf.DUMMYFUNCTION("""COMPUTED_VALUE"""),"147850;INF754K01KP9;-;Bharat Bond FOF - April 2023 - Regular Plan - Growth Option;12.3105;18-Apr-2023")</f>
        <v>147850;INF754K01KP9;-;Bharat Bond FOF - April 2023 - Regular Plan - Growth Option;12.3105;18-Apr-2023</v>
      </c>
      <c r="B8631" s="1"/>
    </row>
    <row r="8632">
      <c r="A8632" s="1" t="str">
        <f>IFERROR(__xludf.DUMMYFUNCTION("""COMPUTED_VALUE"""),"147853;INF754K01KQ7;INF754K01KR5;BHARAT Bond FOF - April 2023 - Regular Plan - IDCW Option;12.3105;18-Apr-2023")</f>
        <v>147853;INF754K01KQ7;INF754K01KR5;BHARAT Bond FOF - April 2023 - Regular Plan - IDCW Option;12.3105;18-Apr-2023</v>
      </c>
      <c r="B8632" s="1"/>
    </row>
    <row r="8633">
      <c r="A8633" s="1" t="str">
        <f>IFERROR(__xludf.DUMMYFUNCTION("""COMPUTED_VALUE"""),"147857;INF754K01KY1;-;Bharat Bond FOF - April 2030 - Direct Plan - Growth Option;12.8663;25-Aug-2023")</f>
        <v>147857;INF754K01KY1;-;Bharat Bond FOF - April 2030 - Direct Plan - Growth Option;12.8663;25-Aug-2023</v>
      </c>
      <c r="B8633" s="1"/>
    </row>
    <row r="8634">
      <c r="A8634" s="1" t="str">
        <f>IFERROR(__xludf.DUMMYFUNCTION("""COMPUTED_VALUE"""),"147855;INF754K01KZ8;INF754K01LA9;BHARAT Bond FOF - April 2030 - Direct Plan - IDCW Option;12.8663;25-Aug-2023")</f>
        <v>147855;INF754K01KZ8;INF754K01LA9;BHARAT Bond FOF - April 2030 - Direct Plan - IDCW Option;12.8663;25-Aug-2023</v>
      </c>
      <c r="B8634" s="1"/>
    </row>
    <row r="8635">
      <c r="A8635" s="1" t="str">
        <f>IFERROR(__xludf.DUMMYFUNCTION("""COMPUTED_VALUE"""),"147854;INF754K01KV7;-;Bharat Bond FOF - April 2030 - Regular Plan - Growth Option;12.8663;25-Aug-2023")</f>
        <v>147854;INF754K01KV7;-;Bharat Bond FOF - April 2030 - Regular Plan - Growth Option;12.8663;25-Aug-2023</v>
      </c>
      <c r="B8635" s="1"/>
    </row>
    <row r="8636">
      <c r="A8636" s="1" t="str">
        <f>IFERROR(__xludf.DUMMYFUNCTION("""COMPUTED_VALUE"""),"147856;INF754K01KW5;INF754K01KX3;BHARAT Bond FOF - April 2030 - Regular Plan - IDCW Option;12.8663;25-Aug-2023")</f>
        <v>147856;INF754K01KW5;INF754K01KX3;BHARAT Bond FOF - April 2030 - Regular Plan - IDCW Option;12.8663;25-Aug-2023</v>
      </c>
      <c r="B8636" s="1"/>
    </row>
    <row r="8637">
      <c r="A8637" s="1" t="str">
        <f>IFERROR(__xludf.DUMMYFUNCTION("""COMPUTED_VALUE"""),"148449;INF754K01LJ0;INF754K01LK8;BHARAT Bond FOF - April 2025 - Direct Plan - IDCW Option;11.441;25-Aug-2023")</f>
        <v>148449;INF754K01LJ0;INF754K01LK8;BHARAT Bond FOF - April 2025 - Direct Plan - IDCW Option;11.441;25-Aug-2023</v>
      </c>
      <c r="B8637" s="1"/>
    </row>
    <row r="8638">
      <c r="A8638" s="1" t="str">
        <f>IFERROR(__xludf.DUMMYFUNCTION("""COMPUTED_VALUE"""),"148447;INF754K01LG6;INF754K01LH4;BHARAT Bond FOF - April 2025 - Regular Plan - IDCW Option;11.441;25-Aug-2023")</f>
        <v>148447;INF754K01LG6;INF754K01LH4;BHARAT Bond FOF - April 2025 - Regular Plan - IDCW Option;11.441;25-Aug-2023</v>
      </c>
      <c r="B8638" s="1"/>
    </row>
    <row r="8639">
      <c r="A8639" s="1" t="str">
        <f>IFERROR(__xludf.DUMMYFUNCTION("""COMPUTED_VALUE"""),"148446;INF754K01LI2;-;BHARAT Bond FOF- April 2025- Direct Pan- Growth Option;11.441;25-Aug-2023")</f>
        <v>148446;INF754K01LI2;-;BHARAT Bond FOF- April 2025- Direct Pan- Growth Option;11.441;25-Aug-2023</v>
      </c>
      <c r="B8639" s="1"/>
    </row>
    <row r="8640">
      <c r="A8640" s="1" t="str">
        <f>IFERROR(__xludf.DUMMYFUNCTION("""COMPUTED_VALUE"""),"148448;INF754K01LF8;-;BHARAT Bond FOF- April 2025- Regular Plan- Growth Option;11.441;25-Aug-2023")</f>
        <v>148448;INF754K01LF8;-;BHARAT Bond FOF- April 2025- Regular Plan- Growth Option;11.441;25-Aug-2023</v>
      </c>
      <c r="B8640" s="1"/>
    </row>
    <row r="8641">
      <c r="A8641" s="1" t="str">
        <f>IFERROR(__xludf.DUMMYFUNCTION("""COMPUTED_VALUE"""),"148453;INF754K01LP7;INF754K01LQ5;BHARAT Bond FOF - April 2031 - Direct Plan - IDCW Option;11.4869;25-Aug-2023")</f>
        <v>148453;INF754K01LP7;INF754K01LQ5;BHARAT Bond FOF - April 2031 - Direct Plan - IDCW Option;11.4869;25-Aug-2023</v>
      </c>
      <c r="B8641" s="1"/>
    </row>
    <row r="8642">
      <c r="A8642" s="1" t="str">
        <f>IFERROR(__xludf.DUMMYFUNCTION("""COMPUTED_VALUE"""),"148451;INF754K01LM4;INF754K01LN2;BHARAT Bond FOF - April 2031 - Regular Plan - IDCW Option;11.4869;25-Aug-2023")</f>
        <v>148451;INF754K01LM4;INF754K01LN2;BHARAT Bond FOF - April 2031 - Regular Plan - IDCW Option;11.4869;25-Aug-2023</v>
      </c>
      <c r="B8642" s="1"/>
    </row>
    <row r="8643">
      <c r="A8643" s="1" t="str">
        <f>IFERROR(__xludf.DUMMYFUNCTION("""COMPUTED_VALUE"""),"148450;INF754K01LO0;-;BHARAT Bond FOF- April 2031- Direct Plan- Growth Option;11.4869;25-Aug-2023")</f>
        <v>148450;INF754K01LO0;-;BHARAT Bond FOF- April 2031- Direct Plan- Growth Option;11.4869;25-Aug-2023</v>
      </c>
      <c r="B8643" s="1"/>
    </row>
    <row r="8644">
      <c r="A8644" s="1" t="str">
        <f>IFERROR(__xludf.DUMMYFUNCTION("""COMPUTED_VALUE"""),"148452;INF754K01LL6;-;BHARAT Bond FOF- April 2031- Regular Plan- Growth Option;11.4869;25-Aug-2023")</f>
        <v>148452;INF754K01LL6;-;BHARAT Bond FOF- April 2031- Regular Plan- Growth Option;11.4869;25-Aug-2023</v>
      </c>
      <c r="B8644" s="1"/>
    </row>
    <row r="8645">
      <c r="A8645" s="1" t="str">
        <f>IFERROR(__xludf.DUMMYFUNCTION("""COMPUTED_VALUE"""),"150581;INF754K01OX5;-;Edelweiss Gold and Silver ETF FOF - Direct Plan - Growth;12.235;25-Aug-2023")</f>
        <v>150581;INF754K01OX5;-;Edelweiss Gold and Silver ETF FOF - Direct Plan - Growth;12.235;25-Aug-2023</v>
      </c>
      <c r="B8645" s="1"/>
    </row>
    <row r="8646">
      <c r="A8646" s="1" t="str">
        <f>IFERROR(__xludf.DUMMYFUNCTION("""COMPUTED_VALUE"""),"150578;INF754K01OY3;INF754K01OZ0;Edelweiss Gold and Silver ETF FOF - Direct Plan - IDCW;12.236;25-Aug-2023")</f>
        <v>150578;INF754K01OY3;INF754K01OZ0;Edelweiss Gold and Silver ETF FOF - Direct Plan - IDCW;12.236;25-Aug-2023</v>
      </c>
      <c r="B8646" s="1"/>
    </row>
    <row r="8647">
      <c r="A8647" s="1" t="str">
        <f>IFERROR(__xludf.DUMMYFUNCTION("""COMPUTED_VALUE"""),"150579;INF754K01OT3;-;Edelweiss Gold and Silver ETF FOF - Regular Plan - Growth;12.188;25-Aug-2023")</f>
        <v>150579;INF754K01OT3;-;Edelweiss Gold and Silver ETF FOF - Regular Plan - Growth;12.188;25-Aug-2023</v>
      </c>
      <c r="B8647" s="1"/>
    </row>
    <row r="8648">
      <c r="A8648" s="1" t="str">
        <f>IFERROR(__xludf.DUMMYFUNCTION("""COMPUTED_VALUE"""),"150580;INF754K01OU1;INF754K01OV9;Edelweiss Gold and Silver ETF FOF - Regular Plan - IDCW;12.187;25-Aug-2023")</f>
        <v>150580;INF754K01OU1;INF754K01OV9;Edelweiss Gold and Silver ETF FOF - Regular Plan - IDCW;12.187;25-Aug-2023</v>
      </c>
      <c r="B8648" s="1"/>
    </row>
    <row r="8649">
      <c r="A8649" s="1"/>
      <c r="B8649" s="1"/>
    </row>
    <row r="8650">
      <c r="A8650" s="1" t="str">
        <f>IFERROR(__xludf.DUMMYFUNCTION("""COMPUTED_VALUE"""),"Franklin Templeton Mutual Fund")</f>
        <v>Franklin Templeton Mutual Fund</v>
      </c>
      <c r="B8650" s="1"/>
    </row>
    <row r="8651">
      <c r="A8651" s="1"/>
      <c r="B8651" s="1"/>
    </row>
    <row r="8652">
      <c r="A8652" s="1" t="str">
        <f>IFERROR(__xludf.DUMMYFUNCTION("""COMPUTED_VALUE"""),"118543;INF090I01HV6;-;Franklin India Dynamic Asset Allocation Fund Of Funds - Direct - Growth;140.8737;25-Aug-2023")</f>
        <v>118543;INF090I01HV6;-;Franklin India Dynamic Asset Allocation Fund Of Funds - Direct - Growth;140.8737;25-Aug-2023</v>
      </c>
      <c r="B8652" s="1"/>
    </row>
    <row r="8653">
      <c r="A8653" s="1" t="str">
        <f>IFERROR(__xludf.DUMMYFUNCTION("""COMPUTED_VALUE"""),"118542;INF090I01HT0;INF090I01HU8;Franklin India Dynamic Asset Allocation Fund of funds - Direct - IDCW ;44.8253;25-Aug-2023")</f>
        <v>118542;INF090I01HT0;INF090I01HU8;Franklin India Dynamic Asset Allocation Fund of funds - Direct - IDCW ;44.8253;25-Aug-2023</v>
      </c>
      <c r="B8653" s="1"/>
    </row>
    <row r="8654">
      <c r="A8654" s="1" t="str">
        <f>IFERROR(__xludf.DUMMYFUNCTION("""COMPUTED_VALUE"""),"101657;INF090I01247;INF090I01254;Franklin India Dynamic Asset Allocation Fund of funds - IDCW ;38.4766;25-Aug-2023")</f>
        <v>101657;INF090I01247;INF090I01254;Franklin India Dynamic Asset Allocation Fund of funds - IDCW ;38.4766;25-Aug-2023</v>
      </c>
      <c r="B8654" s="1"/>
    </row>
    <row r="8655">
      <c r="A8655" s="1" t="str">
        <f>IFERROR(__xludf.DUMMYFUNCTION("""COMPUTED_VALUE"""),"101656;INF090I01262;-;Franklin India Dynamic Asset Allocation Fund of Funds-Growth;126.7989;25-Aug-2023")</f>
        <v>101656;INF090I01262;-;Franklin India Dynamic Asset Allocation Fund of Funds-Growth;126.7989;25-Aug-2023</v>
      </c>
      <c r="B8655" s="1"/>
    </row>
    <row r="8656">
      <c r="A8656" s="1" t="str">
        <f>IFERROR(__xludf.DUMMYFUNCTION("""COMPUTED_VALUE"""),"118511;INF090I01HW4;INF090I01HX2;Franklin India Life Stage Fund of Funds - 20's Plan - Direct - IDCW ;0.0000;19-Dec-2022")</f>
        <v>118511;INF090I01HW4;INF090I01HX2;Franklin India Life Stage Fund of Funds - 20's Plan - Direct - IDCW ;0.0000;19-Dec-2022</v>
      </c>
      <c r="B8656" s="1"/>
    </row>
    <row r="8657">
      <c r="A8657" s="1" t="str">
        <f>IFERROR(__xludf.DUMMYFUNCTION("""COMPUTED_VALUE"""),"102108;INF090I01577;-;Franklin India Life Stage Fund of Funds - 20's Plan - IDCW ;0.0000;19-Dec-2022")</f>
        <v>102108;INF090I01577;-;Franklin India Life Stage Fund of Funds - 20's Plan - IDCW ;0.0000;19-Dec-2022</v>
      </c>
      <c r="B8657" s="1"/>
    </row>
    <row r="8658">
      <c r="A8658" s="1" t="str">
        <f>IFERROR(__xludf.DUMMYFUNCTION("""COMPUTED_VALUE"""),"102107;INF090I01593;-;Franklin INDIA LIFE STAGE FUND OF FUNDS - THE 20S PLAN (G);0.0000;19-Dec-2022")</f>
        <v>102107;INF090I01593;-;Franklin INDIA LIFE STAGE FUND OF FUNDS - THE 20S PLAN (G);0.0000;19-Dec-2022</v>
      </c>
      <c r="B8658" s="1"/>
    </row>
    <row r="8659">
      <c r="A8659" s="1" t="str">
        <f>IFERROR(__xludf.DUMMYFUNCTION("""COMPUTED_VALUE"""),"118512;INF090I01HY0;-;Franklin INDIA LIFE STAGE FUND OF FUNDS - THE 20S PLAN - Direct - Growth;0.0000;19-Dec-2022")</f>
        <v>118512;INF090I01HY0;-;Franklin INDIA LIFE STAGE FUND OF FUNDS - THE 20S PLAN - Direct - Growth;0.0000;19-Dec-2022</v>
      </c>
      <c r="B8659" s="1"/>
    </row>
    <row r="8660">
      <c r="A8660" s="1" t="str">
        <f>IFERROR(__xludf.DUMMYFUNCTION("""COMPUTED_VALUE"""),"118513;INF090I01HZ7;INF090I01IA8;Franklin India Life Stage Fund of Funds - 30's Plan - Direct - IDCW ;0.0000;19-Dec-2022")</f>
        <v>118513;INF090I01HZ7;INF090I01IA8;Franklin India Life Stage Fund of Funds - 30's Plan - Direct - IDCW ;0.0000;19-Dec-2022</v>
      </c>
      <c r="B8660" s="1"/>
    </row>
    <row r="8661">
      <c r="A8661" s="1" t="str">
        <f>IFERROR(__xludf.DUMMYFUNCTION("""COMPUTED_VALUE"""),"102110;INF090I01601;-;Franklin India Life Stage Fund of Funds - 30's Plan - IDCW ;0.0000;19-Dec-2022")</f>
        <v>102110;INF090I01601;-;Franklin India Life Stage Fund of Funds - 30's Plan - IDCW ;0.0000;19-Dec-2022</v>
      </c>
      <c r="B8661" s="1"/>
    </row>
    <row r="8662">
      <c r="A8662" s="1" t="str">
        <f>IFERROR(__xludf.DUMMYFUNCTION("""COMPUTED_VALUE"""),"102109;INF090I01627;-;Franklin INDIA LIFE STAGE FUND OF FUNDS - THE 30S PLAN (G);0.0000;19-Dec-2022")</f>
        <v>102109;INF090I01627;-;Franklin INDIA LIFE STAGE FUND OF FUNDS - THE 30S PLAN (G);0.0000;19-Dec-2022</v>
      </c>
      <c r="B8662" s="1"/>
    </row>
    <row r="8663">
      <c r="A8663" s="1" t="str">
        <f>IFERROR(__xludf.DUMMYFUNCTION("""COMPUTED_VALUE"""),"118514;INF090I01IB6;-;Franklin India Life Stage Fund of Funds - The 30s Plan - Direct - Growth;0.0000;19-Dec-2022")</f>
        <v>118514;INF090I01IB6;-;Franklin India Life Stage Fund of Funds - The 30s Plan - Direct - Growth;0.0000;19-Dec-2022</v>
      </c>
      <c r="B8663" s="1"/>
    </row>
    <row r="8664">
      <c r="A8664" s="1" t="str">
        <f>IFERROR(__xludf.DUMMYFUNCTION("""COMPUTED_VALUE"""),"118515;INF090I01IC4;INF090I01ID2;Franklin India Life Stage Fund of Funds - 40's Plan - Direct - IDCW ;0.0000;19-Dec-2022")</f>
        <v>118515;INF090I01IC4;INF090I01ID2;Franklin India Life Stage Fund of Funds - 40's Plan - Direct - IDCW ;0.0000;19-Dec-2022</v>
      </c>
      <c r="B8664" s="1"/>
    </row>
    <row r="8665">
      <c r="A8665" s="1" t="str">
        <f>IFERROR(__xludf.DUMMYFUNCTION("""COMPUTED_VALUE"""),"102111;INF090I01635;-;Franklin India Life Stage Fund of Funds - 40's Plan - IDCW ;0.0000;19-Dec-2022")</f>
        <v>102111;INF090I01635;-;Franklin India Life Stage Fund of Funds - 40's Plan - IDCW ;0.0000;19-Dec-2022</v>
      </c>
      <c r="B8665" s="1"/>
    </row>
    <row r="8666">
      <c r="A8666" s="1" t="str">
        <f>IFERROR(__xludf.DUMMYFUNCTION("""COMPUTED_VALUE"""),"102112;INF090I01650;-;Franklin INDIA LIFE STAGE FUND OF FUNDS - THE 40S PLAN (G);0.0000;19-Dec-2022")</f>
        <v>102112;INF090I01650;-;Franklin INDIA LIFE STAGE FUND OF FUNDS - THE 40S PLAN (G);0.0000;19-Dec-2022</v>
      </c>
      <c r="B8666" s="1"/>
    </row>
    <row r="8667">
      <c r="A8667" s="1" t="str">
        <f>IFERROR(__xludf.DUMMYFUNCTION("""COMPUTED_VALUE"""),"118516;INF090I01IE0;-;Franklin India Life Stage Fund of Funds - The 40s Plan - Direct - Growth;0.0000;19-Dec-2022")</f>
        <v>118516;INF090I01IE0;-;Franklin India Life Stage Fund of Funds - The 40s Plan - Direct - Growth;0.0000;19-Dec-2022</v>
      </c>
      <c r="B8667" s="1"/>
    </row>
    <row r="8668">
      <c r="A8668" s="1" t="str">
        <f>IFERROR(__xludf.DUMMYFUNCTION("""COMPUTED_VALUE"""),"118520;INF090I01JM1;INF090I01JN9;Franklin India Life Stage Fund of Funds - 50's Plus Floating Rate Plan - Direct - IDCW ;0.0000;19-Dec-2022")</f>
        <v>118520;INF090I01JM1;INF090I01JN9;Franklin India Life Stage Fund of Funds - 50's Plus Floating Rate Plan - Direct - IDCW ;0.0000;19-Dec-2022</v>
      </c>
      <c r="B8668" s="1"/>
    </row>
    <row r="8669">
      <c r="A8669" s="1" t="str">
        <f>IFERROR(__xludf.DUMMYFUNCTION("""COMPUTED_VALUE"""),"102546;INF090I01692;-;Franklin India Life Stage Fund Of Funds - 50's Plus Floating Rate Plan - IDCW ;0.0000;19-Dec-2022")</f>
        <v>102546;INF090I01692;-;Franklin India Life Stage Fund Of Funds - 50's Plus Floating Rate Plan - IDCW ;0.0000;19-Dec-2022</v>
      </c>
      <c r="B8669" s="1"/>
    </row>
    <row r="8670">
      <c r="A8670" s="1" t="str">
        <f>IFERROR(__xludf.DUMMYFUNCTION("""COMPUTED_VALUE"""),"102547;INF090I01718;-;Franklin India Life Stage Fund of Funds - The 50s Plus Flo (Gro);0.0000;19-Dec-2022")</f>
        <v>102547;INF090I01718;-;Franklin India Life Stage Fund of Funds - The 50s Plus Flo (Gro);0.0000;19-Dec-2022</v>
      </c>
      <c r="B8670" s="1"/>
    </row>
    <row r="8671">
      <c r="A8671" s="1" t="str">
        <f>IFERROR(__xludf.DUMMYFUNCTION("""COMPUTED_VALUE"""),"118519;INF090I01JO7;-;Franklin India Life Stage Fund Of Funds - The 50S Plus Floating Rate Plan - Direct - Growth;0.0000;19-Dec-2022")</f>
        <v>118519;INF090I01JO7;-;Franklin India Life Stage Fund Of Funds - The 50S Plus Floating Rate Plan - Direct - Growth;0.0000;19-Dec-2022</v>
      </c>
      <c r="B8671" s="1"/>
    </row>
    <row r="8672">
      <c r="A8672" s="1" t="str">
        <f>IFERROR(__xludf.DUMMYFUNCTION("""COMPUTED_VALUE"""),"118517;INF090I01IF7;INF090I01IG5;Franklin India Life Stage Fund of Funds - 50's Plus Plan - Direct - IDCW ;0.0000;19-Dec-2022")</f>
        <v>118517;INF090I01IF7;INF090I01IG5;Franklin India Life Stage Fund of Funds - 50's Plus Plan - Direct - IDCW ;0.0000;19-Dec-2022</v>
      </c>
      <c r="B8672" s="1"/>
    </row>
    <row r="8673">
      <c r="A8673" s="1" t="str">
        <f>IFERROR(__xludf.DUMMYFUNCTION("""COMPUTED_VALUE"""),"102113;INF090I01668;-;Franklin India Life Stage Fund of Funds - 50's Plus Plan - IDCW ;0.0000;19-Dec-2022")</f>
        <v>102113;INF090I01668;-;Franklin India Life Stage Fund of Funds - 50's Plus Plan - IDCW ;0.0000;19-Dec-2022</v>
      </c>
      <c r="B8673" s="1"/>
    </row>
    <row r="8674">
      <c r="A8674" s="1" t="str">
        <f>IFERROR(__xludf.DUMMYFUNCTION("""COMPUTED_VALUE"""),"102114;INF090I01684;-;Franklin INDIA LIFE STAGE FUND OF FUNDS - THE 50+S PLAN (G);0.0000;19-Dec-2022")</f>
        <v>102114;INF090I01684;-;Franklin INDIA LIFE STAGE FUND OF FUNDS - THE 50+S PLAN (G);0.0000;19-Dec-2022</v>
      </c>
      <c r="B8674" s="1"/>
    </row>
    <row r="8675">
      <c r="A8675" s="1" t="str">
        <f>IFERROR(__xludf.DUMMYFUNCTION("""COMPUTED_VALUE"""),"118518;INF090I01IH3;-;Franklin India Life Stage Fund of Funds - The 50s Plus - Direct - Growth;0.0000;19-Dec-2022")</f>
        <v>118518;INF090I01IH3;-;Franklin India Life Stage Fund of Funds - The 50s Plus - Direct - Growth;0.0000;19-Dec-2022</v>
      </c>
      <c r="B8675" s="1"/>
    </row>
    <row r="8676">
      <c r="A8676" s="1" t="str">
        <f>IFERROR(__xludf.DUMMYFUNCTION("""COMPUTED_VALUE"""),"132990;INF090I01LI5;INF090I01LJ3;Franklin India Multi - Asset Solution Fund of Funds - Direct - IDCW;17.3658;25-Aug-2023")</f>
        <v>132990;INF090I01LI5;INF090I01LJ3;Franklin India Multi - Asset Solution Fund of Funds - Direct - IDCW;17.3658;25-Aug-2023</v>
      </c>
      <c r="B8676" s="1"/>
    </row>
    <row r="8677">
      <c r="A8677" s="1" t="str">
        <f>IFERROR(__xludf.DUMMYFUNCTION("""COMPUTED_VALUE"""),"132987;INF090I01LE4;-;Franklin India Multi - Asset Solution Fund of Funds- Growth Plan;15.6763;25-Aug-2023")</f>
        <v>132987;INF090I01LE4;-;Franklin India Multi - Asset Solution Fund of Funds- Growth Plan;15.6763;25-Aug-2023</v>
      </c>
      <c r="B8677" s="1"/>
    </row>
    <row r="8678">
      <c r="A8678" s="1" t="str">
        <f>IFERROR(__xludf.DUMMYFUNCTION("""COMPUTED_VALUE"""),"132989;INF090I01LH7;-;Franklin India Multi - Asset Solution Fund of Funds- Growth Plan - Direct;17.3658;25-Aug-2023")</f>
        <v>132989;INF090I01LH7;-;Franklin India Multi - Asset Solution Fund of Funds- Growth Plan - Direct;17.3658;25-Aug-2023</v>
      </c>
      <c r="B8678" s="1"/>
    </row>
    <row r="8679">
      <c r="A8679" s="1" t="str">
        <f>IFERROR(__xludf.DUMMYFUNCTION("""COMPUTED_VALUE"""),"132988;INF090I01LF1;INF090I01LG9;Franklin India Multi - Asset Solution Fund of Funds- IDCW;15.6763;25-Aug-2023")</f>
        <v>132988;INF090I01LF1;INF090I01LG9;Franklin India Multi - Asset Solution Fund of Funds- IDCW;15.6763;25-Aug-2023</v>
      </c>
      <c r="B8679" s="1"/>
    </row>
    <row r="8680">
      <c r="A8680" s="1"/>
      <c r="B8680" s="1"/>
    </row>
    <row r="8681">
      <c r="A8681" s="1" t="str">
        <f>IFERROR(__xludf.DUMMYFUNCTION("""COMPUTED_VALUE"""),"HDFC Mutual Fund")</f>
        <v>HDFC Mutual Fund</v>
      </c>
      <c r="B8681" s="1"/>
    </row>
    <row r="8682">
      <c r="A8682" s="1"/>
      <c r="B8682" s="1"/>
    </row>
    <row r="8683">
      <c r="A8683" s="1" t="str">
        <f>IFERROR(__xludf.DUMMYFUNCTION("""COMPUTED_VALUE"""),"148901;INF179KC1BD7;-;HDFC Asset Allocator Fund of Funds - Growth Option;13.54;25-Aug-2023")</f>
        <v>148901;INF179KC1BD7;-;HDFC Asset Allocator Fund of Funds - Growth Option;13.54;25-Aug-2023</v>
      </c>
      <c r="B8683" s="1"/>
    </row>
    <row r="8684">
      <c r="A8684" s="1" t="str">
        <f>IFERROR(__xludf.DUMMYFUNCTION("""COMPUTED_VALUE"""),"148903;INF179KC1BA3;-;HDFC Asset Allocator Fund of Funds - Growth Option -Direct Plan;13.94;25-Aug-2023")</f>
        <v>148903;INF179KC1BA3;-;HDFC Asset Allocator Fund of Funds - Growth Option -Direct Plan;13.94;25-Aug-2023</v>
      </c>
      <c r="B8684" s="1"/>
    </row>
    <row r="8685">
      <c r="A8685" s="1" t="str">
        <f>IFERROR(__xludf.DUMMYFUNCTION("""COMPUTED_VALUE"""),"148900;INF179KC1BE5;-;HDFC Asset Allocator Fund of Funds - IDCW Option;13.54;25-Aug-2023")</f>
        <v>148900;INF179KC1BE5;-;HDFC Asset Allocator Fund of Funds - IDCW Option;13.54;25-Aug-2023</v>
      </c>
      <c r="B8685" s="1"/>
    </row>
    <row r="8686">
      <c r="A8686" s="1" t="str">
        <f>IFERROR(__xludf.DUMMYFUNCTION("""COMPUTED_VALUE"""),"148902;INF179KC1BB1;-;HDFC Asset Allocator Fund of Funds - IDCW Option - Direct Plan;13.94;25-Aug-2023")</f>
        <v>148902;INF179KC1BB1;-;HDFC Asset Allocator Fund of Funds - IDCW Option - Direct Plan;13.94;25-Aug-2023</v>
      </c>
      <c r="B8686" s="1"/>
    </row>
    <row r="8687">
      <c r="A8687" s="1" t="str">
        <f>IFERROR(__xludf.DUMMYFUNCTION("""COMPUTED_VALUE"""),"130533;INF179KA1SF8;-;HDFC Dynamic PE Ratio Fund of Funds - Growth Option;32.1486;25-Aug-2023")</f>
        <v>130533;INF179KA1SF8;-;HDFC Dynamic PE Ratio Fund of Funds - Growth Option;32.1486;25-Aug-2023</v>
      </c>
      <c r="B8687" s="1"/>
    </row>
    <row r="8688">
      <c r="A8688" s="1" t="str">
        <f>IFERROR(__xludf.DUMMYFUNCTION("""COMPUTED_VALUE"""),"130543;INF179KA1SC5;-;HDFC Dynamic PE Ratio Fund of Funds - Growth Option - Direct Plan;34.9857;25-Aug-2023")</f>
        <v>130543;INF179KA1SC5;-;HDFC Dynamic PE Ratio Fund of Funds - Growth Option - Direct Plan;34.9857;25-Aug-2023</v>
      </c>
      <c r="B8688" s="1"/>
    </row>
    <row r="8689">
      <c r="A8689" s="1" t="str">
        <f>IFERROR(__xludf.DUMMYFUNCTION("""COMPUTED_VALUE"""),"130540;INF179KA1SG6;-;HDFC Dynamic PE Ratio Fund of Funds - IDCW Option;28.171;25-Aug-2023")</f>
        <v>130540;INF179KA1SG6;-;HDFC Dynamic PE Ratio Fund of Funds - IDCW Option;28.171;25-Aug-2023</v>
      </c>
      <c r="B8689" s="1"/>
    </row>
    <row r="8690">
      <c r="A8690" s="1" t="str">
        <f>IFERROR(__xludf.DUMMYFUNCTION("""COMPUTED_VALUE"""),"130547;INF179KA1SD3;-;HDFC Dynamic PE Ratio Fund of Funds - IDCW Option - Direct Plan;30.729;25-Aug-2023")</f>
        <v>130547;INF179KA1SD3;-;HDFC Dynamic PE Ratio Fund of Funds - IDCW Option - Direct Plan;30.729;25-Aug-2023</v>
      </c>
      <c r="B8690" s="1"/>
    </row>
    <row r="8691">
      <c r="A8691" s="1" t="str">
        <f>IFERROR(__xludf.DUMMYFUNCTION("""COMPUTED_VALUE"""),"119132;INF179K01VX0;-;HDFC Gold Fund - Direct Plan;18.8962;25-Aug-2023")</f>
        <v>119132;INF179K01VX0;-;HDFC Gold Fund - Direct Plan;18.8962;25-Aug-2023</v>
      </c>
      <c r="B8691" s="1"/>
    </row>
    <row r="8692">
      <c r="A8692" s="1" t="str">
        <f>IFERROR(__xludf.DUMMYFUNCTION("""COMPUTED_VALUE"""),"115934;INF179K01LC5;-;HDFC Gold Fund - Growth Option;18.1534;25-Aug-2023")</f>
        <v>115934;INF179K01LC5;-;HDFC Gold Fund - Growth Option;18.1534;25-Aug-2023</v>
      </c>
      <c r="B8692" s="1"/>
    </row>
    <row r="8693">
      <c r="A8693" s="1" t="str">
        <f>IFERROR(__xludf.DUMMYFUNCTION("""COMPUTED_VALUE"""),"150736;INF179KC1DV5;-;HDFC Silver ETF Fund of Fund - Growth Option;12.627;25-Aug-2023")</f>
        <v>150736;INF179KC1DV5;-;HDFC Silver ETF Fund of Fund - Growth Option;12.627;25-Aug-2023</v>
      </c>
      <c r="B8693" s="1"/>
    </row>
    <row r="8694">
      <c r="A8694" s="1" t="str">
        <f>IFERROR(__xludf.DUMMYFUNCTION("""COMPUTED_VALUE"""),"150737;INF179KC1DU7;-;HDFC Silver ETF Fund of Fund - Growth Option - Direct Plan;12.674;25-Aug-2023")</f>
        <v>150737;INF179KC1DU7;-;HDFC Silver ETF Fund of Fund - Growth Option - Direct Plan;12.674;25-Aug-2023</v>
      </c>
      <c r="B8694" s="1"/>
    </row>
    <row r="8695">
      <c r="A8695" s="1"/>
      <c r="B8695" s="1"/>
    </row>
    <row r="8696">
      <c r="A8696" s="1" t="str">
        <f>IFERROR(__xludf.DUMMYFUNCTION("""COMPUTED_VALUE"""),"HSBC Mutual Fund")</f>
        <v>HSBC Mutual Fund</v>
      </c>
      <c r="B8696" s="1"/>
    </row>
    <row r="8697">
      <c r="A8697" s="1"/>
      <c r="B8697" s="1"/>
    </row>
    <row r="8698">
      <c r="A8698" s="1" t="str">
        <f>IFERROR(__xludf.DUMMYFUNCTION("""COMPUTED_VALUE"""),"129195;INF336L01IM4;-;HSBC Managed Solutions - Conservative - Growth;18.5676;25-Aug-2023")</f>
        <v>129195;INF336L01IM4;-;HSBC Managed Solutions - Conservative - Growth;18.5676;25-Aug-2023</v>
      </c>
      <c r="B8698" s="1"/>
    </row>
    <row r="8699">
      <c r="A8699" s="1" t="str">
        <f>IFERROR(__xludf.DUMMYFUNCTION("""COMPUTED_VALUE"""),"129197;INF336L01IP7;-;HSBC Managed Solutions - Conservative - Growth Direct;19.4244;25-Aug-2023")</f>
        <v>129197;INF336L01IP7;-;HSBC Managed Solutions - Conservative - Growth Direct;19.4244;25-Aug-2023</v>
      </c>
      <c r="B8699" s="1"/>
    </row>
    <row r="8700">
      <c r="A8700" s="1" t="str">
        <f>IFERROR(__xludf.DUMMYFUNCTION("""COMPUTED_VALUE"""),"129198;INF336L01IN2;INF336L01IO0;HSBC Managed Solutions India Conservative Fund Direct Plan IDCW;17.1673;04-Feb-2021")</f>
        <v>129198;INF336L01IN2;INF336L01IO0;HSBC Managed Solutions India Conservative Fund Direct Plan IDCW;17.1673;04-Feb-2021</v>
      </c>
      <c r="B8700" s="1"/>
    </row>
    <row r="8701">
      <c r="A8701" s="1" t="str">
        <f>IFERROR(__xludf.DUMMYFUNCTION("""COMPUTED_VALUE"""),"129196;INF336L01IK8;INF336L01IL6;HSBC Managed Solutions India Conservative Fund IDCW;17.2356;25-Aug-2023")</f>
        <v>129196;INF336L01IK8;INF336L01IL6;HSBC Managed Solutions India Conservative Fund IDCW;17.2356;25-Aug-2023</v>
      </c>
      <c r="B8701" s="1"/>
    </row>
    <row r="8702">
      <c r="A8702" s="1" t="str">
        <f>IFERROR(__xludf.DUMMYFUNCTION("""COMPUTED_VALUE"""),"129199;INF336L01HY1;INF336L01HZ8;HSBC Managed Solutions - Growth - Dividend;27.7528;25-Aug-2023")</f>
        <v>129199;INF336L01HY1;INF336L01HZ8;HSBC Managed Solutions - Growth - Dividend;27.7528;25-Aug-2023</v>
      </c>
      <c r="B8702" s="1"/>
    </row>
    <row r="8703">
      <c r="A8703" s="1" t="str">
        <f>IFERROR(__xludf.DUMMYFUNCTION("""COMPUTED_VALUE"""),"129201;INF336L01IB7;INF336L01IC5;HSBC Managed Solutions - Growth - Dividend Direct;28.7243;25-Aug-2023")</f>
        <v>129201;INF336L01IB7;INF336L01IC5;HSBC Managed Solutions - Growth - Dividend Direct;28.7243;25-Aug-2023</v>
      </c>
      <c r="B8703" s="1"/>
    </row>
    <row r="8704">
      <c r="A8704" s="1" t="str">
        <f>IFERROR(__xludf.DUMMYFUNCTION("""COMPUTED_VALUE"""),"129065;INF336L01IA9;-;HSBC Managed Solutions - Growth - Growth;30.2589;25-Aug-2023")</f>
        <v>129065;INF336L01IA9;-;HSBC Managed Solutions - Growth - Growth;30.2589;25-Aug-2023</v>
      </c>
      <c r="B8704" s="1"/>
    </row>
    <row r="8705">
      <c r="A8705" s="1" t="str">
        <f>IFERROR(__xludf.DUMMYFUNCTION("""COMPUTED_VALUE"""),"129200;INF336L01ID3;-;HSBC Managed Solutions - Growth - Growth Direct;31.2383;25-Aug-2023")</f>
        <v>129200;INF336L01ID3;-;HSBC Managed Solutions - Growth - Growth Direct;31.2383;25-Aug-2023</v>
      </c>
      <c r="B8705" s="1"/>
    </row>
    <row r="8706">
      <c r="A8706" s="1" t="str">
        <f>IFERROR(__xludf.DUMMYFUNCTION("""COMPUTED_VALUE"""),"129191;INF336L01IG6;-;HSBC Managed Solutions - Moderate - Growth;27.2544;25-Aug-2023")</f>
        <v>129191;INF336L01IG6;-;HSBC Managed Solutions - Moderate - Growth;27.2544;25-Aug-2023</v>
      </c>
      <c r="B8706" s="1"/>
    </row>
    <row r="8707">
      <c r="A8707" s="1" t="str">
        <f>IFERROR(__xludf.DUMMYFUNCTION("""COMPUTED_VALUE"""),"129193;INF336L01IJ0;-;HSBC Managed Solutions - Moderate - Growth Direct;28.3967;25-Aug-2023")</f>
        <v>129193;INF336L01IJ0;-;HSBC Managed Solutions - Moderate - Growth Direct;28.3967;25-Aug-2023</v>
      </c>
      <c r="B8707" s="1"/>
    </row>
    <row r="8708">
      <c r="A8708" s="1" t="str">
        <f>IFERROR(__xludf.DUMMYFUNCTION("""COMPUTED_VALUE"""),"129194;INF336L01IH4;INF336L01II2;HSBC Managed Solutions India Moderate Fund Direct Plan IDCW;15.9292;25-Aug-2023")</f>
        <v>129194;INF336L01IH4;INF336L01II2;HSBC Managed Solutions India Moderate Fund Direct Plan IDCW;15.9292;25-Aug-2023</v>
      </c>
      <c r="B8708" s="1"/>
    </row>
    <row r="8709">
      <c r="A8709" s="1" t="str">
        <f>IFERROR(__xludf.DUMMYFUNCTION("""COMPUTED_VALUE"""),"129192;INF336L01IE1;INF336L01IF8;HSBC Managed Solutions India Moderate Fund IDCW;25.6128;25-Aug-2023")</f>
        <v>129192;INF336L01IE1;INF336L01IF8;HSBC Managed Solutions India Moderate Fund IDCW;25.6128;25-Aug-2023</v>
      </c>
      <c r="B8709" s="1"/>
    </row>
    <row r="8710">
      <c r="A8710" s="1"/>
      <c r="B8710" s="1"/>
    </row>
    <row r="8711">
      <c r="A8711" s="1" t="str">
        <f>IFERROR(__xludf.DUMMYFUNCTION("""COMPUTED_VALUE"""),"ICICI Prudential Mutual Fund")</f>
        <v>ICICI Prudential Mutual Fund</v>
      </c>
      <c r="B8711" s="1"/>
    </row>
    <row r="8712">
      <c r="A8712" s="1"/>
      <c r="B8712" s="1"/>
    </row>
    <row r="8713">
      <c r="A8713" s="1" t="str">
        <f>IFERROR(__xludf.DUMMYFUNCTION("""COMPUTED_VALUE"""),"120679;INF109K01X16;-;ICICI Prudential Asset Allocator Fund (FOF) - Direct Plan - Growth;99.6314;25-Aug-2023")</f>
        <v>120679;INF109K01X16;-;ICICI Prudential Asset Allocator Fund (FOF) - Direct Plan - Growth;99.6314;25-Aug-2023</v>
      </c>
      <c r="B8713" s="1"/>
    </row>
    <row r="8714">
      <c r="A8714" s="1" t="str">
        <f>IFERROR(__xludf.DUMMYFUNCTION("""COMPUTED_VALUE"""),"120680;INF109K01W90;INF109K01X08;ICICI Prudential Asset Allocator Fund (FOF) - Direct Plan - IDCW;84.0977;25-Aug-2023")</f>
        <v>120680;INF109K01W90;INF109K01X08;ICICI Prudential Asset Allocator Fund (FOF) - Direct Plan - IDCW;84.0977;25-Aug-2023</v>
      </c>
      <c r="B8714" s="1"/>
    </row>
    <row r="8715">
      <c r="A8715" s="1" t="str">
        <f>IFERROR(__xludf.DUMMYFUNCTION("""COMPUTED_VALUE"""),"102137;INF109K01837;-;ICICI Prudential Asset Allocator Fund (FOF) - Growth;91.9723;25-Aug-2023")</f>
        <v>102137;INF109K01837;-;ICICI Prudential Asset Allocator Fund (FOF) - Growth;91.9723;25-Aug-2023</v>
      </c>
      <c r="B8715" s="1"/>
    </row>
    <row r="8716">
      <c r="A8716" s="1" t="str">
        <f>IFERROR(__xludf.DUMMYFUNCTION("""COMPUTED_VALUE"""),"102138;INF109K01FJ9;INF109K01845;ICICI Prudential Asset Allocator Fund (FOF) - IDCW;76.6765;25-Aug-2023")</f>
        <v>102138;INF109K01FJ9;INF109K01845;ICICI Prudential Asset Allocator Fund (FOF) - IDCW;76.6765;25-Aug-2023</v>
      </c>
      <c r="B8716" s="1"/>
    </row>
    <row r="8717">
      <c r="A8717" s="1" t="str">
        <f>IFERROR(__xludf.DUMMYFUNCTION("""COMPUTED_VALUE"""),"143904;INF109KC1FW3;-;ICICI Prudential BHARAT 22 FOF - Cumulative Option;20.6163;25-Aug-2023")</f>
        <v>143904;INF109KC1FW3;-;ICICI Prudential BHARAT 22 FOF - Cumulative Option;20.6163;25-Aug-2023</v>
      </c>
      <c r="B8717" s="1"/>
    </row>
    <row r="8718">
      <c r="A8718" s="1" t="str">
        <f>IFERROR(__xludf.DUMMYFUNCTION("""COMPUTED_VALUE"""),"143903;INF109KC1FX1;-;ICICI Prudential BHARAT 22 FOF - Direct Plan Cumulative Option;20.6203;25-Aug-2023")</f>
        <v>143903;INF109KC1FX1;-;ICICI Prudential BHARAT 22 FOF - Direct Plan Cumulative Option;20.6203;25-Aug-2023</v>
      </c>
      <c r="B8718" s="1"/>
    </row>
    <row r="8719">
      <c r="A8719" s="1" t="str">
        <f>IFERROR(__xludf.DUMMYFUNCTION("""COMPUTED_VALUE"""),"120703;INF109K01X57;INF109K01X65;ICICI Prudential Debt Management Fund (FOF) - Direct Plan -  IDCW;37.0634;25-Aug-2023")</f>
        <v>120703;INF109K01X57;INF109K01X65;ICICI Prudential Debt Management Fund (FOF) - Direct Plan -  IDCW;37.0634;25-Aug-2023</v>
      </c>
      <c r="B8719" s="1"/>
    </row>
    <row r="8720">
      <c r="A8720" s="1" t="str">
        <f>IFERROR(__xludf.DUMMYFUNCTION("""COMPUTED_VALUE"""),"120702;INF109K01X73;-;ICICI Prudential Debt Management Fund (FOF) - Direct Plan - Growth;40.2317;25-Aug-2023")</f>
        <v>120702;INF109K01X73;-;ICICI Prudential Debt Management Fund (FOF) - Direct Plan - Growth;40.2317;25-Aug-2023</v>
      </c>
      <c r="B8720" s="1"/>
    </row>
    <row r="8721">
      <c r="A8721" s="1" t="str">
        <f>IFERROR(__xludf.DUMMYFUNCTION("""COMPUTED_VALUE"""),"102141;INF109K01878;-;ICICI Prudential Debt Management Fund (FOF) - Growth;38.7876;25-Aug-2023")</f>
        <v>102141;INF109K01878;-;ICICI Prudential Debt Management Fund (FOF) - Growth;38.7876;25-Aug-2023</v>
      </c>
      <c r="B8721" s="1"/>
    </row>
    <row r="8722">
      <c r="A8722" s="1" t="str">
        <f>IFERROR(__xludf.DUMMYFUNCTION("""COMPUTED_VALUE"""),"102143;INF109K01FS0;INF109K01886;ICICI Prudential Debt Management Fund (FOF ) - IDCW;35.4786;25-Aug-2023")</f>
        <v>102143;INF109K01FS0;INF109K01886;ICICI Prudential Debt Management Fund (FOF ) - IDCW;35.4786;25-Aug-2023</v>
      </c>
      <c r="B8722" s="1"/>
    </row>
    <row r="8723">
      <c r="A8723" s="1" t="str">
        <f>IFERROR(__xludf.DUMMYFUNCTION("""COMPUTED_VALUE"""),"147648;INF109KC1F34;-;ICICI Prudential Global Advantage Fund (FOF) - Direct Plan - Growth Option;13.2383;25-Aug-2023")</f>
        <v>147648;INF109KC1F34;-;ICICI Prudential Global Advantage Fund (FOF) - Direct Plan - Growth Option;13.2383;25-Aug-2023</v>
      </c>
      <c r="B8723" s="1"/>
    </row>
    <row r="8724">
      <c r="A8724" s="1" t="str">
        <f>IFERROR(__xludf.DUMMYFUNCTION("""COMPUTED_VALUE"""),"147645;INF109KC1F42;-;ICICI Prudential Global Advantage Fund (FOF) - Direct Plan - IDCW;13.2383;25-Aug-2023")</f>
        <v>147645;INF109KC1F42;-;ICICI Prudential Global Advantage Fund (FOF) - Direct Plan - IDCW;13.2383;25-Aug-2023</v>
      </c>
      <c r="B8724" s="1"/>
    </row>
    <row r="8725">
      <c r="A8725" s="1" t="str">
        <f>IFERROR(__xludf.DUMMYFUNCTION("""COMPUTED_VALUE"""),"147647;INF109KC1F00;-;ICICI Prudential Global Advantage Fund (FOF) - Growth Option;12.9008;25-Aug-2023")</f>
        <v>147647;INF109KC1F00;-;ICICI Prudential Global Advantage Fund (FOF) - Growth Option;12.9008;25-Aug-2023</v>
      </c>
      <c r="B8725" s="1"/>
    </row>
    <row r="8726">
      <c r="A8726" s="1" t="str">
        <f>IFERROR(__xludf.DUMMYFUNCTION("""COMPUTED_VALUE"""),"147646;INF109KC1F18;-;ICICI Prudential Global Advantage Fund (FOF) - IDCW;12.9005;25-Aug-2023")</f>
        <v>147646;INF109KC1F18;-;ICICI Prudential Global Advantage Fund (FOF) - IDCW;12.9005;25-Aug-2023</v>
      </c>
      <c r="B8726" s="1"/>
    </row>
    <row r="8727">
      <c r="A8727" s="1" t="str">
        <f>IFERROR(__xludf.DUMMYFUNCTION("""COMPUTED_VALUE"""),"120313;INF109K01W82;-;ICICI Prudential Income Optimizer Fund (FOF) - Direct Plan - Growth;54.5496;25-Aug-2023")</f>
        <v>120313;INF109K01W82;-;ICICI Prudential Income Optimizer Fund (FOF) - Direct Plan - Growth;54.5496;25-Aug-2023</v>
      </c>
      <c r="B8727" s="1"/>
    </row>
    <row r="8728">
      <c r="A8728" s="1" t="str">
        <f>IFERROR(__xludf.DUMMYFUNCTION("""COMPUTED_VALUE"""),"120314;INF109K01W66;INF109K01W74;ICICI Prudential Income Optimizer Fund (FOF) - Direct Plan - IDCW;45.7618;25-Aug-2023")</f>
        <v>120314;INF109K01W66;INF109K01W74;ICICI Prudential Income Optimizer Fund (FOF) - Direct Plan - IDCW;45.7618;25-Aug-2023</v>
      </c>
      <c r="B8728" s="1"/>
    </row>
    <row r="8729">
      <c r="A8729" s="1" t="str">
        <f>IFERROR(__xludf.DUMMYFUNCTION("""COMPUTED_VALUE"""),"102139;INF109K01811;-;ICICI Prudential Income Optimizer Fund (FOF) - Growth;51.2577;25-Aug-2023")</f>
        <v>102139;INF109K01811;-;ICICI Prudential Income Optimizer Fund (FOF) - Growth;51.2577;25-Aug-2023</v>
      </c>
      <c r="B8729" s="1"/>
    </row>
    <row r="8730">
      <c r="A8730" s="1" t="str">
        <f>IFERROR(__xludf.DUMMYFUNCTION("""COMPUTED_VALUE"""),"102140;INF109K01EB9;INF109K01829;ICICI Prudential Income Optimizer Fund (FOF) - IDCW;42.9204;25-Aug-2023")</f>
        <v>102140;INF109K01EB9;INF109K01829;ICICI Prudential Income Optimizer Fund (FOF) - IDCW;42.9204;25-Aug-2023</v>
      </c>
      <c r="B8730" s="1"/>
    </row>
    <row r="8731">
      <c r="A8731" s="1" t="str">
        <f>IFERROR(__xludf.DUMMYFUNCTION("""COMPUTED_VALUE"""),"148035;INF109KC1I49;-;ICICI Prudential India Equity FOF - Direct Plan - Growth;20.7728;25-Aug-2023")</f>
        <v>148035;INF109KC1I49;-;ICICI Prudential India Equity FOF - Direct Plan - Growth;20.7728;25-Aug-2023</v>
      </c>
      <c r="B8731" s="1"/>
    </row>
    <row r="8732">
      <c r="A8732" s="1" t="str">
        <f>IFERROR(__xludf.DUMMYFUNCTION("""COMPUTED_VALUE"""),"148036;INF109KC1I64;INF109KC1I56;ICICI Prudential India Equity FOF - Direct Plan - IDCW;17.3796;25-Aug-2023")</f>
        <v>148036;INF109KC1I64;INF109KC1I56;ICICI Prudential India Equity FOF - Direct Plan - IDCW;17.3796;25-Aug-2023</v>
      </c>
      <c r="B8732" s="1"/>
    </row>
    <row r="8733">
      <c r="A8733" s="1" t="str">
        <f>IFERROR(__xludf.DUMMYFUNCTION("""COMPUTED_VALUE"""),"148033;INF109KC1I15;-;ICICI Prudential India Equity FOF - Growth;20.1708;25-Aug-2023")</f>
        <v>148033;INF109KC1I15;-;ICICI Prudential India Equity FOF - Growth;20.1708;25-Aug-2023</v>
      </c>
      <c r="B8733" s="1"/>
    </row>
    <row r="8734">
      <c r="A8734" s="1" t="str">
        <f>IFERROR(__xludf.DUMMYFUNCTION("""COMPUTED_VALUE"""),"148034;INF109KC1I31;INF109KC1I23;ICICI Prudential India Equity FOF - IDCW;16.8002;25-Aug-2023")</f>
        <v>148034;INF109KC1I31;INF109KC1I23;ICICI Prudential India Equity FOF - IDCW;16.8002;25-Aug-2023</v>
      </c>
      <c r="B8734" s="1"/>
    </row>
    <row r="8735">
      <c r="A8735" s="1" t="str">
        <f>IFERROR(__xludf.DUMMYFUNCTION("""COMPUTED_VALUE"""),"148822;INF109KC1P81;-;ICICI Prudential Nifty 100 Low Volatility 30 ETF FOF - Direct Plan - Growth;13.4506;25-Aug-2023")</f>
        <v>148822;INF109KC1P81;-;ICICI Prudential Nifty 100 Low Volatility 30 ETF FOF - Direct Plan - Growth;13.4506;25-Aug-2023</v>
      </c>
      <c r="B8735" s="1"/>
    </row>
    <row r="8736">
      <c r="A8736" s="1" t="str">
        <f>IFERROR(__xludf.DUMMYFUNCTION("""COMPUTED_VALUE"""),"148823;INF109KC1Q07;INF109KC1P99;ICICI Prudential Nifty 100 Low Volatility 30 ETF FOF - Direct Plan - IDCW;13.4506;25-Aug-2023")</f>
        <v>148823;INF109KC1Q07;INF109KC1P99;ICICI Prudential Nifty 100 Low Volatility 30 ETF FOF - Direct Plan - IDCW;13.4506;25-Aug-2023</v>
      </c>
      <c r="B8736" s="1"/>
    </row>
    <row r="8737">
      <c r="A8737" s="1" t="str">
        <f>IFERROR(__xludf.DUMMYFUNCTION("""COMPUTED_VALUE"""),"148821;INF109KC1P57;-;ICICI Prudential Nifty 100 Low Volatility 30 ETF FOF - Growth;13.2786;25-Aug-2023")</f>
        <v>148821;INF109KC1P57;-;ICICI Prudential Nifty 100 Low Volatility 30 ETF FOF - Growth;13.2786;25-Aug-2023</v>
      </c>
      <c r="B8737" s="1"/>
    </row>
    <row r="8738">
      <c r="A8738" s="1" t="str">
        <f>IFERROR(__xludf.DUMMYFUNCTION("""COMPUTED_VALUE"""),"148824;INF109KC1P73;INF109KC1P65;ICICI Prudential Nifty 100 Low Volatility 30 ETF FOF - IDCW;13.2787;25-Aug-2023")</f>
        <v>148824;INF109KC1P73;INF109KC1P65;ICICI Prudential Nifty 100 Low Volatility 30 ETF FOF - IDCW;13.2787;25-Aug-2023</v>
      </c>
      <c r="B8738" s="1"/>
    </row>
    <row r="8739">
      <c r="A8739" s="1" t="str">
        <f>IFERROR(__xludf.DUMMYFUNCTION("""COMPUTED_VALUE"""),"149158;INF109KC1R89;-;ICICI Prudential Nifty Alpha Low - Volatility 30 ETF FOF - Direct Plan - Growth;10.8058;25-Aug-2023")</f>
        <v>149158;INF109KC1R89;-;ICICI Prudential Nifty Alpha Low - Volatility 30 ETF FOF - Direct Plan - Growth;10.8058;25-Aug-2023</v>
      </c>
      <c r="B8739" s="1"/>
    </row>
    <row r="8740">
      <c r="A8740" s="1" t="str">
        <f>IFERROR(__xludf.DUMMYFUNCTION("""COMPUTED_VALUE"""),"149160;INF109KC1S05;INF109KC1R97;ICICI Prudential Nifty Alpha Low - Volatility 30 ETF FOF - Direct Plan - IDCW;10.8056;25-Aug-2023")</f>
        <v>149160;INF109KC1S05;INF109KC1R97;ICICI Prudential Nifty Alpha Low - Volatility 30 ETF FOF - Direct Plan - IDCW;10.8056;25-Aug-2023</v>
      </c>
      <c r="B8740" s="1"/>
    </row>
    <row r="8741">
      <c r="A8741" s="1" t="str">
        <f>IFERROR(__xludf.DUMMYFUNCTION("""COMPUTED_VALUE"""),"149157;INF109KC1R55;-;ICICI Prudential Nifty Alpha Low - Volatility 30 ETF FOF - Growth;10.6878;25-Aug-2023")</f>
        <v>149157;INF109KC1R55;-;ICICI Prudential Nifty Alpha Low - Volatility 30 ETF FOF - Growth;10.6878;25-Aug-2023</v>
      </c>
      <c r="B8741" s="1"/>
    </row>
    <row r="8742">
      <c r="A8742" s="1" t="str">
        <f>IFERROR(__xludf.DUMMYFUNCTION("""COMPUTED_VALUE"""),"149159;INF109KC1R71;INF109KC1R63;ICICI Prudential Nifty Alpha Low - Volatility 30 ETF FOF - IDCW;10.6877;25-Aug-2023")</f>
        <v>149159;INF109KC1R71;INF109KC1R63;ICICI Prudential Nifty Alpha Low - Volatility 30 ETF FOF - IDCW;10.6877;25-Aug-2023</v>
      </c>
      <c r="B8742" s="1"/>
    </row>
    <row r="8743">
      <c r="A8743" s="1" t="str">
        <f>IFERROR(__xludf.DUMMYFUNCTION("""COMPUTED_VALUE"""),"149441;INF109KC1Y15;-;ICICI Prudential Passive Multi-Asset Fund of Funds - Direct Plan - Growth;11.5215;25-Aug-2023")</f>
        <v>149441;INF109KC1Y15;-;ICICI Prudential Passive Multi-Asset Fund of Funds - Direct Plan - Growth;11.5215;25-Aug-2023</v>
      </c>
      <c r="B8743" s="1"/>
    </row>
    <row r="8744">
      <c r="A8744" s="1" t="str">
        <f>IFERROR(__xludf.DUMMYFUNCTION("""COMPUTED_VALUE"""),"149442;INF109KC1Y23;INF109KC1Y31;ICICI Prudential Passive Multi-Asset Fund of Funds - Direct Plan - IDCW;11.5290;25-Aug-2023")</f>
        <v>149442;INF109KC1Y23;INF109KC1Y31;ICICI Prudential Passive Multi-Asset Fund of Funds - Direct Plan - IDCW;11.5290;25-Aug-2023</v>
      </c>
      <c r="B8744" s="1"/>
    </row>
    <row r="8745">
      <c r="A8745" s="1" t="str">
        <f>IFERROR(__xludf.DUMMYFUNCTION("""COMPUTED_VALUE"""),"149439;INF109KC1X81;-;ICICI Prudential Passive Multi-Asset Fund of Funds - Growth;11.4353;25-Aug-2023")</f>
        <v>149439;INF109KC1X81;-;ICICI Prudential Passive Multi-Asset Fund of Funds - Growth;11.4353;25-Aug-2023</v>
      </c>
      <c r="B8745" s="1"/>
    </row>
    <row r="8746">
      <c r="A8746" s="1" t="str">
        <f>IFERROR(__xludf.DUMMYFUNCTION("""COMPUTED_VALUE"""),"149440;INF109KC1X99;INF109KC1Y07;ICICI Prudential Passive Multi-Asset Fund of Funds - IDCW;11.4355;25-Aug-2023")</f>
        <v>149440;INF109KC1X99;INF109KC1Y07;ICICI Prudential Passive Multi-Asset Fund of Funds - IDCW;11.4355;25-Aug-2023</v>
      </c>
      <c r="B8746" s="1"/>
    </row>
    <row r="8747">
      <c r="A8747" s="1" t="str">
        <f>IFERROR(__xludf.DUMMYFUNCTION("""COMPUTED_VALUE"""),"102134;INF109K01DW7;INF109K01803;ICICI Prudential Passive Strategy Fund (FOF) - IDCW;96.7854;25-Aug-2023")</f>
        <v>102134;INF109K01DW7;INF109K01803;ICICI Prudential Passive Strategy Fund (FOF) - IDCW;96.7854;25-Aug-2023</v>
      </c>
      <c r="B8747" s="1"/>
    </row>
    <row r="8748">
      <c r="A8748" s="1" t="str">
        <f>IFERROR(__xludf.DUMMYFUNCTION("""COMPUTED_VALUE"""),"120243;INF109K01W33;INF109K01W41;ICICI Prudential Passive Strategy Fund (FOF) - Direct Plan -  IDCW;101.4964;25-Aug-2023")</f>
        <v>120243;INF109K01W33;INF109K01W41;ICICI Prudential Passive Strategy Fund (FOF) - Direct Plan -  IDCW;101.4964;25-Aug-2023</v>
      </c>
      <c r="B8748" s="1"/>
    </row>
    <row r="8749">
      <c r="A8749" s="1" t="str">
        <f>IFERROR(__xludf.DUMMYFUNCTION("""COMPUTED_VALUE"""),"120242;INF109K01W58;-;ICICI Prudential Passive Strategy Fund (FOF) - Direct Plan - Growth;120.3175;25-Aug-2023")</f>
        <v>120242;INF109K01W58;-;ICICI Prudential Passive Strategy Fund (FOF) - Direct Plan - Growth;120.3175;25-Aug-2023</v>
      </c>
      <c r="B8749" s="1"/>
    </row>
    <row r="8750">
      <c r="A8750" s="1" t="str">
        <f>IFERROR(__xludf.DUMMYFUNCTION("""COMPUTED_VALUE"""),"102133;INF109K01795;-;ICICI Prudential Passive Strategy Fund (FOF) - Growth;115.5462;25-Aug-2023")</f>
        <v>102133;INF109K01795;-;ICICI Prudential Passive Strategy Fund (FOF) - Growth;115.5462;25-Aug-2023</v>
      </c>
      <c r="B8750" s="1"/>
    </row>
    <row r="8751">
      <c r="A8751" s="1" t="str">
        <f>IFERROR(__xludf.DUMMYFUNCTION("""COMPUTED_VALUE"""),"120685;INF109K01U92;-;ICICI Prudential Regular Gold Savings Fund (FOF) - Direct Plan -  Growth;19.3075;25-Aug-2023")</f>
        <v>120685;INF109K01U92;-;ICICI Prudential Regular Gold Savings Fund (FOF) - Direct Plan -  Growth;19.3075;25-Aug-2023</v>
      </c>
      <c r="B8751" s="1"/>
    </row>
    <row r="8752">
      <c r="A8752" s="1" t="str">
        <f>IFERROR(__xludf.DUMMYFUNCTION("""COMPUTED_VALUE"""),"120686;INF109K01U76;INF109K01U84;ICICI Prudential Regular Gold Savings Fund (FOF) - Direct Plan -  IDCW;19.3092;25-Aug-2023")</f>
        <v>120686;INF109K01U76;INF109K01U84;ICICI Prudential Regular Gold Savings Fund (FOF) - Direct Plan -  IDCW;19.3092;25-Aug-2023</v>
      </c>
      <c r="B8752" s="1"/>
    </row>
    <row r="8753">
      <c r="A8753" s="1" t="str">
        <f>IFERROR(__xludf.DUMMYFUNCTION("""COMPUTED_VALUE"""),"115833;INF109K01TK8;-;ICICI Prudential Regular Gold Savings Fund (FOF) - Growth;18.7431;25-Aug-2023")</f>
        <v>115833;INF109K01TK8;-;ICICI Prudential Regular Gold Savings Fund (FOF) - Growth;18.7431;25-Aug-2023</v>
      </c>
      <c r="B8753" s="1"/>
    </row>
    <row r="8754">
      <c r="A8754" s="1" t="str">
        <f>IFERROR(__xludf.DUMMYFUNCTION("""COMPUTED_VALUE"""),"115834;INF109K01TM4;INF109K01TL6;ICICI Prudential Regular Gold Savings Fund (FOF) - IDCW;18.7435;25-Aug-2023")</f>
        <v>115834;INF109K01TM4;INF109K01TL6;ICICI Prudential Regular Gold Savings Fund (FOF) - IDCW;18.7435;25-Aug-2023</v>
      </c>
      <c r="B8754" s="1"/>
    </row>
    <row r="8755">
      <c r="A8755" s="1" t="str">
        <f>IFERROR(__xludf.DUMMYFUNCTION("""COMPUTED_VALUE"""),"149331;INF109KC1V91;-;ICICI Prudential S&amp;P BSE 500 ETF FOF - Direct Plan - Growth;11.5552;25-Aug-2023")</f>
        <v>149331;INF109KC1V91;-;ICICI Prudential S&amp;P BSE 500 ETF FOF - Direct Plan - Growth;11.5552;25-Aug-2023</v>
      </c>
      <c r="B8755" s="1"/>
    </row>
    <row r="8756">
      <c r="A8756" s="1" t="str">
        <f>IFERROR(__xludf.DUMMYFUNCTION("""COMPUTED_VALUE"""),"149333;INF109KC1W09;INF109KC1W17;ICICI Prudential S&amp;P BSE 500 ETF FOF - Direct Plan - IDCW;11.5551;25-Aug-2023")</f>
        <v>149333;INF109KC1W09;INF109KC1W17;ICICI Prudential S&amp;P BSE 500 ETF FOF - Direct Plan - IDCW;11.5551;25-Aug-2023</v>
      </c>
      <c r="B8756" s="1"/>
    </row>
    <row r="8757">
      <c r="A8757" s="1" t="str">
        <f>IFERROR(__xludf.DUMMYFUNCTION("""COMPUTED_VALUE"""),"149334;INF109KC1V67;-;ICICI Prudential S&amp;P BSE 500 ETF FOF - Growth;11.4551;25-Aug-2023")</f>
        <v>149334;INF109KC1V67;-;ICICI Prudential S&amp;P BSE 500 ETF FOF - Growth;11.4551;25-Aug-2023</v>
      </c>
      <c r="B8757" s="1"/>
    </row>
    <row r="8758">
      <c r="A8758" s="1" t="str">
        <f>IFERROR(__xludf.DUMMYFUNCTION("""COMPUTED_VALUE"""),"149332;INF109KC1V75;INF109KC1V83;ICICI Prudential S&amp;P BSE 500 ETF FOF - IDCW;11.4551;25-Aug-2023")</f>
        <v>149332;INF109KC1V75;INF109KC1V83;ICICI Prudential S&amp;P BSE 500 ETF FOF - IDCW;11.4551;25-Aug-2023</v>
      </c>
      <c r="B8758" s="1"/>
    </row>
    <row r="8759">
      <c r="A8759" s="1" t="str">
        <f>IFERROR(__xludf.DUMMYFUNCTION("""COMPUTED_VALUE"""),"149775;INF109KC1Y98;-;ICICI PRUDENTIAL SILVER ETF FUND OF FUND - Direct Plan - Growth;11.7187;25-Aug-2023")</f>
        <v>149775;INF109KC1Y98;-;ICICI PRUDENTIAL SILVER ETF FUND OF FUND - Direct Plan - Growth;11.7187;25-Aug-2023</v>
      </c>
      <c r="B8759" s="1"/>
    </row>
    <row r="8760">
      <c r="A8760" s="1" t="str">
        <f>IFERROR(__xludf.DUMMYFUNCTION("""COMPUTED_VALUE"""),"149776;INF109KC1Z06;INF109KC1Z14;ICICI PRUDENTIAL SILVER ETF FUND OF FUND - Direct Plan - IDCW;11.7188;25-Aug-2023")</f>
        <v>149776;INF109KC1Z06;INF109KC1Z14;ICICI PRUDENTIAL SILVER ETF FUND OF FUND - Direct Plan - IDCW;11.7188;25-Aug-2023</v>
      </c>
      <c r="B8760" s="1"/>
    </row>
    <row r="8761">
      <c r="A8761" s="1" t="str">
        <f>IFERROR(__xludf.DUMMYFUNCTION("""COMPUTED_VALUE"""),"149777;INF109KC1Y64;-;ICICI PRUDENTIAL SILVER ETF FUND OF FUND - Growth;11.6119;25-Aug-2023")</f>
        <v>149777;INF109KC1Y64;-;ICICI PRUDENTIAL SILVER ETF FUND OF FUND - Growth;11.6119;25-Aug-2023</v>
      </c>
      <c r="B8761" s="1"/>
    </row>
    <row r="8762">
      <c r="A8762" s="1" t="str">
        <f>IFERROR(__xludf.DUMMYFUNCTION("""COMPUTED_VALUE"""),"149778;INF109KC1Y72;INF109KC1Y80;ICICI PRUDENTIAL SILVER ETF FUND OF FUND - IDCW;11.6120;25-Aug-2023")</f>
        <v>149778;INF109KC1Y72;INF109KC1Y80;ICICI PRUDENTIAL SILVER ETF FUND OF FUND - IDCW;11.6120;25-Aug-2023</v>
      </c>
      <c r="B8762" s="1"/>
    </row>
    <row r="8763">
      <c r="A8763" s="1" t="str">
        <f>IFERROR(__xludf.DUMMYFUNCTION("""COMPUTED_VALUE"""),"120700;INF109K01X40;-;ICICI Prudential Thematic Advantage Fund (FOF) - Direct Plan - Growth;160.8308;25-Aug-2023")</f>
        <v>120700;INF109K01X40;-;ICICI Prudential Thematic Advantage Fund (FOF) - Direct Plan - Growth;160.8308;25-Aug-2023</v>
      </c>
      <c r="B8763" s="1"/>
    </row>
    <row r="8764">
      <c r="A8764" s="1" t="str">
        <f>IFERROR(__xludf.DUMMYFUNCTION("""COMPUTED_VALUE"""),"102135;INF109K01852;-;ICICI Prudential Thematic Advantage Fund (FOF) - Growth;153.8536;25-Aug-2023")</f>
        <v>102135;INF109K01852;-;ICICI Prudential Thematic Advantage Fund (FOF) - Growth;153.8536;25-Aug-2023</v>
      </c>
      <c r="B8764" s="1"/>
    </row>
    <row r="8765">
      <c r="A8765" s="1" t="str">
        <f>IFERROR(__xludf.DUMMYFUNCTION("""COMPUTED_VALUE"""),"102136;INF109K01FR2;INF109K01860;ICICI Prudential Thematic Advantage Fund (FOF) - IDCW;128.4875;25-Aug-2023")</f>
        <v>102136;INF109K01FR2;INF109K01860;ICICI Prudential Thematic Advantage Fund (FOF) - IDCW;128.4875;25-Aug-2023</v>
      </c>
      <c r="B8765" s="1"/>
    </row>
    <row r="8766">
      <c r="A8766" s="1"/>
      <c r="B8766" s="1"/>
    </row>
    <row r="8767">
      <c r="A8767" s="1" t="str">
        <f>IFERROR(__xludf.DUMMYFUNCTION("""COMPUTED_VALUE"""),"Invesco Mutual Fund")</f>
        <v>Invesco Mutual Fund</v>
      </c>
      <c r="B8767" s="1"/>
    </row>
    <row r="8768">
      <c r="A8768" s="1"/>
      <c r="B8768" s="1"/>
    </row>
    <row r="8769">
      <c r="A8769" s="1" t="str">
        <f>IFERROR(__xludf.DUMMYFUNCTION("""COMPUTED_VALUE"""),"120530;INF205K01NH3;INF205K01NI1;Invesco India Gold Fund - Direct Plan - IDCW (Payout / Reinvestment);17.7369;25-Aug-2023")</f>
        <v>120530;INF205K01NH3;INF205K01NI1;Invesco India Gold Fund - Direct Plan - IDCW (Payout / Reinvestment);17.7369;25-Aug-2023</v>
      </c>
      <c r="B8769" s="1"/>
    </row>
    <row r="8770">
      <c r="A8770" s="1" t="str">
        <f>IFERROR(__xludf.DUMMYFUNCTION("""COMPUTED_VALUE"""),"120531;INF205K01NJ9;-;Invesco India Gold Fund - Direct Plan- - Growth;17.764;25-Aug-2023")</f>
        <v>120531;INF205K01NJ9;-;Invesco India Gold Fund - Direct Plan- - Growth;17.764;25-Aug-2023</v>
      </c>
      <c r="B8770" s="1"/>
    </row>
    <row r="8771">
      <c r="A8771" s="1" t="str">
        <f>IFERROR(__xludf.DUMMYFUNCTION("""COMPUTED_VALUE"""),"116077;INF205K01FA4;-;Invesco India Gold Fund - Growth;17.1948;25-Aug-2023")</f>
        <v>116077;INF205K01FA4;-;Invesco India Gold Fund - Growth;17.1948;25-Aug-2023</v>
      </c>
      <c r="B8771" s="1"/>
    </row>
    <row r="8772">
      <c r="A8772" s="1" t="str">
        <f>IFERROR(__xludf.DUMMYFUNCTION("""COMPUTED_VALUE"""),"116075;INF205K01FB2;INF205K01FC0;Invesco India Gold Fund - IDCW (Payout / Reinvestment);17.197;25-Aug-2023")</f>
        <v>116075;INF205K01FB2;INF205K01FC0;Invesco India Gold Fund - IDCW (Payout / Reinvestment);17.197;25-Aug-2023</v>
      </c>
      <c r="B8772" s="1"/>
    </row>
    <row r="8773">
      <c r="A8773" s="1"/>
      <c r="B8773" s="1"/>
    </row>
    <row r="8774">
      <c r="A8774" s="1" t="str">
        <f>IFERROR(__xludf.DUMMYFUNCTION("""COMPUTED_VALUE"""),"Kotak Mahindra Mutual Fund")</f>
        <v>Kotak Mahindra Mutual Fund</v>
      </c>
      <c r="B8774" s="1"/>
    </row>
    <row r="8775">
      <c r="A8775" s="1"/>
      <c r="B8775" s="1"/>
    </row>
    <row r="8776">
      <c r="A8776" s="1" t="str">
        <f>IFERROR(__xludf.DUMMYFUNCTION("""COMPUTED_VALUE"""),"150822;INF174KA1KJ2;-;Kotak All Weather Debt FOF-Direct Plan-Growth;10.5853;25-Aug-2023")</f>
        <v>150822;INF174KA1KJ2;-;Kotak All Weather Debt FOF-Direct Plan-Growth;10.5853;25-Aug-2023</v>
      </c>
      <c r="B8776" s="1"/>
    </row>
    <row r="8777">
      <c r="A8777" s="1" t="str">
        <f>IFERROR(__xludf.DUMMYFUNCTION("""COMPUTED_VALUE"""),"150823;INF174KA1KK0;INF174KA1KL8;Kotak All Weather Debt FOF-Direct Plan-IDCW;10.5853;25-Aug-2023")</f>
        <v>150823;INF174KA1KK0;INF174KA1KL8;Kotak All Weather Debt FOF-Direct Plan-IDCW;10.5853;25-Aug-2023</v>
      </c>
      <c r="B8777" s="1"/>
    </row>
    <row r="8778">
      <c r="A8778" s="1" t="str">
        <f>IFERROR(__xludf.DUMMYFUNCTION("""COMPUTED_VALUE"""),"150820;INF174KA1KG8;-;Kotak All Weather Debt FOF-Regular Plan-Growth;10.5793;25-Aug-2023")</f>
        <v>150820;INF174KA1KG8;-;Kotak All Weather Debt FOF-Regular Plan-Growth;10.5793;25-Aug-2023</v>
      </c>
      <c r="B8778" s="1"/>
    </row>
    <row r="8779">
      <c r="A8779" s="1" t="str">
        <f>IFERROR(__xludf.DUMMYFUNCTION("""COMPUTED_VALUE"""),"150821;INF174KA1KH6;INF174KA1KI4;Kotak All Weather Debt FOF-Regular Plan-IDCW;10.5793;25-Aug-2023")</f>
        <v>150821;INF174KA1KH6;INF174KA1KI4;Kotak All Weather Debt FOF-Regular Plan-IDCW;10.5793;25-Aug-2023</v>
      </c>
      <c r="B8779" s="1"/>
    </row>
    <row r="8780">
      <c r="A8780" s="1" t="str">
        <f>IFERROR(__xludf.DUMMYFUNCTION("""COMPUTED_VALUE"""),"114758;INF174K01AT3;-;Kotak Gold Fund Growth;23.3584;25-Aug-2023")</f>
        <v>114758;INF174K01AT3;-;Kotak Gold Fund Growth;23.3584;25-Aug-2023</v>
      </c>
      <c r="B8780" s="1"/>
    </row>
    <row r="8781">
      <c r="A8781" s="1" t="str">
        <f>IFERROR(__xludf.DUMMYFUNCTION("""COMPUTED_VALUE"""),"119781;INF174K01MP6;-;Kotak Gold Fund Growth - Direct;24.449;25-Aug-2023")</f>
        <v>119781;INF174K01MP6;-;Kotak Gold Fund Growth - Direct;24.449;25-Aug-2023</v>
      </c>
      <c r="B8781" s="1"/>
    </row>
    <row r="8782">
      <c r="A8782" s="1" t="str">
        <f>IFERROR(__xludf.DUMMYFUNCTION("""COMPUTED_VALUE"""),"114757;INF174K01AU1;INF174K01AV9;Kotak Gold Fund Payout of Income Distribution cum capital withdrawal option;23.3584;25-Aug-2023")</f>
        <v>114757;INF174K01AU1;INF174K01AV9;Kotak Gold Fund Payout of Income Distribution cum capital withdrawal option;23.3584;25-Aug-2023</v>
      </c>
      <c r="B8782" s="1"/>
    </row>
    <row r="8783">
      <c r="A8783" s="1" t="str">
        <f>IFERROR(__xludf.DUMMYFUNCTION("""COMPUTED_VALUE"""),"119780;INF174K01MQ4;INF174K01MR2;Kotak Gold Fund Payout of Income Distribution cum capital withdrawal option- Direct;24.4488;25-Aug-2023")</f>
        <v>119780;INF174K01MQ4;INF174K01MR2;Kotak Gold Fund Payout of Income Distribution cum capital withdrawal option- Direct;24.4488;25-Aug-2023</v>
      </c>
      <c r="B8783" s="1"/>
    </row>
    <row r="8784">
      <c r="A8784" s="1" t="str">
        <f>IFERROR(__xludf.DUMMYFUNCTION("""COMPUTED_VALUE"""),"119777;INF174K01LN3;-;Kotak Multi Asset Allocator Fund of Fund - Dynamic - Direct Growth - Direct;178.207;25-Aug-2023")</f>
        <v>119777;INF174K01LN3;-;Kotak Multi Asset Allocator Fund of Fund - Dynamic - Direct Growth - Direct;178.207;25-Aug-2023</v>
      </c>
      <c r="B8784" s="1"/>
    </row>
    <row r="8785">
      <c r="A8785" s="1" t="str">
        <f>IFERROR(__xludf.DUMMYFUNCTION("""COMPUTED_VALUE"""),"119776;INF174K01LO1;-;Kotak Multi Asset Allocator Fund of Fund - Dynamic - Direct Payout of Income Distribution cum capital withdrawal option;175;25-Aug-2023")</f>
        <v>119776;INF174K01LO1;-;Kotak Multi Asset Allocator Fund of Fund - Dynamic - Direct Payout of Income Distribution cum capital withdrawal option;175;25-Aug-2023</v>
      </c>
      <c r="B8785" s="1"/>
    </row>
    <row r="8786">
      <c r="A8786" s="1" t="str">
        <f>IFERROR(__xludf.DUMMYFUNCTION("""COMPUTED_VALUE"""),"102574;INF174K01468;-;Kotak Multi Asset Allocator Fund of Fund - Dynamic - Growth;167.791;25-Aug-2023")</f>
        <v>102574;INF174K01468;-;Kotak Multi Asset Allocator Fund of Fund - Dynamic - Growth;167.791;25-Aug-2023</v>
      </c>
      <c r="B8786" s="1"/>
    </row>
    <row r="8787">
      <c r="A8787" s="1" t="str">
        <f>IFERROR(__xludf.DUMMYFUNCTION("""COMPUTED_VALUE"""),"102573;INF174K01484;INF174K01476;Kotak Multi Asset Allocator Fund of Fund - Dynamic - Payout of Income Distribution cum capital withdrawal option;163.328;25-Aug-2023")</f>
        <v>102573;INF174K01484;INF174K01476;Kotak Multi Asset Allocator Fund of Fund - Dynamic - Payout of Income Distribution cum capital withdrawal option;163.328;25-Aug-2023</v>
      </c>
      <c r="B8787" s="1"/>
    </row>
    <row r="8788">
      <c r="A8788" s="1" t="str">
        <f>IFERROR(__xludf.DUMMYFUNCTION("""COMPUTED_VALUE"""),"151603;INF174KA1MQ3;-;Kotak Silver ETF Fund of Fund - Direct Plan - Growth Option;10.2026;25-Aug-2023")</f>
        <v>151603;INF174KA1MQ3;-;Kotak Silver ETF Fund of Fund - Direct Plan - Growth Option;10.2026;25-Aug-2023</v>
      </c>
      <c r="B8788" s="1"/>
    </row>
    <row r="8789">
      <c r="A8789" s="1" t="str">
        <f>IFERROR(__xludf.DUMMYFUNCTION("""COMPUTED_VALUE"""),"151602;INF174KA1MR1;-;Kotak Silver ETF Fund of Fund - Regular Plan - Growth Option;10.1841;25-Aug-2023")</f>
        <v>151602;INF174KA1MR1;-;Kotak Silver ETF Fund of Fund - Regular Plan - Growth Option;10.1841;25-Aug-2023</v>
      </c>
      <c r="B8789" s="1"/>
    </row>
    <row r="8790">
      <c r="A8790" s="1"/>
      <c r="B8790" s="1"/>
    </row>
    <row r="8791">
      <c r="A8791" s="1" t="str">
        <f>IFERROR(__xludf.DUMMYFUNCTION("""COMPUTED_VALUE"""),"LIC Mutual Fund")</f>
        <v>LIC Mutual Fund</v>
      </c>
      <c r="B8791" s="1"/>
    </row>
    <row r="8792">
      <c r="A8792" s="1"/>
      <c r="B8792" s="1"/>
    </row>
    <row r="8793">
      <c r="A8793" s="1" t="str">
        <f>IFERROR(__xludf.DUMMYFUNCTION("""COMPUTED_VALUE"""),"151974;INF397L01BU4;-;LIC MF Gold ETF Fund of Fund -Direct Plan-Growth;16.5056;25-Aug-2023")</f>
        <v>151974;INF397L01BU4;-;LIC MF Gold ETF Fund of Fund -Direct Plan-Growth;16.5056;25-Aug-2023</v>
      </c>
      <c r="B8793" s="1"/>
    </row>
    <row r="8794">
      <c r="A8794" s="1" t="str">
        <f>IFERROR(__xludf.DUMMYFUNCTION("""COMPUTED_VALUE"""),"151973;INF397L01992;-;LIC MF Gold ETF Fund of Fund -Regular Plan-Growth;15.7824;25-Aug-2023")</f>
        <v>151973;INF397L01992;-;LIC MF Gold ETF Fund of Fund -Regular Plan-Growth;15.7824;25-Aug-2023</v>
      </c>
      <c r="B8794" s="1"/>
    </row>
    <row r="8795">
      <c r="A8795" s="1"/>
      <c r="B8795" s="1"/>
    </row>
    <row r="8796">
      <c r="A8796" s="1" t="str">
        <f>IFERROR(__xludf.DUMMYFUNCTION("""COMPUTED_VALUE"""),"Mirae Asset Mutual Fund")</f>
        <v>Mirae Asset Mutual Fund</v>
      </c>
      <c r="B8796" s="1"/>
    </row>
    <row r="8797">
      <c r="A8797" s="1"/>
      <c r="B8797" s="1"/>
    </row>
    <row r="8798">
      <c r="A8798" s="1" t="str">
        <f>IFERROR(__xludf.DUMMYFUNCTION("""COMPUTED_VALUE"""),"148501;INF769K01GD1;INF769K01GF6;Mirae Asset Equity Allocator Fund  of Fund Direct IDCW;18.141;25-Aug-2023")</f>
        <v>148501;INF769K01GD1;INF769K01GF6;Mirae Asset Equity Allocator Fund  of Fund Direct IDCW;18.141;25-Aug-2023</v>
      </c>
      <c r="B8798" s="1"/>
    </row>
    <row r="8799">
      <c r="A8799" s="1" t="str">
        <f>IFERROR(__xludf.DUMMYFUNCTION("""COMPUTED_VALUE"""),"148503;INF769K01GA7;INF769K01GC3;Mirae Asset Equity Allocator Fund  of Fund Regular IDCW;18.083;25-Aug-2023")</f>
        <v>148503;INF769K01GA7;INF769K01GC3;Mirae Asset Equity Allocator Fund  of Fund Regular IDCW;18.083;25-Aug-2023</v>
      </c>
      <c r="B8799" s="1"/>
    </row>
    <row r="8800">
      <c r="A8800" s="1" t="str">
        <f>IFERROR(__xludf.DUMMYFUNCTION("""COMPUTED_VALUE"""),"148500;INF769K01GE9;-;Mirae Asset Equity Allocator Fund of Fund Direct Growth;18.128;25-Aug-2023")</f>
        <v>148500;INF769K01GE9;-;Mirae Asset Equity Allocator Fund of Fund Direct Growth;18.128;25-Aug-2023</v>
      </c>
      <c r="B8800" s="1"/>
    </row>
    <row r="8801">
      <c r="A8801" s="1" t="str">
        <f>IFERROR(__xludf.DUMMYFUNCTION("""COMPUTED_VALUE"""),"148502;INF769K01GB5;-;Mirae Asset Equity allocator Fund Of Fund Regular Growth;18.081;25-Aug-2023")</f>
        <v>148502;INF769K01GB5;-;Mirae Asset Equity allocator Fund Of Fund Regular Growth;18.081;25-Aug-2023</v>
      </c>
      <c r="B8801" s="1"/>
    </row>
    <row r="8802">
      <c r="A8802" s="1" t="str">
        <f>IFERROR(__xludf.DUMMYFUNCTION("""COMPUTED_VALUE"""),"149380;INF769K01HT5;-;Mirae Asset Hang Seng TECH ETF Fund of Fund Regular Plan - Growth Option;7.511;25-Aug-2023")</f>
        <v>149380;INF769K01HT5;-;Mirae Asset Hang Seng TECH ETF Fund of Fund Regular Plan - Growth Option;7.511;25-Aug-2023</v>
      </c>
      <c r="B8802" s="1"/>
    </row>
    <row r="8803">
      <c r="A8803" s="1" t="str">
        <f>IFERROR(__xludf.DUMMYFUNCTION("""COMPUTED_VALUE"""),"149381;INF769K01HU3;-;Mirae AssetHang Seng TECH ETF Fund of Fund Direct Plan - Growth Option;7.574;25-Aug-2023")</f>
        <v>149381;INF769K01HU3;-;Mirae AssetHang Seng TECH ETF Fund of Fund Direct Plan - Growth Option;7.574;25-Aug-2023</v>
      </c>
      <c r="B8803" s="1"/>
    </row>
    <row r="8804">
      <c r="A8804" s="1" t="str">
        <f>IFERROR(__xludf.DUMMYFUNCTION("""COMPUTED_VALUE"""),"148575;INF769K01GP5;INF769K01GR1;Mirae Asset ESG Sector Leaders Fund  of Fund Direct IDCW;13.955;25-Aug-2023")</f>
        <v>148575;INF769K01GP5;INF769K01GR1;Mirae Asset ESG Sector Leaders Fund  of Fund Direct IDCW;13.955;25-Aug-2023</v>
      </c>
      <c r="B8804" s="1"/>
    </row>
    <row r="8805">
      <c r="A8805" s="1" t="str">
        <f>IFERROR(__xludf.DUMMYFUNCTION("""COMPUTED_VALUE"""),"148573;INF769K01GM2;INF769K01GO8;Mirae Asset ESG Sector Leaders Fund  of Fund Regular IDCW;13.802;25-Aug-2023")</f>
        <v>148573;INF769K01GM2;INF769K01GO8;Mirae Asset ESG Sector Leaders Fund  of Fund Regular IDCW;13.802;25-Aug-2023</v>
      </c>
      <c r="B8805" s="1"/>
    </row>
    <row r="8806">
      <c r="A8806" s="1" t="str">
        <f>IFERROR(__xludf.DUMMYFUNCTION("""COMPUTED_VALUE"""),"148574;INF769K01GQ3;-;Mirae Asset ESG Sector Leaders Fund of Fund Direct Growth;13.958;25-Aug-2023")</f>
        <v>148574;INF769K01GQ3;-;Mirae Asset ESG Sector Leaders Fund of Fund Direct Growth;13.958;25-Aug-2023</v>
      </c>
      <c r="B8806" s="1"/>
    </row>
    <row r="8807">
      <c r="A8807" s="1" t="str">
        <f>IFERROR(__xludf.DUMMYFUNCTION("""COMPUTED_VALUE"""),"148576;INF769K01GN0;-;Mirae Asset ESG Sector Leaders Fund of Fund Regular Growth;13.830;25-Aug-2023")</f>
        <v>148576;INF769K01GN0;-;Mirae Asset ESG Sector Leaders Fund of Fund Regular Growth;13.830;25-Aug-2023</v>
      </c>
      <c r="B8807" s="1"/>
    </row>
    <row r="8808">
      <c r="A8808" s="1" t="str">
        <f>IFERROR(__xludf.DUMMYFUNCTION("""COMPUTED_VALUE"""),"149790;INF769K01HZ2;-;Mirae Asset Nifty India Manufacturing ETF FOF - Direct Plan - Growth;12.233;25-Aug-2023")</f>
        <v>149790;INF769K01HZ2;-;Mirae Asset Nifty India Manufacturing ETF FOF - Direct Plan - Growth;12.233;25-Aug-2023</v>
      </c>
      <c r="B8808" s="1"/>
    </row>
    <row r="8809">
      <c r="A8809" s="1" t="str">
        <f>IFERROR(__xludf.DUMMYFUNCTION("""COMPUTED_VALUE"""),"149787;INF769K01HY5;INF769K01IA3;Mirae Asset Nifty India Manufacturing ETF FOF - Direct Plan- IDCW;12.233;25-Aug-2023")</f>
        <v>149787;INF769K01HY5;INF769K01IA3;Mirae Asset Nifty India Manufacturing ETF FOF - Direct Plan- IDCW;12.233;25-Aug-2023</v>
      </c>
      <c r="B8809" s="1"/>
    </row>
    <row r="8810">
      <c r="A8810" s="1" t="str">
        <f>IFERROR(__xludf.DUMMYFUNCTION("""COMPUTED_VALUE"""),"149788;INF769K01HW9;-;Mirae Asset Nifty India Manufacturing ETF FOF - Regular Plan - Growth;12.155;25-Aug-2023")</f>
        <v>149788;INF769K01HW9;-;Mirae Asset Nifty India Manufacturing ETF FOF - Regular Plan - Growth;12.155;25-Aug-2023</v>
      </c>
      <c r="B8810" s="1"/>
    </row>
    <row r="8811">
      <c r="A8811" s="1" t="str">
        <f>IFERROR(__xludf.DUMMYFUNCTION("""COMPUTED_VALUE"""),"149789;INF769K01HV1;INF769K01HX7;Mirae Asset Nifty India Manufacturing ETF FOF - Regular Plan - IDCW;12.199;25-Aug-2023")</f>
        <v>149789;INF769K01HV1;INF769K01HX7;Mirae Asset Nifty India Manufacturing ETF FOF - Regular Plan - IDCW;12.199;25-Aug-2023</v>
      </c>
      <c r="B8811" s="1"/>
    </row>
    <row r="8812">
      <c r="A8812" s="1" t="str">
        <f>IFERROR(__xludf.DUMMYFUNCTION("""COMPUTED_VALUE"""),"148928;INF769K01HH0;-;Mirae Asset NYSE FANG + ETF Fund of Fund Direct Growth;13.133;25-Aug-2023")</f>
        <v>148928;INF769K01HH0;-;Mirae Asset NYSE FANG + ETF Fund of Fund Direct Growth;13.133;25-Aug-2023</v>
      </c>
      <c r="B8812" s="1"/>
    </row>
    <row r="8813">
      <c r="A8813" s="1" t="str">
        <f>IFERROR(__xludf.DUMMYFUNCTION("""COMPUTED_VALUE"""),"148929;INF769K01HG2;-;Mirae Asset NYSE FANG + ETF Fund of Fund Regular Growth;13.015;25-Aug-2023")</f>
        <v>148929;INF769K01HG2;-;Mirae Asset NYSE FANG + ETF Fund of Fund Regular Growth;13.015;25-Aug-2023</v>
      </c>
      <c r="B8813" s="1"/>
    </row>
    <row r="8814">
      <c r="A8814" s="1" t="str">
        <f>IFERROR(__xludf.DUMMYFUNCTION("""COMPUTED_VALUE"""),"149170;INF769K01HR9;-;Mirae Asset S&amp;P 500 Top 50 ETF Fund of Fund Direct Growth;11.565;25-Aug-2023")</f>
        <v>149170;INF769K01HR9;-;Mirae Asset S&amp;P 500 Top 50 ETF Fund of Fund Direct Growth;11.565;25-Aug-2023</v>
      </c>
      <c r="B8814" s="1"/>
    </row>
    <row r="8815">
      <c r="A8815" s="1" t="str">
        <f>IFERROR(__xludf.DUMMYFUNCTION("""COMPUTED_VALUE"""),"149171;INF769K01HQ1;-;Mirae Asset S&amp;P 500 Top 50 ETF Fund of Fund Regular Growth;11.472;25-Aug-2023")</f>
        <v>149171;INF769K01HQ1;-;Mirae Asset S&amp;P 500 Top 50 ETF Fund of Fund Regular Growth;11.472;25-Aug-2023</v>
      </c>
      <c r="B8815" s="1"/>
    </row>
    <row r="8816">
      <c r="A8816" s="1"/>
      <c r="B8816" s="1"/>
    </row>
    <row r="8817">
      <c r="A8817" s="1" t="str">
        <f>IFERROR(__xludf.DUMMYFUNCTION("""COMPUTED_VALUE"""),"Motilal Oswal Mutual Fund")</f>
        <v>Motilal Oswal Mutual Fund</v>
      </c>
      <c r="B8817" s="1"/>
    </row>
    <row r="8818">
      <c r="A8818" s="1"/>
      <c r="B8818" s="1"/>
    </row>
    <row r="8819">
      <c r="A8819" s="1" t="str">
        <f>IFERROR(__xludf.DUMMYFUNCTION("""COMPUTED_VALUE"""),"149240;INF247L01AQ1;-;Motilal Oswal 5 Year G-Sec Fund Of Fund Direct -Growth;10.7492;25-Aug-2023")</f>
        <v>149240;INF247L01AQ1;-;Motilal Oswal 5 Year G-Sec Fund Of Fund Direct -Growth;10.7492;25-Aug-2023</v>
      </c>
      <c r="B8819" s="1"/>
    </row>
    <row r="8820">
      <c r="A8820" s="1" t="str">
        <f>IFERROR(__xludf.DUMMYFUNCTION("""COMPUTED_VALUE"""),"149241;INF247L01AR9;-;Motilal Oswal 5 Year G-Sec Fund Of Fund Regular -Growth;10.7340;25-Aug-2023")</f>
        <v>149241;INF247L01AR9;-;Motilal Oswal 5 Year G-Sec Fund Of Fund Regular -Growth;10.7340;25-Aug-2023</v>
      </c>
      <c r="B8820" s="1"/>
    </row>
    <row r="8821">
      <c r="A8821" s="1" t="str">
        <f>IFERROR(__xludf.DUMMYFUNCTION("""COMPUTED_VALUE"""),"148747;INF247L01AL2;-;Motilal Oswal Asset Allocation FOF- A- Direct Growth;12.8937;25-Aug-2023")</f>
        <v>148747;INF247L01AL2;-;Motilal Oswal Asset Allocation FOF- A- Direct Growth;12.8937;25-Aug-2023</v>
      </c>
      <c r="B8821" s="1"/>
    </row>
    <row r="8822">
      <c r="A8822" s="1" t="str">
        <f>IFERROR(__xludf.DUMMYFUNCTION("""COMPUTED_VALUE"""),"148748;INF247L01AM0;-;Motilal Oswal Asset Allocation FOF- A- Regular Growth;12.7181;25-Aug-2023")</f>
        <v>148748;INF247L01AM0;-;Motilal Oswal Asset Allocation FOF- A- Regular Growth;12.7181;25-Aug-2023</v>
      </c>
      <c r="B8822" s="1"/>
    </row>
    <row r="8823">
      <c r="A8823" s="1" t="str">
        <f>IFERROR(__xludf.DUMMYFUNCTION("""COMPUTED_VALUE"""),"148750;INF247L01AN8;-;Motilal Oswal Asset Allocation FOF- C- Direct Growth;12.2488;25-Aug-2023")</f>
        <v>148750;INF247L01AN8;-;Motilal Oswal Asset Allocation FOF- C- Direct Growth;12.2488;25-Aug-2023</v>
      </c>
      <c r="B8823" s="1"/>
    </row>
    <row r="8824">
      <c r="A8824" s="1" t="str">
        <f>IFERROR(__xludf.DUMMYFUNCTION("""COMPUTED_VALUE"""),"148749;INF247L01AO6;-;Motilal Oswal Asset Allocation FOF- C- Regular Growth;12.0818;25-Aug-2023")</f>
        <v>148749;INF247L01AO6;-;Motilal Oswal Asset Allocation FOF- C- Regular Growth;12.0818;25-Aug-2023</v>
      </c>
      <c r="B8824" s="1"/>
    </row>
    <row r="8825">
      <c r="A8825" s="1" t="str">
        <f>IFERROR(__xludf.DUMMYFUNCTION("""COMPUTED_VALUE"""),"150642;INF247L01BM8;-;Motilal Oswal Gold and Silver ETFs Fund of Funds(Direct Plan);11.7825;25-Aug-2023")</f>
        <v>150642;INF247L01BM8;-;Motilal Oswal Gold and Silver ETFs Fund of Funds(Direct Plan);11.7825;25-Aug-2023</v>
      </c>
      <c r="B8825" s="1"/>
    </row>
    <row r="8826">
      <c r="A8826" s="1" t="str">
        <f>IFERROR(__xludf.DUMMYFUNCTION("""COMPUTED_VALUE"""),"150641;INF247L01BN6;-;Motilal Oswal Gold and Silver ETFs Fund of Funds(Regular Plan);11.7468;25-Aug-2023")</f>
        <v>150641;INF247L01BN6;-;Motilal Oswal Gold and Silver ETFs Fund of Funds(Regular Plan);11.7468;25-Aug-2023</v>
      </c>
      <c r="B8826" s="1"/>
    </row>
    <row r="8827">
      <c r="A8827" s="1" t="str">
        <f>IFERROR(__xludf.DUMMYFUNCTION("""COMPUTED_VALUE"""),"145552;INF247L01718;-;Motilal Oswal Nasdaq 100 Fund of Fund- Direct Plan Growth;25.6758;25-Aug-2023")</f>
        <v>145552;INF247L01718;-;Motilal Oswal Nasdaq 100 Fund of Fund- Direct Plan Growth;25.6758;25-Aug-2023</v>
      </c>
      <c r="B8827" s="1"/>
    </row>
    <row r="8828">
      <c r="A8828" s="1" t="str">
        <f>IFERROR(__xludf.DUMMYFUNCTION("""COMPUTED_VALUE"""),"145551;INF247L01700;-;Motilal Oswal Nasdaq 100 Fund of Fund- Regular Plan Growth;25.1941;25-Aug-2023")</f>
        <v>145551;INF247L01700;-;Motilal Oswal Nasdaq 100 Fund of Fund- Regular Plan Growth;25.1941;25-Aug-2023</v>
      </c>
      <c r="B8828" s="1"/>
    </row>
    <row r="8829">
      <c r="A8829" s="1"/>
      <c r="B8829" s="1"/>
    </row>
    <row r="8830">
      <c r="A8830" s="1" t="str">
        <f>IFERROR(__xludf.DUMMYFUNCTION("""COMPUTED_VALUE"""),"Nippon India Mutual Fund")</f>
        <v>Nippon India Mutual Fund</v>
      </c>
      <c r="B8830" s="1"/>
    </row>
    <row r="8831">
      <c r="A8831" s="1"/>
      <c r="B8831" s="1"/>
    </row>
    <row r="8832">
      <c r="A8832" s="1" t="str">
        <f>IFERROR(__xludf.DUMMYFUNCTION("""COMPUTED_VALUE"""),"148666;INF204KB16Y4;-;Nippon India Asset Allocator FoF - Direct Plan - Growth Option;15.4618;25-Aug-2023")</f>
        <v>148666;INF204KB16Y4;-;Nippon India Asset Allocator FoF - Direct Plan - Growth Option;15.4618;25-Aug-2023</v>
      </c>
      <c r="B8832" s="1"/>
    </row>
    <row r="8833">
      <c r="A8833" s="1" t="str">
        <f>IFERROR(__xludf.DUMMYFUNCTION("""COMPUTED_VALUE"""),"148664;INF204KB17Y2;INF204KB18Y0;NIPPON INDIA ASSET ALLOCATOR FOF - DIRECT Plan - IDCW Option;15.4618;25-Aug-2023")</f>
        <v>148664;INF204KB17Y2;INF204KB18Y0;NIPPON INDIA ASSET ALLOCATOR FOF - DIRECT Plan - IDCW Option;15.4618;25-Aug-2023</v>
      </c>
      <c r="B8833" s="1"/>
    </row>
    <row r="8834">
      <c r="A8834" s="1" t="str">
        <f>IFERROR(__xludf.DUMMYFUNCTION("""COMPUTED_VALUE"""),"148665;INF204KB14Y9;INF204KB15Y6;NIPPON INDIA ASSET ALLOCATOR FOF - IDCW Option;15.0495;25-Aug-2023")</f>
        <v>148665;INF204KB14Y9;INF204KB15Y6;NIPPON INDIA ASSET ALLOCATOR FOF - IDCW Option;15.0495;25-Aug-2023</v>
      </c>
      <c r="B8834" s="1"/>
    </row>
    <row r="8835">
      <c r="A8835" s="1" t="str">
        <f>IFERROR(__xludf.DUMMYFUNCTION("""COMPUTED_VALUE"""),"148663;INF204KB13Y1;-;Nippon India Asset Allocator FoF - Regular Plan - Growth Option;15.0495;25-Aug-2023")</f>
        <v>148663;INF204KB13Y1;-;Nippon India Asset Allocator FoF - Regular Plan - Growth Option;15.0495;25-Aug-2023</v>
      </c>
      <c r="B8835" s="1"/>
    </row>
    <row r="8836">
      <c r="A8836" s="1" t="str">
        <f>IFERROR(__xludf.DUMMYFUNCTION("""COMPUTED_VALUE"""),"118662;INF204K01YD2;INF204K01YE0;NIPPON INDIA GOLD SAVINGS FUND - Direct Plan - IDCW Option;24.1721;25-Aug-2023")</f>
        <v>118662;INF204K01YD2;INF204K01YE0;NIPPON INDIA GOLD SAVINGS FUND - Direct Plan - IDCW Option;24.1721;25-Aug-2023</v>
      </c>
      <c r="B8836" s="1"/>
    </row>
    <row r="8837">
      <c r="A8837" s="1" t="str">
        <f>IFERROR(__xludf.DUMMYFUNCTION("""COMPUTED_VALUE"""),"118663;INF204K01YC4;-;Nippon India Gold Savings Fund - Direct Plan Growth Plan - Growth Option;24.1721;25-Aug-2023")</f>
        <v>118663;INF204K01YC4;-;Nippon India Gold Savings Fund - Direct Plan Growth Plan - Growth Option;24.1721;25-Aug-2023</v>
      </c>
      <c r="B8837" s="1"/>
    </row>
    <row r="8838">
      <c r="A8838" s="1" t="str">
        <f>IFERROR(__xludf.DUMMYFUNCTION("""COMPUTED_VALUE"""),"114617;INF204K01KO8;INF204K01KP5;NIPPON INDIA GOLD SAVINGS FUND - IDCW Option;23.2143;25-Aug-2023")</f>
        <v>114617;INF204K01KO8;INF204K01KP5;NIPPON INDIA GOLD SAVINGS FUND - IDCW Option;23.2143;25-Aug-2023</v>
      </c>
      <c r="B8838" s="1"/>
    </row>
    <row r="8839">
      <c r="A8839" s="1" t="str">
        <f>IFERROR(__xludf.DUMMYFUNCTION("""COMPUTED_VALUE"""),"114616;INF204K01KN0;-;Nippon India Gold Savings Fund-Growth plan- Growth Option;23.2143;25-Aug-2023")</f>
        <v>114616;INF204K01KN0;-;Nippon India Gold Savings Fund-Growth plan- Growth Option;23.2143;25-Aug-2023</v>
      </c>
      <c r="B8839" s="1"/>
    </row>
    <row r="8840">
      <c r="A8840" s="1" t="str">
        <f>IFERROR(__xludf.DUMMYFUNCTION("""COMPUTED_VALUE"""),"146513;INF204KB1X25;-;Nippon India Nifty Next 50 Junior BeES FoF - Direct Plan - Growth Plan - Growth Option;16.3770;25-Aug-2023")</f>
        <v>146513;INF204KB1X25;-;Nippon India Nifty Next 50 Junior BeES FoF - Direct Plan - Growth Plan - Growth Option;16.3770;25-Aug-2023</v>
      </c>
      <c r="B8840" s="1"/>
    </row>
    <row r="8841">
      <c r="A8841" s="1" t="str">
        <f>IFERROR(__xludf.DUMMYFUNCTION("""COMPUTED_VALUE"""),"146515;INF204KB1X41;INF204KB1X33;NIPPON INDIA NIFTY NEXT 50 JUNIOR BEES FOF - DIRECT Plan - IDCW Option;16.3770;25-Aug-2023")</f>
        <v>146515;INF204KB1X41;INF204KB1X33;NIPPON INDIA NIFTY NEXT 50 JUNIOR BEES FOF - DIRECT Plan - IDCW Option;16.3770;25-Aug-2023</v>
      </c>
      <c r="B8841" s="1"/>
    </row>
    <row r="8842">
      <c r="A8842" s="1" t="str">
        <f>IFERROR(__xludf.DUMMYFUNCTION("""COMPUTED_VALUE"""),"146514;INF204KB1W91;-;Nippon India Nifty Next 50 Junior BeES FoF - Growth Plan - Growth Option;16.1873;25-Aug-2023")</f>
        <v>146514;INF204KB1W91;-;Nippon India Nifty Next 50 Junior BeES FoF - Growth Plan - Growth Option;16.1873;25-Aug-2023</v>
      </c>
      <c r="B8842" s="1"/>
    </row>
    <row r="8843">
      <c r="A8843" s="1" t="str">
        <f>IFERROR(__xludf.DUMMYFUNCTION("""COMPUTED_VALUE"""),"146512;INF204KB1X17;INF204KB1X09;NIPPON INDIA NIFTY NEXT 50 JUNIOR BEES FOF - IDCW Option;16.1873;25-Aug-2023")</f>
        <v>146512;INF204KB1X17;INF204KB1X09;NIPPON INDIA NIFTY NEXT 50 JUNIOR BEES FOF - IDCW Option;16.1873;25-Aug-2023</v>
      </c>
      <c r="B8843" s="1"/>
    </row>
    <row r="8844">
      <c r="A8844" s="1" t="str">
        <f>IFERROR(__xludf.DUMMYFUNCTION("""COMPUTED_VALUE"""),"148642;INF204KB16X6;-;Nippon India Passive Flexicap FoF - Direct Plan - Growth Option;15.4176;25-Aug-2023")</f>
        <v>148642;INF204KB16X6;-;Nippon India Passive Flexicap FoF - Direct Plan - Growth Option;15.4176;25-Aug-2023</v>
      </c>
      <c r="B8844" s="1"/>
    </row>
    <row r="8845">
      <c r="A8845" s="1" t="str">
        <f>IFERROR(__xludf.DUMMYFUNCTION("""COMPUTED_VALUE"""),"148644;INF204KB17X4;INF204KB18X2;NIPPON INDIA PASSIVE FLEXICAP FOF - DIRECT Plan - IDCW Option;15.4176;25-Aug-2023")</f>
        <v>148644;INF204KB17X4;INF204KB18X2;NIPPON INDIA PASSIVE FLEXICAP FOF - DIRECT Plan - IDCW Option;15.4176;25-Aug-2023</v>
      </c>
      <c r="B8845" s="1"/>
    </row>
    <row r="8846">
      <c r="A8846" s="1" t="str">
        <f>IFERROR(__xludf.DUMMYFUNCTION("""COMPUTED_VALUE"""),"148643;INF204KB14X1;INF204KB15X8;NIPPON INDIA PASSIVE FLEXICAP FOF - IDCW Option;15.1942;25-Aug-2023")</f>
        <v>148643;INF204KB14X1;INF204KB15X8;NIPPON INDIA PASSIVE FLEXICAP FOF - IDCW Option;15.1942;25-Aug-2023</v>
      </c>
      <c r="B8846" s="1"/>
    </row>
    <row r="8847">
      <c r="A8847" s="1" t="str">
        <f>IFERROR(__xludf.DUMMYFUNCTION("""COMPUTED_VALUE"""),"148641;INF204KB13X3;-;Nippon India Passive Flexicap FoF - Regular Plan - Growth Option;15.1942;25-Aug-2023")</f>
        <v>148641;INF204KB13X3;-;Nippon India Passive Flexicap FoF - Regular Plan - Growth Option;15.1942;25-Aug-2023</v>
      </c>
      <c r="B8847" s="1"/>
    </row>
    <row r="8848">
      <c r="A8848" s="1" t="str">
        <f>IFERROR(__xludf.DUMMYFUNCTION("""COMPUTED_VALUE"""),"149760;INF204KC1378;-;Nippon India Silver ETF FOF- Direct Plan-Growth Option;11.7522;25-Aug-2023")</f>
        <v>149760;INF204KC1378;-;Nippon India Silver ETF FOF- Direct Plan-Growth Option;11.7522;25-Aug-2023</v>
      </c>
      <c r="B8848" s="1"/>
    </row>
    <row r="8849">
      <c r="A8849" s="1" t="str">
        <f>IFERROR(__xludf.DUMMYFUNCTION("""COMPUTED_VALUE"""),"149762;INF204KC1386;INF204KC1394;Nippon India Silver ETF FOF- Direct Plan-IDCW Option;11.7522;25-Aug-2023")</f>
        <v>149762;INF204KC1386;INF204KC1394;Nippon India Silver ETF FOF- Direct Plan-IDCW Option;11.7522;25-Aug-2023</v>
      </c>
      <c r="B8849" s="1"/>
    </row>
    <row r="8850">
      <c r="A8850" s="1" t="str">
        <f>IFERROR(__xludf.DUMMYFUNCTION("""COMPUTED_VALUE"""),"149761;INF204KC1352;INF204KC1360;Nippon India Silver ETF FOF- Regular Plan-IDCW Option;11.6636;25-Aug-2023")</f>
        <v>149761;INF204KC1352;INF204KC1360;Nippon India Silver ETF FOF- Regular Plan-IDCW Option;11.6636;25-Aug-2023</v>
      </c>
      <c r="B8850" s="1"/>
    </row>
    <row r="8851">
      <c r="A8851" s="1" t="str">
        <f>IFERROR(__xludf.DUMMYFUNCTION("""COMPUTED_VALUE"""),"149759;INF204KC1345;-;Nippon India Silver ETF FOF-Regular Plan- Growth Option;11.6636;25-Aug-2023")</f>
        <v>149759;INF204KC1345;-;Nippon India Silver ETF FOF-Regular Plan- Growth Option;11.6636;25-Aug-2023</v>
      </c>
      <c r="B8851" s="1"/>
    </row>
    <row r="8852">
      <c r="A8852" s="1"/>
      <c r="B8852" s="1"/>
    </row>
    <row r="8853">
      <c r="A8853" s="1" t="str">
        <f>IFERROR(__xludf.DUMMYFUNCTION("""COMPUTED_VALUE"""),"Quantum Mutual Fund")</f>
        <v>Quantum Mutual Fund</v>
      </c>
      <c r="B8853" s="1"/>
    </row>
    <row r="8854">
      <c r="A8854" s="1"/>
      <c r="B8854" s="1"/>
    </row>
    <row r="8855">
      <c r="A8855" s="1" t="str">
        <f>IFERROR(__xludf.DUMMYFUNCTION("""COMPUTED_VALUE"""),"112039;INF082J01093;-;Quantum Equity Fund of Funds - Direct Plan Growth Option;60.438;25-Aug-2023")</f>
        <v>112039;INF082J01093;-;Quantum Equity Fund of Funds - Direct Plan Growth Option;60.438;25-Aug-2023</v>
      </c>
      <c r="B8855" s="1"/>
    </row>
    <row r="8856">
      <c r="A8856" s="1" t="str">
        <f>IFERROR(__xludf.DUMMYFUNCTION("""COMPUTED_VALUE"""),"112038;INF082J01101;INF082J01119;Quantum Equity Fund Of Funds - Direct Plan IDCW;60.438;25-Aug-2023")</f>
        <v>112038;INF082J01101;INF082J01119;Quantum Equity Fund Of Funds - Direct Plan IDCW;60.438;25-Aug-2023</v>
      </c>
      <c r="B8856" s="1"/>
    </row>
    <row r="8857">
      <c r="A8857" s="1" t="str">
        <f>IFERROR(__xludf.DUMMYFUNCTION("""COMPUTED_VALUE"""),"141063;INF082J01275;-;Quantum Equity Fund of Funds - Regular Plan Growth Option;59.665;25-Aug-2023")</f>
        <v>141063;INF082J01275;-;Quantum Equity Fund of Funds - Regular Plan Growth Option;59.665;25-Aug-2023</v>
      </c>
      <c r="B8857" s="1"/>
    </row>
    <row r="8858">
      <c r="A8858" s="1" t="str">
        <f>IFERROR(__xludf.DUMMYFUNCTION("""COMPUTED_VALUE"""),"141062;INF082J01283;INF082J01291;Quantum Equity Fund Of Funds - Regular Plan IDCW;59.665;25-Aug-2023")</f>
        <v>141062;INF082J01283;INF082J01291;Quantum Equity Fund Of Funds - Regular Plan IDCW;59.665;25-Aug-2023</v>
      </c>
      <c r="B8858" s="1"/>
    </row>
    <row r="8859">
      <c r="A8859" s="1" t="str">
        <f>IFERROR(__xludf.DUMMYFUNCTION("""COMPUTED_VALUE"""),"115132;INF082J01150;-;Quantum Gold Savings Fund - Direct Plan Growth Option;23.0508;25-Aug-2023")</f>
        <v>115132;INF082J01150;-;Quantum Gold Savings Fund - Direct Plan Growth Option;23.0508;25-Aug-2023</v>
      </c>
      <c r="B8859" s="1"/>
    </row>
    <row r="8860">
      <c r="A8860" s="1" t="str">
        <f>IFERROR(__xludf.DUMMYFUNCTION("""COMPUTED_VALUE"""),"141064;INF082J01358;-;Quantum Gold Savings Fund - Regular Plan Growth Option;22.8650;25-Aug-2023")</f>
        <v>141064;INF082J01358;-;Quantum Gold Savings Fund - Regular Plan Growth Option;22.8650;25-Aug-2023</v>
      </c>
      <c r="B8860" s="1"/>
    </row>
    <row r="8861">
      <c r="A8861" s="1" t="str">
        <f>IFERROR(__xludf.DUMMYFUNCTION("""COMPUTED_VALUE"""),"117608;INF082J01168;-;Quantum Multi Asset Fund of Funds - Direct Plan Growth Option;26.7662;25-Aug-2023")</f>
        <v>117608;INF082J01168;-;Quantum Multi Asset Fund of Funds - Direct Plan Growth Option;26.7662;25-Aug-2023</v>
      </c>
      <c r="B8861" s="1"/>
    </row>
    <row r="8862">
      <c r="A8862" s="1" t="str">
        <f>IFERROR(__xludf.DUMMYFUNCTION("""COMPUTED_VALUE"""),"141072;INF082J01341;-;Quantum Multi Asset Fund of Funds - Regular Plan Growth Option;26.3308;25-Aug-2023")</f>
        <v>141072;INF082J01341;-;Quantum Multi Asset Fund of Funds - Regular Plan Growth Option;26.3308;25-Aug-2023</v>
      </c>
      <c r="B8862" s="1"/>
    </row>
    <row r="8863">
      <c r="A8863" s="1" t="str">
        <f>IFERROR(__xludf.DUMMYFUNCTION("""COMPUTED_VALUE"""),"150390;INF082J01416;-;Quantum Nifty 50 ETF Fund of Fund - Direct Plan - Growth;11.1780;25-Aug-2023")</f>
        <v>150390;INF082J01416;-;Quantum Nifty 50 ETF Fund of Fund - Direct Plan - Growth;11.1780;25-Aug-2023</v>
      </c>
      <c r="B8863" s="1"/>
    </row>
    <row r="8864">
      <c r="A8864" s="1" t="str">
        <f>IFERROR(__xludf.DUMMYFUNCTION("""COMPUTED_VALUE"""),"150389;INF082J01424;-;Quantum Nifty 50 ETF Fund of Fund - Regular Plan - Growth;11.1637;25-Aug-2023")</f>
        <v>150389;INF082J01424;-;Quantum Nifty 50 ETF Fund of Fund - Regular Plan - Growth;11.1637;25-Aug-2023</v>
      </c>
      <c r="B8864" s="1"/>
    </row>
    <row r="8865">
      <c r="A8865" s="1"/>
      <c r="B8865" s="1"/>
    </row>
    <row r="8866">
      <c r="A8866" s="1" t="str">
        <f>IFERROR(__xludf.DUMMYFUNCTION("""COMPUTED_VALUE"""),"SBI Mutual Fund")</f>
        <v>SBI Mutual Fund</v>
      </c>
      <c r="B8866" s="1"/>
    </row>
    <row r="8867">
      <c r="A8867" s="1"/>
      <c r="B8867" s="1"/>
    </row>
    <row r="8868">
      <c r="A8868" s="1" t="str">
        <f>IFERROR(__xludf.DUMMYFUNCTION("""COMPUTED_VALUE"""),"119789;INF200K01RN3;INF200K01RO1;SBI Gold Fund - Direct Plan - Income Distribution cum Capital Withdrawal Option (IDCW);18.3992;25-Aug-2023")</f>
        <v>119789;INF200K01RN3;INF200K01RO1;SBI Gold Fund - Direct Plan - Income Distribution cum Capital Withdrawal Option (IDCW);18.3992;25-Aug-2023</v>
      </c>
      <c r="B8868" s="1"/>
    </row>
    <row r="8869">
      <c r="A8869" s="1" t="str">
        <f>IFERROR(__xludf.DUMMYFUNCTION("""COMPUTED_VALUE"""),"115677;INF200K01HB9;INF200K01HC7;SBI Gold Fund - Regular Plan - Income Distribution cum Capital Withdrawal Option (IDCW);17.6800;25-Aug-2023")</f>
        <v>115677;INF200K01HB9;INF200K01HC7;SBI Gold Fund - Regular Plan - Income Distribution cum Capital Withdrawal Option (IDCW);17.6800;25-Aug-2023</v>
      </c>
      <c r="B8869" s="1"/>
    </row>
    <row r="8870">
      <c r="A8870" s="1" t="str">
        <f>IFERROR(__xludf.DUMMYFUNCTION("""COMPUTED_VALUE"""),"115676;INF200K01HA1;-;SBI GOLD FUND REGULAR PLAN - GROWTH;17.6752;25-Aug-2023")</f>
        <v>115676;INF200K01HA1;-;SBI GOLD FUND REGULAR PLAN - GROWTH;17.6752;25-Aug-2023</v>
      </c>
      <c r="B8870" s="1"/>
    </row>
    <row r="8871">
      <c r="A8871" s="1" t="str">
        <f>IFERROR(__xludf.DUMMYFUNCTION("""COMPUTED_VALUE"""),"119788;INF200K01RP8;-;SBI GOLD FUND- DIRECT PLAN - GROWTH;18.4257;25-Aug-2023")</f>
        <v>119788;INF200K01RP8;-;SBI GOLD FUND- DIRECT PLAN - GROWTH;18.4257;25-Aug-2023</v>
      </c>
      <c r="B8871" s="1"/>
    </row>
    <row r="8872">
      <c r="A8872" s="1"/>
      <c r="B8872" s="1"/>
    </row>
    <row r="8873">
      <c r="A8873" s="1" t="str">
        <f>IFERROR(__xludf.DUMMYFUNCTION("""COMPUTED_VALUE"""),"Tata Mutual Fund")</f>
        <v>Tata Mutual Fund</v>
      </c>
      <c r="B8873" s="1"/>
    </row>
    <row r="8874">
      <c r="A8874" s="1"/>
      <c r="B8874" s="1"/>
    </row>
    <row r="8875">
      <c r="A8875" s="1" t="str">
        <f>IFERROR(__xludf.DUMMYFUNCTION("""COMPUTED_VALUE"""),"150345;INF277KA1463;-;Tata Nifty India Digital ETF Fund of Fund -Regular Plan-Growth;9.9618;25-Aug-2023")</f>
        <v>150345;INF277KA1463;-;Tata Nifty India Digital ETF Fund of Fund -Regular Plan-Growth;9.9618;25-Aug-2023</v>
      </c>
      <c r="B8875" s="1"/>
    </row>
    <row r="8876">
      <c r="A8876" s="1" t="str">
        <f>IFERROR(__xludf.DUMMYFUNCTION("""COMPUTED_VALUE"""),"150341;-;INF277KA1455;Tata Nifty India Digital ETF Fund of Fund-Direct Plan- IDCW Reinvestment;10.0337;25-Aug-2023")</f>
        <v>150341;-;INF277KA1455;Tata Nifty India Digital ETF Fund of Fund-Direct Plan- IDCW Reinvestment;10.0337;25-Aug-2023</v>
      </c>
      <c r="B8876" s="1"/>
    </row>
    <row r="8877">
      <c r="A8877" s="1" t="str">
        <f>IFERROR(__xludf.DUMMYFUNCTION("""COMPUTED_VALUE"""),"150344;INF277KA1430;-;Tata Nifty India Digital ETF Fund of Fund-Direct Plan-Growth;10.0337;25-Aug-2023")</f>
        <v>150344;INF277KA1430;-;Tata Nifty India Digital ETF Fund of Fund-Direct Plan-Growth;10.0337;25-Aug-2023</v>
      </c>
      <c r="B8877" s="1"/>
    </row>
    <row r="8878">
      <c r="A8878" s="1" t="str">
        <f>IFERROR(__xludf.DUMMYFUNCTION("""COMPUTED_VALUE"""),"150340;INF277KA1448;-;Tata Nifty India Digital ETF Fund of Fund-Direct Plan-IDCW Payout;10.0337;25-Aug-2023")</f>
        <v>150340;INF277KA1448;-;Tata Nifty India Digital ETF Fund of Fund-Direct Plan-IDCW Payout;10.0337;25-Aug-2023</v>
      </c>
      <c r="B8878" s="1"/>
    </row>
    <row r="8879">
      <c r="A8879" s="1" t="str">
        <f>IFERROR(__xludf.DUMMYFUNCTION("""COMPUTED_VALUE"""),"150342;INF277KA1471;-;Tata Nifty India Digital ETF Fund of Fund-Regular Plan-IDCW Payout;9.9618;25-Aug-2023")</f>
        <v>150342;INF277KA1471;-;Tata Nifty India Digital ETF Fund of Fund-Regular Plan-IDCW Payout;9.9618;25-Aug-2023</v>
      </c>
      <c r="B8879" s="1"/>
    </row>
    <row r="8880">
      <c r="A8880" s="1" t="str">
        <f>IFERROR(__xludf.DUMMYFUNCTION("""COMPUTED_VALUE"""),"150343;-;INF277KA1489;Tata Nifty India Digital ETF Fund of Fund-Regular Plan-IDCW Reinvestment;9.9618;25-Aug-2023")</f>
        <v>150343;-;INF277KA1489;Tata Nifty India Digital ETF Fund of Fund-Regular Plan-IDCW Reinvestment;9.9618;25-Aug-2023</v>
      </c>
      <c r="B8880" s="1"/>
    </row>
    <row r="8881">
      <c r="A8881" s="1"/>
      <c r="B8881" s="1"/>
    </row>
    <row r="8882">
      <c r="A8882" s="1" t="str">
        <f>IFERROR(__xludf.DUMMYFUNCTION("""COMPUTED_VALUE"""),"UTI Mutual Fund")</f>
        <v>UTI Mutual Fund</v>
      </c>
      <c r="B8882" s="1"/>
    </row>
    <row r="8883">
      <c r="A8883" s="1"/>
      <c r="B8883" s="1"/>
    </row>
    <row r="8884">
      <c r="A8884" s="1" t="str">
        <f>IFERROR(__xludf.DUMMYFUNCTION("""COMPUTED_VALUE"""),"150714;-;-;UTI Gold ETF Fund of Fund - Direct Plan - Growth Option;11.5471;25-Aug-2023")</f>
        <v>150714;-;-;UTI Gold ETF Fund of Fund - Direct Plan - Growth Option;11.5471;25-Aug-2023</v>
      </c>
      <c r="B8884" s="1"/>
    </row>
    <row r="8885">
      <c r="A8885" s="1" t="str">
        <f>IFERROR(__xludf.DUMMYFUNCTION("""COMPUTED_VALUE"""),"150715;-;-;UTI Gold ETF Fund of Fund - Regular Plan - Growth Opton;11.5018;25-Aug-2023")</f>
        <v>150715;-;-;UTI Gold ETF Fund of Fund - Regular Plan - Growth Opton;11.5018;25-Aug-2023</v>
      </c>
      <c r="B8885" s="1"/>
    </row>
    <row r="8886">
      <c r="A8886" s="1" t="str">
        <f>IFERROR(__xludf.DUMMYFUNCTION("""COMPUTED_VALUE"""),"151731;-;-;UTI Silver ETF Fund of Fund - Direct Plan - Growth Option;9.7532;25-Aug-2023")</f>
        <v>151731;-;-;UTI Silver ETF Fund of Fund - Direct Plan - Growth Option;9.7532;25-Aug-2023</v>
      </c>
      <c r="B8886" s="1"/>
    </row>
    <row r="8887">
      <c r="A8887" s="1" t="str">
        <f>IFERROR(__xludf.DUMMYFUNCTION("""COMPUTED_VALUE"""),"151732;-;-;UTI Silver ETF Fund of Fund - Regular Plan - Growth Option;9.7396;25-Aug-2023")</f>
        <v>151732;-;-;UTI Silver ETF Fund of Fund - Regular Plan - Growth Option;9.7396;25-Aug-2023</v>
      </c>
      <c r="B8887" s="1"/>
    </row>
    <row r="8888">
      <c r="A8888" s="1"/>
      <c r="B8888" s="1"/>
    </row>
    <row r="8889">
      <c r="A8889" s="1" t="str">
        <f>IFERROR(__xludf.DUMMYFUNCTION("""COMPUTED_VALUE"""),"Open Ended Schemes(Other Scheme - FoF Overseas)")</f>
        <v>Open Ended Schemes(Other Scheme - FoF Overseas)</v>
      </c>
      <c r="B8889" s="1"/>
    </row>
    <row r="8890">
      <c r="A8890" s="1"/>
      <c r="B8890" s="1"/>
    </row>
    <row r="8891">
      <c r="A8891" s="1" t="str">
        <f>IFERROR(__xludf.DUMMYFUNCTION("""COMPUTED_VALUE"""),"Aditya Birla Sun Life Mutual Fund")</f>
        <v>Aditya Birla Sun Life Mutual Fund</v>
      </c>
      <c r="B8891" s="1"/>
    </row>
    <row r="8892">
      <c r="A8892" s="1"/>
      <c r="B8892" s="1"/>
    </row>
    <row r="8893">
      <c r="A8893" s="1" t="str">
        <f>IFERROR(__xludf.DUMMYFUNCTION("""COMPUTED_VALUE"""),"132141;INF084M01EC8;INF084M01ED6;Aditya Birla Sun Life Global Emerging Opportunities Fund - Direct - IDCW;17.6959;24-Aug-2023")</f>
        <v>132141;INF084M01EC8;INF084M01ED6;Aditya Birla Sun Life Global Emerging Opportunities Fund - Direct - IDCW;17.6959;24-Aug-2023</v>
      </c>
      <c r="B8893" s="1"/>
    </row>
    <row r="8894">
      <c r="A8894" s="1" t="str">
        <f>IFERROR(__xludf.DUMMYFUNCTION("""COMPUTED_VALUE"""),"132140;INF084M01EB0;-;Aditya Birla Sun Life Global Emerging Opportunities Fund - Direct plan - Growth Option;20.0079;24-Aug-2023")</f>
        <v>132140;INF084M01EB0;-;Aditya Birla Sun Life Global Emerging Opportunities Fund - Direct plan - Growth Option;20.0079;24-Aug-2023</v>
      </c>
      <c r="B8894" s="1"/>
    </row>
    <row r="8895">
      <c r="A8895" s="1" t="str">
        <f>IFERROR(__xludf.DUMMYFUNCTION("""COMPUTED_VALUE"""),"132139;INF084M01AU8;INF084M01AV6;Aditya Birla Sun Life Global Emerging Opportunities Fund - Regular - IDCW;19.3282;24-Aug-2023")</f>
        <v>132139;INF084M01AU8;INF084M01AV6;Aditya Birla Sun Life Global Emerging Opportunities Fund - Regular - IDCW;19.3282;24-Aug-2023</v>
      </c>
      <c r="B8895" s="1"/>
    </row>
    <row r="8896">
      <c r="A8896" s="1" t="str">
        <f>IFERROR(__xludf.DUMMYFUNCTION("""COMPUTED_VALUE"""),"132138;INF084M01AT0;-;Aditya Birla SUn Life Global Emerging Opportunities Fund - Regular Plan - Growth Option;19.3249;24-Aug-2023")</f>
        <v>132138;INF084M01AT0;-;Aditya Birla SUn Life Global Emerging Opportunities Fund - Regular Plan - Growth Option;19.3249;24-Aug-2023</v>
      </c>
      <c r="B8896" s="1"/>
    </row>
    <row r="8897">
      <c r="A8897" s="1" t="str">
        <f>IFERROR(__xludf.DUMMYFUNCTION("""COMPUTED_VALUE"""),"132009;INF084M01EH7;-;Aditya Birla Sun Life Global Excellence Equity Fund Of Fund - Retail Plan - Direct Plan - Growth Option;25.6407;24-Aug-2023")</f>
        <v>132009;INF084M01EH7;-;Aditya Birla Sun Life Global Excellence Equity Fund Of Fund - Retail Plan - Direct Plan - Growth Option;25.6407;24-Aug-2023</v>
      </c>
      <c r="B8897" s="1"/>
    </row>
    <row r="8898">
      <c r="A8898" s="1" t="str">
        <f>IFERROR(__xludf.DUMMYFUNCTION("""COMPUTED_VALUE"""),"132005;INF084M01AZ7;-;Aditya Birla Sun Life Global Excellence Equity Fund Of Fund- Retail Plan - Regular Plan - Growth Option;24.3882;24-Aug-2023")</f>
        <v>132005;INF084M01AZ7;-;Aditya Birla Sun Life Global Excellence Equity Fund Of Fund- Retail Plan - Regular Plan - Growth Option;24.3882;24-Aug-2023</v>
      </c>
      <c r="B8898" s="1"/>
    </row>
    <row r="8899">
      <c r="A8899" s="1" t="str">
        <f>IFERROR(__xludf.DUMMYFUNCTION("""COMPUTED_VALUE"""),"132010;INF084M01EI5;INF084M01EJ3;Aditya Birla Sun Life Global Excellence Equity Fund Of Fund-DIRECT - RETAIL - IDCW;25.6627;24-Aug-2023")</f>
        <v>132010;INF084M01EI5;INF084M01EJ3;Aditya Birla Sun Life Global Excellence Equity Fund Of Fund-DIRECT - RETAIL - IDCW;25.6627;24-Aug-2023</v>
      </c>
      <c r="B8899" s="1"/>
    </row>
    <row r="8900">
      <c r="A8900" s="1" t="str">
        <f>IFERROR(__xludf.DUMMYFUNCTION("""COMPUTED_VALUE"""),"132003;INF084M01BA8;INF084M01BB6;Aditya Birla Sun Life Global Excellence Equity Fund Of Fund-REGULAR - RETAIL - IDCW;24.4034;24-Aug-2023")</f>
        <v>132003;INF084M01BA8;INF084M01BB6;Aditya Birla Sun Life Global Excellence Equity Fund Of Fund-REGULAR - RETAIL - IDCW;24.4034;24-Aug-2023</v>
      </c>
      <c r="B8900" s="1"/>
    </row>
    <row r="8901">
      <c r="A8901" s="1" t="str">
        <f>IFERROR(__xludf.DUMMYFUNCTION("""COMPUTED_VALUE"""),"149289;INF209KB19C3;INF209KB10D0;Aditya Birla Sun Life Nasdaq 100 FOF-Direct IDCW;10.0909;25-Aug-2023")</f>
        <v>149289;INF209KB19C3;INF209KB10D0;Aditya Birla Sun Life Nasdaq 100 FOF-Direct IDCW;10.0909;25-Aug-2023</v>
      </c>
      <c r="B8901" s="1"/>
    </row>
    <row r="8902">
      <c r="A8902" s="1" t="str">
        <f>IFERROR(__xludf.DUMMYFUNCTION("""COMPUTED_VALUE"""),"149291;INF209KB18C5;-;Aditya Birla Sun Life Nasdaq 100 FOF-Direct-Growth;10.0895;25-Aug-2023")</f>
        <v>149291;INF209KB18C5;-;Aditya Birla Sun Life Nasdaq 100 FOF-Direct-Growth;10.0895;25-Aug-2023</v>
      </c>
      <c r="B8902" s="1"/>
    </row>
    <row r="8903">
      <c r="A8903" s="1" t="str">
        <f>IFERROR(__xludf.DUMMYFUNCTION("""COMPUTED_VALUE"""),"149290;INF209KB15C1;-;Aditya Birla Sun Life Nasdaq 100 FOF-Regular Growth;10.013;25-Aug-2023")</f>
        <v>149290;INF209KB15C1;-;Aditya Birla Sun Life Nasdaq 100 FOF-Regular Growth;10.013;25-Aug-2023</v>
      </c>
      <c r="B8903" s="1"/>
    </row>
    <row r="8904">
      <c r="A8904" s="1" t="str">
        <f>IFERROR(__xludf.DUMMYFUNCTION("""COMPUTED_VALUE"""),"149292;INF209KB16C9;INF209KB17C7;Aditya Birla Sun Life Nasdaq 100 FOF-Regular IDCW;10.0122;25-Aug-2023")</f>
        <v>149292;INF209KB16C9;INF209KB17C7;Aditya Birla Sun Life Nasdaq 100 FOF-Regular IDCW;10.0122;25-Aug-2023</v>
      </c>
      <c r="B8904" s="1"/>
    </row>
    <row r="8905">
      <c r="A8905" s="1"/>
      <c r="B8905" s="1"/>
    </row>
    <row r="8906">
      <c r="A8906" s="1" t="str">
        <f>IFERROR(__xludf.DUMMYFUNCTION("""COMPUTED_VALUE"""),"Axis Mutual Fund")</f>
        <v>Axis Mutual Fund</v>
      </c>
      <c r="B8906" s="1"/>
    </row>
    <row r="8907">
      <c r="A8907" s="1"/>
      <c r="B8907" s="1"/>
    </row>
    <row r="8908">
      <c r="A8908" s="1" t="str">
        <f>IFERROR(__xludf.DUMMYFUNCTION("""COMPUTED_VALUE"""),"148485;INF846K01X06;-;Axis Global Equity Alpha Fund of Fund - Direct Plan - Growth Option;14.0429;24-Aug-2023")</f>
        <v>148485;INF846K01X06;-;Axis Global Equity Alpha Fund of Fund - Direct Plan - Growth Option;14.0429;24-Aug-2023</v>
      </c>
      <c r="B8908" s="1"/>
    </row>
    <row r="8909">
      <c r="A8909" s="1" t="str">
        <f>IFERROR(__xludf.DUMMYFUNCTION("""COMPUTED_VALUE"""),"148487;INF846K01X14;INF846K01X22;Axis Global Equity Alpha Fund of Fund - Direct Plan - IDCW;14.0423;24-Aug-2023")</f>
        <v>148487;INF846K01X14;INF846K01X22;Axis Global Equity Alpha Fund of Fund - Direct Plan - IDCW;14.0423;24-Aug-2023</v>
      </c>
      <c r="B8909" s="1"/>
    </row>
    <row r="8910">
      <c r="A8910" s="1" t="str">
        <f>IFERROR(__xludf.DUMMYFUNCTION("""COMPUTED_VALUE"""),"148486;INF846K01X30;-;Axis Global Equity Alpha Fund of Fund - Regular Plan - Growth Option;13.5599;24-Aug-2023")</f>
        <v>148486;INF846K01X30;-;Axis Global Equity Alpha Fund of Fund - Regular Plan - Growth Option;13.5599;24-Aug-2023</v>
      </c>
      <c r="B8910" s="1"/>
    </row>
    <row r="8911">
      <c r="A8911" s="1" t="str">
        <f>IFERROR(__xludf.DUMMYFUNCTION("""COMPUTED_VALUE"""),"148488;INF846K01X48;INF846K01X55;Axis Global Equity Alpha Fund of Fund - Regular Plan - IDCW;13.5599;24-Aug-2023")</f>
        <v>148488;INF846K01X48;INF846K01X55;Axis Global Equity Alpha Fund of Fund - Regular Plan - IDCW;13.5599;24-Aug-2023</v>
      </c>
      <c r="B8911" s="1"/>
    </row>
    <row r="8912">
      <c r="A8912" s="1" t="str">
        <f>IFERROR(__xludf.DUMMYFUNCTION("""COMPUTED_VALUE"""),"148954;INF846K01Z20;-;Axis Global Innovation Fund of Fund - Direct Plan - Growth;10.17;24-Aug-2023")</f>
        <v>148954;INF846K01Z20;-;Axis Global Innovation Fund of Fund - Direct Plan - Growth;10.17;24-Aug-2023</v>
      </c>
      <c r="B8912" s="1"/>
    </row>
    <row r="8913">
      <c r="A8913" s="1" t="str">
        <f>IFERROR(__xludf.DUMMYFUNCTION("""COMPUTED_VALUE"""),"148955;INF846K01Z38;INF846K01Z46;Axis Global Innovation Fund of Fund - Direct Plan - IDCW;10.17;24-Aug-2023")</f>
        <v>148955;INF846K01Z38;INF846K01Z46;Axis Global Innovation Fund of Fund - Direct Plan - IDCW;10.17;24-Aug-2023</v>
      </c>
      <c r="B8913" s="1"/>
    </row>
    <row r="8914">
      <c r="A8914" s="1" t="str">
        <f>IFERROR(__xludf.DUMMYFUNCTION("""COMPUTED_VALUE"""),"148953;INF846K01Z53;-;Axis Global Innovation Fund of Fund - Regular Plan - Growth;9.90;24-Aug-2023")</f>
        <v>148953;INF846K01Z53;-;Axis Global Innovation Fund of Fund - Regular Plan - Growth;9.90;24-Aug-2023</v>
      </c>
      <c r="B8914" s="1"/>
    </row>
    <row r="8915">
      <c r="A8915" s="1" t="str">
        <f>IFERROR(__xludf.DUMMYFUNCTION("""COMPUTED_VALUE"""),"148956;INF846K01Z61;INF846K01Z79;Axis Global Innovation Fund of Fund - Regular Plan - IDCW;9.90;24-Aug-2023")</f>
        <v>148956;INF846K01Z61;INF846K01Z79;Axis Global Innovation Fund of Fund - Regular Plan - IDCW;9.90;24-Aug-2023</v>
      </c>
      <c r="B8915" s="1"/>
    </row>
    <row r="8916">
      <c r="A8916" s="1" t="str">
        <f>IFERROR(__xludf.DUMMYFUNCTION("""COMPUTED_VALUE"""),"148699;INF846K01Y39;-;Axis Greater China Equity Fund of Fund - Direct Plan - Growth Option;6.94;24-Aug-2023")</f>
        <v>148699;INF846K01Y39;-;Axis Greater China Equity Fund of Fund - Direct Plan - Growth Option;6.94;24-Aug-2023</v>
      </c>
      <c r="B8916" s="1"/>
    </row>
    <row r="8917">
      <c r="A8917" s="1" t="str">
        <f>IFERROR(__xludf.DUMMYFUNCTION("""COMPUTED_VALUE"""),"148700;INF846K01Y47;INF846K01Y54;Axis Greater China Equity Fund of Fund - Direct Plan - IDCW;6.93;24-Aug-2023")</f>
        <v>148700;INF846K01Y47;INF846K01Y54;Axis Greater China Equity Fund of Fund - Direct Plan - IDCW;6.93;24-Aug-2023</v>
      </c>
      <c r="B8917" s="1"/>
    </row>
    <row r="8918">
      <c r="A8918" s="1" t="str">
        <f>IFERROR(__xludf.DUMMYFUNCTION("""COMPUTED_VALUE"""),"148701;INF846K01Y62;-;Axis Greater China Equity Fund of Fund - Regular Plan - Growth Option;6.73;24-Aug-2023")</f>
        <v>148701;INF846K01Y62;-;Axis Greater China Equity Fund of Fund - Regular Plan - Growth Option;6.73;24-Aug-2023</v>
      </c>
      <c r="B8918" s="1"/>
    </row>
    <row r="8919">
      <c r="A8919" s="1" t="str">
        <f>IFERROR(__xludf.DUMMYFUNCTION("""COMPUTED_VALUE"""),"148702;INF846K01Y70;INF846K01Y88;Axis Greater China Equity Fund of Fund - Regular Plan - IDCW;6.73;24-Aug-2023")</f>
        <v>148702;INF846K01Y70;INF846K01Y88;Axis Greater China Equity Fund of Fund - Regular Plan - IDCW;6.73;24-Aug-2023</v>
      </c>
      <c r="B8919" s="1"/>
    </row>
    <row r="8920">
      <c r="A8920" s="1" t="str">
        <f>IFERROR(__xludf.DUMMYFUNCTION("""COMPUTED_VALUE"""),"150751;INF846K012K9;-;Axis NASDAQ 100 Fund of Fund - Direct Plan - Growth;13.2245;24-Aug-2023")</f>
        <v>150751;INF846K012K9;-;Axis NASDAQ 100 Fund of Fund - Direct Plan - Growth;13.2245;24-Aug-2023</v>
      </c>
      <c r="B8920" s="1"/>
    </row>
    <row r="8921">
      <c r="A8921" s="1" t="str">
        <f>IFERROR(__xludf.DUMMYFUNCTION("""COMPUTED_VALUE"""),"150749;INF846K013K7;INF846K014K5;Axis NASDAQ 100 Fund of Fund - Direct Plan - IDCW;13.2245;24-Aug-2023")</f>
        <v>150749;INF846K013K7;INF846K014K5;Axis NASDAQ 100 Fund of Fund - Direct Plan - IDCW;13.2245;24-Aug-2023</v>
      </c>
      <c r="B8921" s="1"/>
    </row>
    <row r="8922">
      <c r="A8922" s="1" t="str">
        <f>IFERROR(__xludf.DUMMYFUNCTION("""COMPUTED_VALUE"""),"150750;INF846K015K2;-;Axis NASDAQ 100 Fund of Fund - Regular Plan - Growth;13.1773;24-Aug-2023")</f>
        <v>150750;INF846K015K2;-;Axis NASDAQ 100 Fund of Fund - Regular Plan - Growth;13.1773;24-Aug-2023</v>
      </c>
      <c r="B8922" s="1"/>
    </row>
    <row r="8923">
      <c r="A8923" s="1" t="str">
        <f>IFERROR(__xludf.DUMMYFUNCTION("""COMPUTED_VALUE"""),"150748;INF846K016K0;INF846K017K8;Axis NASDAQ 100 Fund of Fund - Regular Plan - IDCW;13.1773;24-Aug-2023")</f>
        <v>150748;INF846K016K0;INF846K017K8;Axis NASDAQ 100 Fund of Fund - Regular Plan - IDCW;13.1773;24-Aug-2023</v>
      </c>
      <c r="B8923" s="1"/>
    </row>
    <row r="8924">
      <c r="A8924" s="1"/>
      <c r="B8924" s="1"/>
    </row>
    <row r="8925">
      <c r="A8925" s="1" t="str">
        <f>IFERROR(__xludf.DUMMYFUNCTION("""COMPUTED_VALUE"""),"Bandhan Mutual Fund")</f>
        <v>Bandhan Mutual Fund</v>
      </c>
      <c r="B8925" s="1"/>
    </row>
    <row r="8926">
      <c r="A8926" s="1"/>
      <c r="B8926" s="1"/>
    </row>
    <row r="8927">
      <c r="A8927" s="1" t="str">
        <f>IFERROR(__xludf.DUMMYFUNCTION("""COMPUTED_VALUE"""),"149098;INF194KB1CF2;-;BANDHAN US EQUITY FUND OF FUND - GROWTH - DIRECT PLAN;10.516;25-Aug-2023")</f>
        <v>149098;INF194KB1CF2;-;BANDHAN US EQUITY FUND OF FUND - GROWTH - DIRECT PLAN;10.516;25-Aug-2023</v>
      </c>
      <c r="B8927" s="1"/>
    </row>
    <row r="8928">
      <c r="A8928" s="1" t="str">
        <f>IFERROR(__xludf.DUMMYFUNCTION("""COMPUTED_VALUE"""),"149100;INF194KB1CC9;-;BANDHAN US EQUITY FUND OF FUND - GROWTH - REGULAR PLAN;10.288;25-Aug-2023")</f>
        <v>149100;INF194KB1CC9;-;BANDHAN US EQUITY FUND OF FUND - GROWTH - REGULAR PLAN;10.288;25-Aug-2023</v>
      </c>
      <c r="B8928" s="1"/>
    </row>
    <row r="8929">
      <c r="A8929" s="1" t="str">
        <f>IFERROR(__xludf.DUMMYFUNCTION("""COMPUTED_VALUE"""),"149099;INF194KB1CG0;-;BANDHAN US EQUITY FUND OF FUND - IDCW - DIRECT PLAN;10.516;25-Aug-2023")</f>
        <v>149099;INF194KB1CG0;-;BANDHAN US EQUITY FUND OF FUND - IDCW - DIRECT PLAN;10.516;25-Aug-2023</v>
      </c>
      <c r="B8929" s="1"/>
    </row>
    <row r="8930">
      <c r="A8930" s="1" t="str">
        <f>IFERROR(__xludf.DUMMYFUNCTION("""COMPUTED_VALUE"""),"149097;INF194KB1CD7;-;BANDHAN US EQUITY FUND OF FUND - IDCW - REGULAR PLAN;10.288;25-Aug-2023")</f>
        <v>149097;INF194KB1CD7;-;BANDHAN US EQUITY FUND OF FUND - IDCW - REGULAR PLAN;10.288;25-Aug-2023</v>
      </c>
      <c r="B8930" s="1"/>
    </row>
    <row r="8931">
      <c r="A8931" s="1" t="str">
        <f>IFERROR(__xludf.DUMMYFUNCTION("""COMPUTED_VALUE"""),"151548;-;-;Bandhan US TREASURY BOND 0-1 YEAR Fund of Fund - DIRECT PLAN - GROWTH;10.2182;25-Aug-2023")</f>
        <v>151548;-;-;Bandhan US TREASURY BOND 0-1 YEAR Fund of Fund - DIRECT PLAN - GROWTH;10.2182;25-Aug-2023</v>
      </c>
      <c r="B8931" s="1"/>
    </row>
    <row r="8932">
      <c r="A8932" s="1" t="str">
        <f>IFERROR(__xludf.DUMMYFUNCTION("""COMPUTED_VALUE"""),"151549;-;-;Bandhan US TREASURY BOND 0-1 YEAR Fund of Fund - DIRECT PLAN - IDCW;10.2182;25-Aug-2023")</f>
        <v>151549;-;-;Bandhan US TREASURY BOND 0-1 YEAR Fund of Fund - DIRECT PLAN - IDCW;10.2182;25-Aug-2023</v>
      </c>
      <c r="B8932" s="1"/>
    </row>
    <row r="8933">
      <c r="A8933" s="1" t="str">
        <f>IFERROR(__xludf.DUMMYFUNCTION("""COMPUTED_VALUE"""),"151546;-;-;Bandhan US TREASURY BOND 0-1 YEAR Fund of Fund - REGULAR PLAN - GROWTH;10.2149;25-Aug-2023")</f>
        <v>151546;-;-;Bandhan US TREASURY BOND 0-1 YEAR Fund of Fund - REGULAR PLAN - GROWTH;10.2149;25-Aug-2023</v>
      </c>
      <c r="B8933" s="1"/>
    </row>
    <row r="8934">
      <c r="A8934" s="1" t="str">
        <f>IFERROR(__xludf.DUMMYFUNCTION("""COMPUTED_VALUE"""),"151547;-;-;Bandhan US TREASURY BOND 0-1 YEAR Fund of Fund - REGULAR PLAN- IDCW;10.2149;25-Aug-2023")</f>
        <v>151547;-;-;Bandhan US TREASURY BOND 0-1 YEAR Fund of Fund - REGULAR PLAN- IDCW;10.2149;25-Aug-2023</v>
      </c>
      <c r="B8934" s="1"/>
    </row>
    <row r="8935">
      <c r="A8935" s="1"/>
      <c r="B8935" s="1"/>
    </row>
    <row r="8936">
      <c r="A8936" s="1" t="str">
        <f>IFERROR(__xludf.DUMMYFUNCTION("""COMPUTED_VALUE"""),"Baroda BNP Paribas Mutual Fund")</f>
        <v>Baroda BNP Paribas Mutual Fund</v>
      </c>
      <c r="B8936" s="1"/>
    </row>
    <row r="8937">
      <c r="A8937" s="1"/>
      <c r="B8937" s="1"/>
    </row>
    <row r="8938">
      <c r="A8938" s="1" t="str">
        <f>IFERROR(__xludf.DUMMYFUNCTION("""COMPUTED_VALUE"""),"150285;INF251K01QT5;-;Baroda BNP Paribas Aqua Fund of Fund - Direct Plan - Growth Option;10.7228;24-Aug-2023")</f>
        <v>150285;INF251K01QT5;-;Baroda BNP Paribas Aqua Fund of Fund - Direct Plan - Growth Option;10.7228;24-Aug-2023</v>
      </c>
      <c r="B8938" s="1"/>
    </row>
    <row r="8939">
      <c r="A8939" s="1" t="str">
        <f>IFERROR(__xludf.DUMMYFUNCTION("""COMPUTED_VALUE"""),"150287;INF251K01QU3;INF251K01QV1;Baroda BNP Paribas Aqua Fund of Fund - Direct Plan - IDCW Option;10.7228;24-Aug-2023")</f>
        <v>150287;INF251K01QU3;INF251K01QV1;Baroda BNP Paribas Aqua Fund of Fund - Direct Plan - IDCW Option;10.7228;24-Aug-2023</v>
      </c>
      <c r="B8939" s="1"/>
    </row>
    <row r="8940">
      <c r="A8940" s="1" t="str">
        <f>IFERROR(__xludf.DUMMYFUNCTION("""COMPUTED_VALUE"""),"150286;INF251K01QR9;INF251K01QS7;Baroda BNP Paribas Aqua Fund of Fund - Regular Plan - IDCW Option;10.4530;24-Aug-2023")</f>
        <v>150286;INF251K01QR9;INF251K01QS7;Baroda BNP Paribas Aqua Fund of Fund - Regular Plan - IDCW Option;10.4530;24-Aug-2023</v>
      </c>
      <c r="B8940" s="1"/>
    </row>
    <row r="8941">
      <c r="A8941" s="1" t="str">
        <f>IFERROR(__xludf.DUMMYFUNCTION("""COMPUTED_VALUE"""),"150284;INF251K01QQ1;-;Baroda BNP Paribas Aqua Fund of Fund - Regular Plan Growth;10.4530;24-Aug-2023")</f>
        <v>150284;INF251K01QQ1;-;Baroda BNP Paribas Aqua Fund of Fund - Regular Plan Growth;10.4530;24-Aug-2023</v>
      </c>
      <c r="B8941" s="1"/>
    </row>
    <row r="8942">
      <c r="A8942" s="1"/>
      <c r="B8942" s="1"/>
    </row>
    <row r="8943">
      <c r="A8943" s="1" t="str">
        <f>IFERROR(__xludf.DUMMYFUNCTION("""COMPUTED_VALUE"""),"DSP Mutual Fund")</f>
        <v>DSP Mutual Fund</v>
      </c>
      <c r="B8943" s="1"/>
    </row>
    <row r="8944">
      <c r="A8944" s="1"/>
      <c r="B8944" s="1"/>
    </row>
    <row r="8945">
      <c r="A8945" s="1" t="str">
        <f>IFERROR(__xludf.DUMMYFUNCTION("""COMPUTED_VALUE"""),"130493;INF740K01Z50;-;DSP Global Allocation Fund - Direct Plan - Growth;17.8722;25-Aug-2023")</f>
        <v>130493;INF740K01Z50;-;DSP Global Allocation Fund - Direct Plan - Growth;17.8722;25-Aug-2023</v>
      </c>
      <c r="B8945" s="1"/>
    </row>
    <row r="8946">
      <c r="A8946" s="1" t="str">
        <f>IFERROR(__xludf.DUMMYFUNCTION("""COMPUTED_VALUE"""),"130491;INF740K01Z68;INF740K01Z76;DSP Global Allocation Fund - Direct Plan - IDCW;15.3423;25-Aug-2023")</f>
        <v>130491;INF740K01Z68;INF740K01Z76;DSP Global Allocation Fund - Direct Plan - IDCW;15.3423;25-Aug-2023</v>
      </c>
      <c r="B8946" s="1"/>
    </row>
    <row r="8947">
      <c r="A8947" s="1" t="str">
        <f>IFERROR(__xludf.DUMMYFUNCTION("""COMPUTED_VALUE"""),"130492;INF740K01Z27;-;DSP Global Allocation Fund - Regular Plan - Growth;17.0860;25-Aug-2023")</f>
        <v>130492;INF740K01Z27;-;DSP Global Allocation Fund - Regular Plan - Growth;17.0860;25-Aug-2023</v>
      </c>
      <c r="B8947" s="1"/>
    </row>
    <row r="8948">
      <c r="A8948" s="1" t="str">
        <f>IFERROR(__xludf.DUMMYFUNCTION("""COMPUTED_VALUE"""),"130490;INF740K01Z35;INF740K01Z43;DSP Global Allocation Fund - Regular Plan - IDCW;14.7681;25-Aug-2023")</f>
        <v>130490;INF740K01Z35;INF740K01Z43;DSP Global Allocation Fund - Regular Plan - IDCW;14.7681;25-Aug-2023</v>
      </c>
      <c r="B8948" s="1"/>
    </row>
    <row r="8949">
      <c r="A8949" s="1" t="str">
        <f>IFERROR(__xludf.DUMMYFUNCTION("""COMPUTED_VALUE"""),"149816;INF740KA1QP1;-;DSP Global Innovation Fund of Fund - Direct - Growth;10.7881;24-Aug-2023")</f>
        <v>149816;INF740KA1QP1;-;DSP Global Innovation Fund of Fund - Direct - Growth;10.7881;24-Aug-2023</v>
      </c>
      <c r="B8949" s="1"/>
    </row>
    <row r="8950">
      <c r="A8950" s="1" t="str">
        <f>IFERROR(__xludf.DUMMYFUNCTION("""COMPUTED_VALUE"""),"149815;INF740KA1QQ9;INF740KA1QR7;DSP Global Innovation Fund of Fund - Direct - IDCW;10.7881;24-Aug-2023")</f>
        <v>149815;INF740KA1QQ9;INF740KA1QR7;DSP Global Innovation Fund of Fund - Direct - IDCW;10.7881;24-Aug-2023</v>
      </c>
      <c r="B8950" s="1"/>
    </row>
    <row r="8951">
      <c r="A8951" s="1" t="str">
        <f>IFERROR(__xludf.DUMMYFUNCTION("""COMPUTED_VALUE"""),"149817;INF740KA1QM8;-;DSP Global Innovation Fund of Fund - Regular - Growth;10.6361;24-Aug-2023")</f>
        <v>149817;INF740KA1QM8;-;DSP Global Innovation Fund of Fund - Regular - Growth;10.6361;24-Aug-2023</v>
      </c>
      <c r="B8951" s="1"/>
    </row>
    <row r="8952">
      <c r="A8952" s="1" t="str">
        <f>IFERROR(__xludf.DUMMYFUNCTION("""COMPUTED_VALUE"""),"149814;INF740KA1QN6;INF740KA1QO4;DSP Global Innovation Fund of Fund - Regular - IDCW;10.6361;24-Aug-2023")</f>
        <v>149814;INF740KA1QN6;INF740KA1QO4;DSP Global Innovation Fund of Fund - Regular - IDCW;10.6361;24-Aug-2023</v>
      </c>
      <c r="B8952" s="1"/>
    </row>
    <row r="8953">
      <c r="A8953" s="1" t="str">
        <f>IFERROR(__xludf.DUMMYFUNCTION("""COMPUTED_VALUE"""),"119252;INF740K01OH7;-;DSP US Flexible Equity Fund - Direct Plan - Growth;48.6004;25-Aug-2023")</f>
        <v>119252;INF740K01OH7;-;DSP US Flexible Equity Fund - Direct Plan - Growth;48.6004;25-Aug-2023</v>
      </c>
      <c r="B8953" s="1"/>
    </row>
    <row r="8954">
      <c r="A8954" s="1" t="str">
        <f>IFERROR(__xludf.DUMMYFUNCTION("""COMPUTED_VALUE"""),"119253;INF740K01OI5;INF740K01OJ3;DSP US Flexible Equity Fund - Direct Plan - IDCW;45.0984;25-Aug-2023")</f>
        <v>119253;INF740K01OI5;INF740K01OJ3;DSP US Flexible Equity Fund - Direct Plan - IDCW;45.0984;25-Aug-2023</v>
      </c>
      <c r="B8954" s="1"/>
    </row>
    <row r="8955">
      <c r="A8955" s="1" t="str">
        <f>IFERROR(__xludf.DUMMYFUNCTION("""COMPUTED_VALUE"""),"117691;INF740K01LP6;-;DSP US Flexible Equity Fund - Regular Plan - Growth Option;45.0410;25-Aug-2023")</f>
        <v>117691;INF740K01LP6;-;DSP US Flexible Equity Fund - Regular Plan - Growth Option;45.0410;25-Aug-2023</v>
      </c>
      <c r="B8955" s="1"/>
    </row>
    <row r="8956">
      <c r="A8956" s="1" t="str">
        <f>IFERROR(__xludf.DUMMYFUNCTION("""COMPUTED_VALUE"""),"117692;INF740K01LQ4;-;DSP US Flexible Equity Fund - Regular Plan - IDCW;23.7783;25-Aug-2023")</f>
        <v>117692;INF740K01LQ4;-;DSP US Flexible Equity Fund - Regular Plan - IDCW;23.7783;25-Aug-2023</v>
      </c>
      <c r="B8956" s="1"/>
    </row>
    <row r="8957">
      <c r="A8957" s="1" t="str">
        <f>IFERROR(__xludf.DUMMYFUNCTION("""COMPUTED_VALUE"""),"119271;INF740K01OE4;-;DSP World Agriculture Fund - Direct Plan - Growth;19.2853;25-Aug-2023")</f>
        <v>119271;INF740K01OE4;-;DSP World Agriculture Fund - Direct Plan - Growth;19.2853;25-Aug-2023</v>
      </c>
      <c r="B8957" s="1"/>
    </row>
    <row r="8958">
      <c r="A8958" s="1" t="str">
        <f>IFERROR(__xludf.DUMMYFUNCTION("""COMPUTED_VALUE"""),"119272;INF740K01OF1;INF740K01OG9;DSP World Agriculture Fund - Direct Plan - IDCW;17.6447;25-Aug-2023")</f>
        <v>119272;INF740K01OF1;INF740K01OG9;DSP World Agriculture Fund - Direct Plan - IDCW;17.6447;25-Aug-2023</v>
      </c>
      <c r="B8958" s="1"/>
    </row>
    <row r="8959">
      <c r="A8959" s="1" t="str">
        <f>IFERROR(__xludf.DUMMYFUNCTION("""COMPUTED_VALUE"""),"115882;INF740K01EK2;-;DSP World Agriculture Fund - Regular Plan - Growth;18.6785;25-Aug-2023")</f>
        <v>115882;INF740K01EK2;-;DSP World Agriculture Fund - Regular Plan - Growth;18.6785;25-Aug-2023</v>
      </c>
      <c r="B8959" s="1"/>
    </row>
    <row r="8960">
      <c r="A8960" s="1" t="str">
        <f>IFERROR(__xludf.DUMMYFUNCTION("""COMPUTED_VALUE"""),"115881;INF740K01EL0;-;DSP World Agriculture Fund - Regular Plan - IDCW;12.6849;25-Aug-2023")</f>
        <v>115881;INF740K01EL0;-;DSP World Agriculture Fund - Regular Plan - IDCW;12.6849;25-Aug-2023</v>
      </c>
      <c r="B8960" s="1"/>
    </row>
    <row r="8961">
      <c r="A8961" s="1" t="str">
        <f>IFERROR(__xludf.DUMMYFUNCTION("""COMPUTED_VALUE"""),"119275;INF740K01PC5;-;DSP World Energy Fund - Direct Plan - Growth;17.9102;25-Aug-2023")</f>
        <v>119275;INF740K01PC5;-;DSP World Energy Fund - Direct Plan - Growth;17.9102;25-Aug-2023</v>
      </c>
      <c r="B8961" s="1"/>
    </row>
    <row r="8962">
      <c r="A8962" s="1" t="str">
        <f>IFERROR(__xludf.DUMMYFUNCTION("""COMPUTED_VALUE"""),"119276;INF740K01PD3;INF740K01PE1;DSP World Energy Fund - Direct Plan - IDCW;14.5203;25-Aug-2023")</f>
        <v>119276;INF740K01PD3;INF740K01PE1;DSP World Energy Fund - Direct Plan - IDCW;14.5203;25-Aug-2023</v>
      </c>
      <c r="B8962" s="1"/>
    </row>
    <row r="8963">
      <c r="A8963" s="1" t="str">
        <f>IFERROR(__xludf.DUMMYFUNCTION("""COMPUTED_VALUE"""),"112126;INF740K01284;-;DSP World Energy Fund - Regular Plan - Growth;17.2037;25-Aug-2023")</f>
        <v>112126;INF740K01284;-;DSP World Energy Fund - Regular Plan - Growth;17.2037;25-Aug-2023</v>
      </c>
      <c r="B8963" s="1"/>
    </row>
    <row r="8964">
      <c r="A8964" s="1" t="str">
        <f>IFERROR(__xludf.DUMMYFUNCTION("""COMPUTED_VALUE"""),"112127;INF740K01292;INF740K01300;DSP World Energy Fund - Regular Plan - IDCW;13.2485;25-Aug-2023")</f>
        <v>112127;INF740K01292;INF740K01300;DSP World Energy Fund - Regular Plan - IDCW;13.2485;25-Aug-2023</v>
      </c>
      <c r="B8964" s="1"/>
    </row>
    <row r="8965">
      <c r="A8965" s="1" t="str">
        <f>IFERROR(__xludf.DUMMYFUNCTION("""COMPUTED_VALUE"""),"119277;INF740K01OZ9;-;DSP World Gold Fund of Fund - Direct Plan - Growth;16.9205;25-Aug-2023")</f>
        <v>119277;INF740K01OZ9;-;DSP World Gold Fund of Fund - Direct Plan - Growth;16.9205;25-Aug-2023</v>
      </c>
      <c r="B8965" s="1"/>
    </row>
    <row r="8966">
      <c r="A8966" s="1" t="str">
        <f>IFERROR(__xludf.DUMMYFUNCTION("""COMPUTED_VALUE"""),"119278;INF740K01PA9;INF740K01PB7;DSP World Gold Fund of Fund - Direct Plan - IDCW;11.1940;25-Aug-2023")</f>
        <v>119278;INF740K01PA9;INF740K01PB7;DSP World Gold Fund of Fund - Direct Plan - IDCW;11.1940;25-Aug-2023</v>
      </c>
      <c r="B8966" s="1"/>
    </row>
    <row r="8967">
      <c r="A8967" s="1" t="str">
        <f>IFERROR(__xludf.DUMMYFUNCTION("""COMPUTED_VALUE"""),"106597;INF740K01250;-;DSP World Gold Fund of Fund - Regular Plan - Growth;16.0221;25-Aug-2023")</f>
        <v>106597;INF740K01250;-;DSP World Gold Fund of Fund - Regular Plan - Growth;16.0221;25-Aug-2023</v>
      </c>
      <c r="B8967" s="1"/>
    </row>
    <row r="8968">
      <c r="A8968" s="1" t="str">
        <f>IFERROR(__xludf.DUMMYFUNCTION("""COMPUTED_VALUE"""),"106596;INF740K01268;INF740K01276;DSP World Gold Fund of Fund - Regular Plan - IDCW;10.6819;25-Aug-2023")</f>
        <v>106596;INF740K01268;INF740K01276;DSP World Gold Fund of Fund - Regular Plan - IDCW;10.6819;25-Aug-2023</v>
      </c>
      <c r="B8968" s="1"/>
    </row>
    <row r="8969">
      <c r="A8969" s="1" t="str">
        <f>IFERROR(__xludf.DUMMYFUNCTION("""COMPUTED_VALUE"""),"119279;INF740K01PF8;-;DSP World Mining Fund - Direct Plan - Growth;16.0138;25-Aug-2023")</f>
        <v>119279;INF740K01PF8;-;DSP World Mining Fund - Direct Plan - Growth;16.0138;25-Aug-2023</v>
      </c>
      <c r="B8969" s="1"/>
    </row>
    <row r="8970">
      <c r="A8970" s="1" t="str">
        <f>IFERROR(__xludf.DUMMYFUNCTION("""COMPUTED_VALUE"""),"119280;INF740K01PG6;INF740K01PH4;DSP World Mining Fund - Direct Plan - IDCW;16.0138;25-Aug-2023")</f>
        <v>119280;INF740K01PG6;INF740K01PH4;DSP World Mining Fund - Direct Plan - IDCW;16.0138;25-Aug-2023</v>
      </c>
      <c r="B8970" s="1"/>
    </row>
    <row r="8971">
      <c r="A8971" s="1" t="str">
        <f>IFERROR(__xludf.DUMMYFUNCTION("""COMPUTED_VALUE"""),"112293;INF740K01730;-;DSP World Mining Fund - Regular Plan - Growth;15.0658;25-Aug-2023")</f>
        <v>112293;INF740K01730;-;DSP World Mining Fund - Regular Plan - Growth;15.0658;25-Aug-2023</v>
      </c>
      <c r="B8971" s="1"/>
    </row>
    <row r="8972">
      <c r="A8972" s="1" t="str">
        <f>IFERROR(__xludf.DUMMYFUNCTION("""COMPUTED_VALUE"""),"112347;INF740K01748;INF740K01AL8;DSP World Mining Fund - Regular Plan - IDCW;15.0658;25-Aug-2023")</f>
        <v>112347;INF740K01748;INF740K01AL8;DSP World Mining Fund - Regular Plan - IDCW;15.0658;25-Aug-2023</v>
      </c>
      <c r="B8972" s="1"/>
    </row>
    <row r="8973">
      <c r="A8973" s="1"/>
      <c r="B8973" s="1"/>
    </row>
    <row r="8974">
      <c r="A8974" s="1" t="str">
        <f>IFERROR(__xludf.DUMMYFUNCTION("""COMPUTED_VALUE"""),"Edelweiss Mutual Fund")</f>
        <v>Edelweiss Mutual Fund</v>
      </c>
      <c r="B8974" s="1"/>
    </row>
    <row r="8975">
      <c r="A8975" s="1"/>
      <c r="B8975" s="1"/>
    </row>
    <row r="8976">
      <c r="A8976" s="1" t="str">
        <f>IFERROR(__xludf.DUMMYFUNCTION("""COMPUTED_VALUE"""),"140256;INF843K01AW7;-;Edelweiss ASEAN Equity Off-shore Fund - Direct Plan - Growth Option;26.596;25-Aug-2023")</f>
        <v>140256;INF843K01AW7;-;Edelweiss ASEAN Equity Off-shore Fund - Direct Plan - Growth Option;26.596;25-Aug-2023</v>
      </c>
      <c r="B8976" s="1"/>
    </row>
    <row r="8977">
      <c r="A8977" s="1" t="str">
        <f>IFERROR(__xludf.DUMMYFUNCTION("""COMPUTED_VALUE"""),"140255;INF843K01609;-;Edelweiss ASEAN Equity Off-shore Fund - Regular Plan - Growth Option;24.149;25-Aug-2023")</f>
        <v>140255;INF843K01609;-;Edelweiss ASEAN Equity Off-shore Fund - Regular Plan - Growth Option;24.149;25-Aug-2023</v>
      </c>
      <c r="B8977" s="1"/>
    </row>
    <row r="8978">
      <c r="A8978" s="1" t="str">
        <f>IFERROR(__xludf.DUMMYFUNCTION("""COMPUTED_VALUE"""),"140327;INF843K01IZ3;-;Edelweiss Emerging Markets Opportunities Equity Offshore Fund - Direct Plan - Growth Option;14.4028;25-Aug-2023")</f>
        <v>140327;INF843K01IZ3;-;Edelweiss Emerging Markets Opportunities Equity Offshore Fund - Direct Plan - Growth Option;14.4028;25-Aug-2023</v>
      </c>
      <c r="B8978" s="1"/>
    </row>
    <row r="8979">
      <c r="A8979" s="1" t="str">
        <f>IFERROR(__xludf.DUMMYFUNCTION("""COMPUTED_VALUE"""),"140328;INF843K01IY6;-;Edelweiss Emerging Markets Opportunities Equity Offshore Fund - Regular Plan - Growth Option;13.4773;25-Aug-2023")</f>
        <v>140328;INF843K01IY6;-;Edelweiss Emerging Markets Opportunities Equity Offshore Fund - Regular Plan - Growth Option;13.4773;25-Aug-2023</v>
      </c>
      <c r="B8979" s="1"/>
    </row>
    <row r="8980">
      <c r="A8980" s="1" t="str">
        <f>IFERROR(__xludf.DUMMYFUNCTION("""COMPUTED_VALUE"""),"140296;INF843K01GI3;-;Edelweiss Europe Dynamic Equity Offshore Fund - Growth Option - Direct Plan;17.4477;25-Aug-2023")</f>
        <v>140296;INF843K01GI3;-;Edelweiss Europe Dynamic Equity Offshore Fund - Growth Option - Direct Plan;17.4477;25-Aug-2023</v>
      </c>
      <c r="B8980" s="1"/>
    </row>
    <row r="8981">
      <c r="A8981" s="1" t="str">
        <f>IFERROR(__xludf.DUMMYFUNCTION("""COMPUTED_VALUE"""),"140295;INF843K01GJ1;-;Edelweiss Europe Dynamic Equity Offshore Fund - Growth Option - Regular Plan;16.0668;25-Aug-2023")</f>
        <v>140295;INF843K01GJ1;-;Edelweiss Europe Dynamic Equity Offshore Fund - Growth Option - Regular Plan;16.0668;25-Aug-2023</v>
      </c>
      <c r="B8981" s="1"/>
    </row>
    <row r="8982">
      <c r="A8982" s="1" t="str">
        <f>IFERROR(__xludf.DUMMYFUNCTION("""COMPUTED_VALUE"""),"140243;INF843K01AU1;-;Edelweiss Greater China Equity Off-shore Fund - Direct Plan - Growth Option;37.707;25-Aug-2023")</f>
        <v>140243;INF843K01AU1;-;Edelweiss Greater China Equity Off-shore Fund - Direct Plan - Growth Option;37.707;25-Aug-2023</v>
      </c>
      <c r="B8982" s="1"/>
    </row>
    <row r="8983">
      <c r="A8983" s="1" t="str">
        <f>IFERROR(__xludf.DUMMYFUNCTION("""COMPUTED_VALUE"""),"140242;INF843K01138;-;Edelweiss Greater China Equity Off-shore Fund - Regular Plan - Growth Option;34.14;25-Aug-2023")</f>
        <v>140242;INF843K01138;-;Edelweiss Greater China Equity Off-shore Fund - Regular Plan - Growth Option;34.14;25-Aug-2023</v>
      </c>
      <c r="B8983" s="1"/>
    </row>
    <row r="8984">
      <c r="A8984" s="1" t="str">
        <f>IFERROR(__xludf.DUMMYFUNCTION("""COMPUTED_VALUE"""),"148063;INF754K01LB7;-;Edelweiss US Technology Equity Fund of Fund- Direct Plan- Growth;17.9366;25-Aug-2023")</f>
        <v>148063;INF754K01LB7;-;Edelweiss US Technology Equity Fund of Fund- Direct Plan- Growth;17.9366;25-Aug-2023</v>
      </c>
      <c r="B8984" s="1"/>
    </row>
    <row r="8985">
      <c r="A8985" s="1" t="str">
        <f>IFERROR(__xludf.DUMMYFUNCTION("""COMPUTED_VALUE"""),"148064;INF754K01LC5;-;Edelweiss US Technology Equity Fund of Fund- Regular Plan- Growth;17.3281;25-Aug-2023")</f>
        <v>148064;INF754K01LC5;-;Edelweiss US Technology Equity Fund of Fund- Regular Plan- Growth;17.3281;25-Aug-2023</v>
      </c>
      <c r="B8985" s="1"/>
    </row>
    <row r="8986">
      <c r="A8986" s="1" t="str">
        <f>IFERROR(__xludf.DUMMYFUNCTION("""COMPUTED_VALUE"""),"140274;INF843K01EC1;-;Edelweiss US Value Equity Offshore Fund - Direct Plan - Growth Option;27.6817;25-Aug-2023")</f>
        <v>140274;INF843K01EC1;-;Edelweiss US Value Equity Offshore Fund - Direct Plan - Growth Option;27.6817;25-Aug-2023</v>
      </c>
      <c r="B8986" s="1"/>
    </row>
    <row r="8987">
      <c r="A8987" s="1" t="str">
        <f>IFERROR(__xludf.DUMMYFUNCTION("""COMPUTED_VALUE"""),"140273;INF843K01ED9;-;Edelweiss US Value Equity Offshore Fund - Regular Plan - Growth Option;25.4708;25-Aug-2023")</f>
        <v>140273;INF843K01ED9;-;Edelweiss US Value Equity Offshore Fund - Regular Plan - Growth Option;25.4708;25-Aug-2023</v>
      </c>
      <c r="B8987" s="1"/>
    </row>
    <row r="8988">
      <c r="A8988" s="1"/>
      <c r="B8988" s="1"/>
    </row>
    <row r="8989">
      <c r="A8989" s="1" t="str">
        <f>IFERROR(__xludf.DUMMYFUNCTION("""COMPUTED_VALUE"""),"Franklin Templeton Mutual Fund")</f>
        <v>Franklin Templeton Mutual Fund</v>
      </c>
      <c r="B8989" s="1"/>
    </row>
    <row r="8990">
      <c r="A8990" s="1"/>
      <c r="B8990" s="1"/>
    </row>
    <row r="8991">
      <c r="A8991" s="1" t="str">
        <f>IFERROR(__xludf.DUMMYFUNCTION("""COMPUTED_VALUE"""),"118550;INF090I01JP4;INF090I01JQ2;Franklin India Feeder - Franklin U S Opportunities Fund - Direct - IDCW ;56.3533;25-Aug-2023")</f>
        <v>118550;INF090I01JP4;INF090I01JQ2;Franklin India Feeder - Franklin U S Opportunities Fund - Direct - IDCW ;56.3533;25-Aug-2023</v>
      </c>
      <c r="B8991" s="1"/>
    </row>
    <row r="8992">
      <c r="A8992" s="1" t="str">
        <f>IFERROR(__xludf.DUMMYFUNCTION("""COMPUTED_VALUE"""),"116632;INF090I01EV3;INF090I01EU5;Franklin India Feeder - Franklin U S Opportunities Fund - IDCW ;50.7785;25-Aug-2023")</f>
        <v>116632;INF090I01EV3;INF090I01EU5;Franklin India Feeder - Franklin U S Opportunities Fund - IDCW ;50.7785;25-Aug-2023</v>
      </c>
      <c r="B8992" s="1"/>
    </row>
    <row r="8993">
      <c r="A8993" s="1" t="str">
        <f>IFERROR(__xludf.DUMMYFUNCTION("""COMPUTED_VALUE"""),"116633;INF090I01EW1;-;Franklin India Feeder - Franklin U.S. Opportunities Fund - Growth;50.7785;25-Aug-2023")</f>
        <v>116633;INF090I01EW1;-;Franklin India Feeder - Franklin U.S. Opportunities Fund - Growth;50.7785;25-Aug-2023</v>
      </c>
      <c r="B8993" s="1"/>
    </row>
    <row r="8994">
      <c r="A8994" s="1" t="str">
        <f>IFERROR(__xludf.DUMMYFUNCTION("""COMPUTED_VALUE"""),"118551;INF090I01JR0;-;Franklin India Feeder - Franklin US Opportunities Fund - Direct - Growth;56.3533;25-Aug-2023")</f>
        <v>118551;INF090I01JR0;-;Franklin India Feeder - Franklin US Opportunities Fund - Direct - Growth;56.3533;25-Aug-2023</v>
      </c>
      <c r="B8994" s="1"/>
    </row>
    <row r="8995">
      <c r="A8995" s="1" t="str">
        <f>IFERROR(__xludf.DUMMYFUNCTION("""COMPUTED_VALUE"""),"129440;INF090I01KX6;-;Franklin India Feeder - Templeton European Opportunities Fund - Direct - Growth;10.8590;25-Aug-2023")</f>
        <v>129440;INF090I01KX6;-;Franklin India Feeder - Templeton European Opportunities Fund - Direct - Growth;10.8590;25-Aug-2023</v>
      </c>
      <c r="B8995" s="1"/>
    </row>
    <row r="8996">
      <c r="A8996" s="1" t="str">
        <f>IFERROR(__xludf.DUMMYFUNCTION("""COMPUTED_VALUE"""),"129441;INF090I01KY4;INF090I01KZ1;Franklin India Feeder - Templeton European Opportunities Fund - Direct - IDCW ;10.8590;25-Aug-2023")</f>
        <v>129441;INF090I01KY4;INF090I01KZ1;Franklin India Feeder - Templeton European Opportunities Fund - Direct - IDCW ;10.8590;25-Aug-2023</v>
      </c>
      <c r="B8996" s="1"/>
    </row>
    <row r="8997">
      <c r="A8997" s="1" t="str">
        <f>IFERROR(__xludf.DUMMYFUNCTION("""COMPUTED_VALUE"""),"129438;INF090I01KU2;-;Franklin India Feeder - Templeton European Opportunities Fund - Growth;9.7946;25-Aug-2023")</f>
        <v>129438;INF090I01KU2;-;Franklin India Feeder - Templeton European Opportunities Fund - Growth;9.7946;25-Aug-2023</v>
      </c>
      <c r="B8997" s="1"/>
    </row>
    <row r="8998">
      <c r="A8998" s="1" t="str">
        <f>IFERROR(__xludf.DUMMYFUNCTION("""COMPUTED_VALUE"""),"129439;INF090I01KV0;INF090I01KW8;Franklin India Feeder - Templeton European Opportunities Fund - IDCW ;9.7946;25-Aug-2023")</f>
        <v>129439;INF090I01KV0;INF090I01KW8;Franklin India Feeder - Templeton European Opportunities Fund - IDCW ;9.7946;25-Aug-2023</v>
      </c>
      <c r="B8998" s="1"/>
    </row>
    <row r="8999">
      <c r="A8999" s="1"/>
      <c r="B8999" s="1"/>
    </row>
    <row r="9000">
      <c r="A9000" s="1" t="str">
        <f>IFERROR(__xludf.DUMMYFUNCTION("""COMPUTED_VALUE"""),"HDFC Mutual Fund")</f>
        <v>HDFC Mutual Fund</v>
      </c>
      <c r="B9000" s="1"/>
    </row>
    <row r="9001">
      <c r="A9001" s="1"/>
      <c r="B9001" s="1"/>
    </row>
    <row r="9002">
      <c r="A9002" s="1" t="str">
        <f>IFERROR(__xludf.DUMMYFUNCTION("""COMPUTED_VALUE"""),"149180;INF179KC1BO4;-;HDFC Developed World Indexes Fund of Funds - Direct Plan - Growth Option;10.913;25-Aug-2023")</f>
        <v>149180;INF179KC1BO4;-;HDFC Developed World Indexes Fund of Funds - Direct Plan - Growth Option;10.913;25-Aug-2023</v>
      </c>
      <c r="B9002" s="1"/>
    </row>
    <row r="9003">
      <c r="A9003" s="1" t="str">
        <f>IFERROR(__xludf.DUMMYFUNCTION("""COMPUTED_VALUE"""),"149181;INF179KC1BP1;-;HDFC Developed World Indexes Fund of Funds - Growth Option;10.802;25-Aug-2023")</f>
        <v>149181;INF179KC1BP1;-;HDFC Developed World Indexes Fund of Funds - Growth Option;10.802;25-Aug-2023</v>
      </c>
      <c r="B9003" s="1"/>
    </row>
    <row r="9004">
      <c r="A9004" s="1"/>
      <c r="B9004" s="1"/>
    </row>
    <row r="9005">
      <c r="A9005" s="1" t="str">
        <f>IFERROR(__xludf.DUMMYFUNCTION("""COMPUTED_VALUE"""),"HSBC Mutual Fund")</f>
        <v>HSBC Mutual Fund</v>
      </c>
      <c r="B9005" s="1"/>
    </row>
    <row r="9006">
      <c r="A9006" s="1"/>
      <c r="B9006" s="1"/>
    </row>
    <row r="9007">
      <c r="A9007" s="1" t="str">
        <f>IFERROR(__xludf.DUMMYFUNCTION("""COMPUTED_VALUE"""),"127073;INF336L01HC7;-;HSBC Asia Pacific (Ex Japan) Dividend Yield Fund - Growth;17.5988;25-Aug-2023")</f>
        <v>127073;INF336L01HC7;-;HSBC Asia Pacific (Ex Japan) Dividend Yield Fund - Growth;17.5988;25-Aug-2023</v>
      </c>
      <c r="B9007" s="1"/>
    </row>
    <row r="9008">
      <c r="A9008" s="1" t="str">
        <f>IFERROR(__xludf.DUMMYFUNCTION("""COMPUTED_VALUE"""),"127071;INF336L01HF0;-;HSBC Asia Pacific (Ex Japan) Dividend Yield Fund - Growth Direct;18.8607;25-Aug-2023")</f>
        <v>127071;INF336L01HF0;-;HSBC Asia Pacific (Ex Japan) Dividend Yield Fund - Growth Direct;18.8607;25-Aug-2023</v>
      </c>
      <c r="B9008" s="1"/>
    </row>
    <row r="9009">
      <c r="A9009" s="1" t="str">
        <f>IFERROR(__xludf.DUMMYFUNCTION("""COMPUTED_VALUE"""),"127072;INF336L01HG8;INF336L01HH6;HSBC Asia Pacific IDCW Yield Fund Direct Plan IDCW;15.9367;25-Aug-2023")</f>
        <v>127072;INF336L01HG8;INF336L01HH6;HSBC Asia Pacific IDCW Yield Fund Direct Plan IDCW;15.9367;25-Aug-2023</v>
      </c>
      <c r="B9009" s="1"/>
    </row>
    <row r="9010">
      <c r="A9010" s="1" t="str">
        <f>IFERROR(__xludf.DUMMYFUNCTION("""COMPUTED_VALUE"""),"127070;INF336L01HD5;INF336L01HE3;HSBC Asia Pacific IDCW Yield Fund IDCW;16.1099;25-Aug-2023")</f>
        <v>127070;INF336L01HD5;INF336L01HE3;HSBC Asia Pacific IDCW Yield Fund IDCW;16.1099;25-Aug-2023</v>
      </c>
      <c r="B9010" s="1"/>
    </row>
    <row r="9011">
      <c r="A9011" s="1" t="str">
        <f>IFERROR(__xludf.DUMMYFUNCTION("""COMPUTED_VALUE"""),"120035;INF336L01BY4;-;HSBC Brazil Fund - Growth Direct;7.6366;25-Aug-2023")</f>
        <v>120035;INF336L01BY4;-;HSBC Brazil Fund - Growth Direct;7.6366;25-Aug-2023</v>
      </c>
      <c r="B9011" s="1"/>
    </row>
    <row r="9012">
      <c r="A9012" s="1" t="str">
        <f>IFERROR(__xludf.DUMMYFUNCTION("""COMPUTED_VALUE"""),"115117;INF336L01172;INF336L01180;HSBC Brazil Fund - IDCW;7.0555;25-Aug-2023")</f>
        <v>115117;INF336L01172;INF336L01180;HSBC Brazil Fund - IDCW;7.0555;25-Aug-2023</v>
      </c>
      <c r="B9012" s="1"/>
    </row>
    <row r="9013">
      <c r="A9013" s="1" t="str">
        <f>IFERROR(__xludf.DUMMYFUNCTION("""COMPUTED_VALUE"""),"120036;INF336L01BW8;INF336L01BX6;HSBC Brazil Fund - IDCW Direct Plan;7.6300;25-Aug-2023")</f>
        <v>120036;INF336L01BW8;INF336L01BX6;HSBC Brazil Fund - IDCW Direct Plan;7.6300;25-Aug-2023</v>
      </c>
      <c r="B9013" s="1"/>
    </row>
    <row r="9014">
      <c r="A9014" s="1" t="str">
        <f>IFERROR(__xludf.DUMMYFUNCTION("""COMPUTED_VALUE"""),"115116;INF336L01164;-;HSBC Brazil Fund-Growth;7.0555;25-Aug-2023")</f>
        <v>115116;INF336L01164;-;HSBC Brazil Fund-Growth;7.0555;25-Aug-2023</v>
      </c>
      <c r="B9014" s="1"/>
    </row>
    <row r="9015">
      <c r="A9015" s="1" t="str">
        <f>IFERROR(__xludf.DUMMYFUNCTION("""COMPUTED_VALUE"""),"120043;INF336L01CJ3;-;HSBC Global Emerging Market Fund - Growth Direct;17.7815;25-Aug-2023")</f>
        <v>120043;INF336L01CJ3;-;HSBC Global Emerging Market Fund - Growth Direct;17.7815;25-Aug-2023</v>
      </c>
      <c r="B9015" s="1"/>
    </row>
    <row r="9016">
      <c r="A9016" s="1" t="str">
        <f>IFERROR(__xludf.DUMMYFUNCTION("""COMPUTED_VALUE"""),"107988;INF336L01446;-;HSBC Global Emerging Markets Fund - Growth;16.4730;25-Aug-2023")</f>
        <v>107988;INF336L01446;-;HSBC Global Emerging Markets Fund - Growth;16.4730;25-Aug-2023</v>
      </c>
      <c r="B9016" s="1"/>
    </row>
    <row r="9017">
      <c r="A9017" s="1" t="str">
        <f>IFERROR(__xludf.DUMMYFUNCTION("""COMPUTED_VALUE"""),"107989;INF336L01438;INF336L01420;HSBC Global Emerging Markets Fund - IDCW;14.6417;25-Aug-2023")</f>
        <v>107989;INF336L01438;INF336L01420;HSBC Global Emerging Markets Fund - IDCW;14.6417;25-Aug-2023</v>
      </c>
      <c r="B9017" s="1"/>
    </row>
    <row r="9018">
      <c r="A9018" s="1" t="str">
        <f>IFERROR(__xludf.DUMMYFUNCTION("""COMPUTED_VALUE"""),"120044;INF336L01CH7;INF336L01CI5;HSBC Global Emerging Markets Fund - IDCW Direct Plan;15.7861;25-Aug-2023")</f>
        <v>120044;INF336L01CH7;INF336L01CI5;HSBC Global Emerging Markets Fund - IDCW Direct Plan;15.7861;25-Aug-2023</v>
      </c>
      <c r="B9018" s="1"/>
    </row>
    <row r="9019">
      <c r="A9019" s="1" t="str">
        <f>IFERROR(__xludf.DUMMYFUNCTION("""COMPUTED_VALUE"""),"148738;INF336L01PW8;INF336L01PX6;HSBC Global Equity  Climate Change Fund of Fund Direct Plan IDCW;9.0645;25-Aug-2023")</f>
        <v>148738;INF336L01PW8;INF336L01PX6;HSBC Global Equity  Climate Change Fund of Fund Direct Plan IDCW;9.0645;25-Aug-2023</v>
      </c>
      <c r="B9019" s="1"/>
    </row>
    <row r="9020">
      <c r="A9020" s="1" t="str">
        <f>IFERROR(__xludf.DUMMYFUNCTION("""COMPUTED_VALUE"""),"148737;INF336L01PV0;-;HSBC Global Equity Climate Change Fund of Fund - Direct - Growth;9.0645;25-Aug-2023")</f>
        <v>148737;INF336L01PV0;-;HSBC Global Equity Climate Change Fund of Fund - Direct - Growth;9.0645;25-Aug-2023</v>
      </c>
      <c r="B9020" s="1"/>
    </row>
    <row r="9021">
      <c r="A9021" s="1" t="str">
        <f>IFERROR(__xludf.DUMMYFUNCTION("""COMPUTED_VALUE"""),"148735;INF336L01PY4;-;HSBC Global Equity Climate Change Fund of Fund - Regular - Growth;8.8926;25-Aug-2023")</f>
        <v>148735;INF336L01PY4;-;HSBC Global Equity Climate Change Fund of Fund - Regular - Growth;8.8926;25-Aug-2023</v>
      </c>
      <c r="B9021" s="1"/>
    </row>
    <row r="9022">
      <c r="A9022" s="1" t="str">
        <f>IFERROR(__xludf.DUMMYFUNCTION("""COMPUTED_VALUE"""),"148736;INF336L01PZ1;INF336L01QA2;HSBC Global Equity Climate Change Fund of Fund IDCW;8.8926;25-Aug-2023")</f>
        <v>148736;INF336L01PZ1;INF336L01QA2;HSBC Global Equity Climate Change Fund of Fund IDCW;8.8926;25-Aug-2023</v>
      </c>
      <c r="B9022" s="1"/>
    </row>
    <row r="9023">
      <c r="A9023" s="1"/>
      <c r="B9023" s="1"/>
    </row>
    <row r="9024">
      <c r="A9024" s="1" t="str">
        <f>IFERROR(__xludf.DUMMYFUNCTION("""COMPUTED_VALUE"""),"ICICI Prudential Mutual Fund")</f>
        <v>ICICI Prudential Mutual Fund</v>
      </c>
      <c r="B9024" s="1"/>
    </row>
    <row r="9025">
      <c r="A9025" s="1"/>
      <c r="B9025" s="1"/>
    </row>
    <row r="9026">
      <c r="A9026" s="1" t="str">
        <f>IFERROR(__xludf.DUMMYFUNCTION("""COMPUTED_VALUE"""),"123654;INF109KA1CE0;-;ICICI Prudential Global Stable Equity Fund (FOF) - Direct - Growth;24.39;25-Aug-2023")</f>
        <v>123654;INF109KA1CE0;-;ICICI Prudential Global Stable Equity Fund (FOF) - Direct - Growth;24.39;25-Aug-2023</v>
      </c>
      <c r="B9026" s="1"/>
    </row>
    <row r="9027">
      <c r="A9027" s="1" t="str">
        <f>IFERROR(__xludf.DUMMYFUNCTION("""COMPUTED_VALUE"""),"123652;INF109KA1CG5;INF109KA1CF7;ICICI Prudential Global Stable Equity Fund (FOF) - Direct - IDCW;24.40;25-Aug-2023")</f>
        <v>123652;INF109KA1CG5;INF109KA1CF7;ICICI Prudential Global Stable Equity Fund (FOF) - Direct - IDCW;24.40;25-Aug-2023</v>
      </c>
      <c r="B9027" s="1"/>
    </row>
    <row r="9028">
      <c r="A9028" s="1" t="str">
        <f>IFERROR(__xludf.DUMMYFUNCTION("""COMPUTED_VALUE"""),"123651;INF109KA1CB6;-;ICICI Prudential Global Stable Equity Fund (FOF) - Growth;22.89;25-Aug-2023")</f>
        <v>123651;INF109KA1CB6;-;ICICI Prudential Global Stable Equity Fund (FOF) - Growth;22.89;25-Aug-2023</v>
      </c>
      <c r="B9028" s="1"/>
    </row>
    <row r="9029">
      <c r="A9029" s="1" t="str">
        <f>IFERROR(__xludf.DUMMYFUNCTION("""COMPUTED_VALUE"""),"123653;INF109KA1CD2;INF109KA1CC4;ICICI Prudential Global Stable Equity Fund (FOF) - IDCW;22.89;25-Aug-2023")</f>
        <v>123653;INF109KA1CD2;INF109KA1CC4;ICICI Prudential Global Stable Equity Fund (FOF) - IDCW;22.89;25-Aug-2023</v>
      </c>
      <c r="B9029" s="1"/>
    </row>
    <row r="9030">
      <c r="A9030" s="1" t="str">
        <f>IFERROR(__xludf.DUMMYFUNCTION("""COMPUTED_VALUE"""),"149455;INF109KC1Z55;-;ICICI Prudential Strategic Metal and Energy Equity Fund of Fund - Direct Plan Growth;13.2662;25-Aug-2023")</f>
        <v>149455;INF109KC1Z55;-;ICICI Prudential Strategic Metal and Energy Equity Fund of Fund - Direct Plan Growth;13.2662;25-Aug-2023</v>
      </c>
      <c r="B9030" s="1"/>
    </row>
    <row r="9031">
      <c r="A9031" s="1" t="str">
        <f>IFERROR(__xludf.DUMMYFUNCTION("""COMPUTED_VALUE"""),"149458;INF109KC1Z63;INF109KC1Z71;ICICI Prudential Strategic Metal and Energy Equity Fund of Fund - Direct Plan IDCW;13.2666;25-Aug-2023")</f>
        <v>149458;INF109KC1Z63;INF109KC1Z71;ICICI Prudential Strategic Metal and Energy Equity Fund of Fund - Direct Plan IDCW;13.2666;25-Aug-2023</v>
      </c>
      <c r="B9031" s="1"/>
    </row>
    <row r="9032">
      <c r="A9032" s="1" t="str">
        <f>IFERROR(__xludf.DUMMYFUNCTION("""COMPUTED_VALUE"""),"149456;INF109KC1Z22;-;ICICI Prudential Strategic Metal and Energy Equity Fund of Fund - Growth;13.0518;25-Aug-2023")</f>
        <v>149456;INF109KC1Z22;-;ICICI Prudential Strategic Metal and Energy Equity Fund of Fund - Growth;13.0518;25-Aug-2023</v>
      </c>
      <c r="B9032" s="1"/>
    </row>
    <row r="9033">
      <c r="A9033" s="1" t="str">
        <f>IFERROR(__xludf.DUMMYFUNCTION("""COMPUTED_VALUE"""),"149457;INF109KC1Z30;INF109KC1Z48;ICICI Prudential Strategic Metal and Energy Equity Fund of Fund - IDCW;13.0514;25-Aug-2023")</f>
        <v>149457;INF109KC1Z30;INF109KC1Z48;ICICI Prudential Strategic Metal and Energy Equity Fund of Fund - IDCW;13.0514;25-Aug-2023</v>
      </c>
      <c r="B9033" s="1"/>
    </row>
    <row r="9034">
      <c r="A9034" s="1"/>
      <c r="B9034" s="1"/>
    </row>
    <row r="9035">
      <c r="A9035" s="1" t="str">
        <f>IFERROR(__xludf.DUMMYFUNCTION("""COMPUTED_VALUE"""),"Invesco Mutual Fund")</f>
        <v>Invesco Mutual Fund</v>
      </c>
      <c r="B9035" s="1"/>
    </row>
    <row r="9036">
      <c r="A9036" s="1"/>
      <c r="B9036" s="1"/>
    </row>
    <row r="9037">
      <c r="A9037" s="1" t="str">
        <f>IFERROR(__xludf.DUMMYFUNCTION("""COMPUTED_VALUE"""),"149961;INF205KA1585;-;Invesco India - Invesco EQQQ Nasdaq-100 ETF Fund of Fund - Direct Plan - Growth;11.4737;25-Aug-2023")</f>
        <v>149961;INF205KA1585;-;Invesco India - Invesco EQQQ Nasdaq-100 ETF Fund of Fund - Direct Plan - Growth;11.4737;25-Aug-2023</v>
      </c>
      <c r="B9037" s="1"/>
    </row>
    <row r="9038">
      <c r="A9038" s="1" t="str">
        <f>IFERROR(__xludf.DUMMYFUNCTION("""COMPUTED_VALUE"""),"149960;INF205KA1577;-;Invesco India - Invesco EQQQ Nasdaq-100 ETF Fund of Fund - Regular Plan - Growth;11.4343;25-Aug-2023")</f>
        <v>149960;INF205KA1577;-;Invesco India - Invesco EQQQ Nasdaq-100 ETF Fund of Fund - Regular Plan - Growth;11.4343;25-Aug-2023</v>
      </c>
      <c r="B9038" s="1"/>
    </row>
    <row r="9039">
      <c r="A9039" s="1" t="str">
        <f>IFERROR(__xludf.DUMMYFUNCTION("""COMPUTED_VALUE"""),"148614;INF205KA1270;-;Invesco India - Invesco Global Consumer Trends Fund of Fund - Direct Plan - Growth;6.9407;25-Aug-2023")</f>
        <v>148614;INF205KA1270;-;Invesco India - Invesco Global Consumer Trends Fund of Fund - Direct Plan - Growth;6.9407;25-Aug-2023</v>
      </c>
      <c r="B9039" s="1"/>
    </row>
    <row r="9040">
      <c r="A9040" s="1" t="str">
        <f>IFERROR(__xludf.DUMMYFUNCTION("""COMPUTED_VALUE"""),"148615;INF205KA1262;INF205KA1288;Invesco India - Invesco Global Consumer Trends Fund of Fund - Direct Plan - IDCW (Payout / Reinvestment);6.9417;25-Aug-2023")</f>
        <v>148615;INF205KA1262;INF205KA1288;Invesco India - Invesco Global Consumer Trends Fund of Fund - Direct Plan - IDCW (Payout / Reinvestment);6.9417;25-Aug-2023</v>
      </c>
      <c r="B9040" s="1"/>
    </row>
    <row r="9041">
      <c r="A9041" s="1" t="str">
        <f>IFERROR(__xludf.DUMMYFUNCTION("""COMPUTED_VALUE"""),"148613;INF205KA1247;-;Invesco India - Invesco Global Consumer Trends Fund of Fund - Growth;6.7442;25-Aug-2023")</f>
        <v>148613;INF205KA1247;-;Invesco India - Invesco Global Consumer Trends Fund of Fund - Growth;6.7442;25-Aug-2023</v>
      </c>
      <c r="B9041" s="1"/>
    </row>
    <row r="9042">
      <c r="A9042" s="1" t="str">
        <f>IFERROR(__xludf.DUMMYFUNCTION("""COMPUTED_VALUE"""),"148612;INF205KA1239;INF205KA1254;Invesco India - Invesco Global Consumer Trends Fund of Fund - IDCW (Payout / Reinvestment);6.7439;25-Aug-2023")</f>
        <v>148612;INF205KA1239;INF205KA1254;Invesco India - Invesco Global Consumer Trends Fund of Fund - IDCW (Payout / Reinvestment);6.7439;25-Aug-2023</v>
      </c>
      <c r="B9042" s="1"/>
    </row>
    <row r="9043">
      <c r="A9043" s="1" t="str">
        <f>IFERROR(__xludf.DUMMYFUNCTION("""COMPUTED_VALUE"""),"129188;INF205K01B49;-;Invesco India - Invesco Global Equity Income Fund of Fund - Direct Plan - Growth;22.3868;25-Aug-2023")</f>
        <v>129188;INF205K01B49;-;Invesco India - Invesco Global Equity Income Fund of Fund - Direct Plan - Growth;22.3868;25-Aug-2023</v>
      </c>
      <c r="B9043" s="1"/>
    </row>
    <row r="9044">
      <c r="A9044" s="1" t="str">
        <f>IFERROR(__xludf.DUMMYFUNCTION("""COMPUTED_VALUE"""),"129190;INF205K01B56;INF205K01B64;Invesco India - Invesco Global Equity Income Fund of Fund - Direct Plan - IDCW (Payout / Reinvestment);22.1458;25-Aug-2023")</f>
        <v>129190;INF205K01B56;INF205K01B64;Invesco India - Invesco Global Equity Income Fund of Fund - Direct Plan - IDCW (Payout / Reinvestment);22.1458;25-Aug-2023</v>
      </c>
      <c r="B9044" s="1"/>
    </row>
    <row r="9045">
      <c r="A9045" s="1" t="str">
        <f>IFERROR(__xludf.DUMMYFUNCTION("""COMPUTED_VALUE"""),"129187;INF205K01B15;-;Invesco India - Invesco Global Equity Income Fund of Fund - Regular Plan - Growth;20.4229;25-Aug-2023")</f>
        <v>129187;INF205K01B15;-;Invesco India - Invesco Global Equity Income Fund of Fund - Regular Plan - Growth;20.4229;25-Aug-2023</v>
      </c>
      <c r="B9045" s="1"/>
    </row>
    <row r="9046">
      <c r="A9046" s="1" t="str">
        <f>IFERROR(__xludf.DUMMYFUNCTION("""COMPUTED_VALUE"""),"129189;INF205K01B23;INF205K01B31;Invesco India - Invesco Global Equity Income Fund of Fund - Regular Plan - IDCW (Payout / Reinvestment);20.3932;25-Aug-2023")</f>
        <v>129189;INF205K01B23;INF205K01B31;Invesco India - Invesco Global Equity Income Fund of Fund - Regular Plan - IDCW (Payout / Reinvestment);20.3932;25-Aug-2023</v>
      </c>
      <c r="B9046" s="1"/>
    </row>
    <row r="9047">
      <c r="A9047" s="1" t="str">
        <f>IFERROR(__xludf.DUMMYFUNCTION("""COMPUTED_VALUE"""),"126353;INF205K01A24;-;Invesco India - Invesco Pan European Equity Fund of Fund - Direct Plan - Growth Option;16.3732;25-Aug-2023")</f>
        <v>126353;INF205K01A24;-;Invesco India - Invesco Pan European Equity Fund of Fund - Direct Plan - Growth Option;16.3732;25-Aug-2023</v>
      </c>
      <c r="B9047" s="1"/>
    </row>
    <row r="9048">
      <c r="A9048" s="1" t="str">
        <f>IFERROR(__xludf.DUMMYFUNCTION("""COMPUTED_VALUE"""),"126352;INF205K01A32;INF205K01A40;Invesco India - Invesco Pan European Equity Fund of Fund - Direct Plan - IDCW (Payout / Reinvestment);16.3313;25-Aug-2023")</f>
        <v>126352;INF205K01A32;INF205K01A40;Invesco India - Invesco Pan European Equity Fund of Fund - Direct Plan - IDCW (Payout / Reinvestment);16.3313;25-Aug-2023</v>
      </c>
      <c r="B9048" s="1"/>
    </row>
    <row r="9049">
      <c r="A9049" s="1" t="str">
        <f>IFERROR(__xludf.DUMMYFUNCTION("""COMPUTED_VALUE"""),"126351;INF205K01ZZ9;-;Invesco India - Invesco Pan European Equity Fund of Fund - Regular Plan - Growth Option;15.1465;25-Aug-2023")</f>
        <v>126351;INF205K01ZZ9;-;Invesco India - Invesco Pan European Equity Fund of Fund - Regular Plan - Growth Option;15.1465;25-Aug-2023</v>
      </c>
      <c r="B9049" s="1"/>
    </row>
    <row r="9050">
      <c r="A9050" s="1" t="str">
        <f>IFERROR(__xludf.DUMMYFUNCTION("""COMPUTED_VALUE"""),"126350;INF205K01A08;INF205K01A16;Invesco India - Invesco Pan European Equity Fund of Fund - Regular Plan - IDCW (Payout / Reinvestment);15.1461;25-Aug-2023")</f>
        <v>126350;INF205K01A08;INF205K01A16;Invesco India - Invesco Pan European Equity Fund of Fund - Regular Plan - IDCW (Payout / Reinvestment);15.1461;25-Aug-2023</v>
      </c>
      <c r="B9050" s="1"/>
    </row>
    <row r="9051">
      <c r="A9051" s="1"/>
      <c r="B9051" s="1"/>
    </row>
    <row r="9052">
      <c r="A9052" s="1" t="str">
        <f>IFERROR(__xludf.DUMMYFUNCTION("""COMPUTED_VALUE"""),"Kotak Mahindra Mutual Fund")</f>
        <v>Kotak Mahindra Mutual Fund</v>
      </c>
      <c r="B9052" s="1"/>
    </row>
    <row r="9053">
      <c r="A9053" s="1"/>
      <c r="B9053" s="1"/>
    </row>
    <row r="9054">
      <c r="A9054" s="1" t="str">
        <f>IFERROR(__xludf.DUMMYFUNCTION("""COMPUTED_VALUE"""),"106441;INF174K01DV3;-;Kotak Global Emerging Market Fund - Growth;19.813;25-Aug-2023")</f>
        <v>106441;INF174K01DV3;-;Kotak Global Emerging Market Fund - Growth;19.813;25-Aug-2023</v>
      </c>
      <c r="B9054" s="1"/>
    </row>
    <row r="9055">
      <c r="A9055" s="1" t="str">
        <f>IFERROR(__xludf.DUMMYFUNCTION("""COMPUTED_VALUE"""),"119779;INF174K01LW4;-;Kotak Global Emerging Market Fund - Growth - Direct;21.301;25-Aug-2023")</f>
        <v>119779;INF174K01LW4;-;Kotak Global Emerging Market Fund - Growth - Direct;21.301;25-Aug-2023</v>
      </c>
      <c r="B9055" s="1"/>
    </row>
    <row r="9056">
      <c r="A9056" s="1" t="str">
        <f>IFERROR(__xludf.DUMMYFUNCTION("""COMPUTED_VALUE"""),"106442;INF174K01DX9;INF174K01DW1;Kotak Global Emerging Market Fund - Payout of Income Distribution cum capital withdrawal option;19.814;25-Aug-2023")</f>
        <v>106442;INF174K01DX9;INF174K01DW1;Kotak Global Emerging Market Fund - Payout of Income Distribution cum capital withdrawal option;19.814;25-Aug-2023</v>
      </c>
      <c r="B9056" s="1"/>
    </row>
    <row r="9057">
      <c r="A9057" s="1" t="str">
        <f>IFERROR(__xludf.DUMMYFUNCTION("""COMPUTED_VALUE"""),"119778;INF174K01LX2;-;Kotak Global Emerging Market Fund - Payout of Income Distribution cum capital withdrawal option - Direct;21.39;25-Aug-2023")</f>
        <v>119778;INF174K01LX2;-;Kotak Global Emerging Market Fund - Payout of Income Distribution cum capital withdrawal option - Direct;21.39;25-Aug-2023</v>
      </c>
      <c r="B9057" s="1"/>
    </row>
    <row r="9058">
      <c r="A9058" s="1" t="str">
        <f>IFERROR(__xludf.DUMMYFUNCTION("""COMPUTED_VALUE"""),"149056;INF174KA1HD1;-;Kotak Global Innovation Fund of Fund - Regular Plan-Growth;7.9318;25-Aug-2023")</f>
        <v>149056;INF174KA1HD1;-;Kotak Global Innovation Fund of Fund - Regular Plan-Growth;7.9318;25-Aug-2023</v>
      </c>
      <c r="B9058" s="1"/>
    </row>
    <row r="9059">
      <c r="A9059" s="1" t="str">
        <f>IFERROR(__xludf.DUMMYFUNCTION("""COMPUTED_VALUE"""),"149060;INF174KA1HH2;INF174KA1HI0;Kotak Global Innovation Fund of Fund- Direct Plan - IDCW Option;8.1438;25-Aug-2023")</f>
        <v>149060;INF174KA1HH2;INF174KA1HI0;Kotak Global Innovation Fund of Fund- Direct Plan - IDCW Option;8.1438;25-Aug-2023</v>
      </c>
      <c r="B9059" s="1"/>
    </row>
    <row r="9060">
      <c r="A9060" s="1" t="str">
        <f>IFERROR(__xludf.DUMMYFUNCTION("""COMPUTED_VALUE"""),"149059;INF174KA1HG4;-;Kotak Global Innovation Fund of Fund- Direct Plan -Growth;8.144;25-Aug-2023")</f>
        <v>149059;INF174KA1HG4;-;Kotak Global Innovation Fund of Fund- Direct Plan -Growth;8.144;25-Aug-2023</v>
      </c>
      <c r="B9060" s="1"/>
    </row>
    <row r="9061">
      <c r="A9061" s="1" t="str">
        <f>IFERROR(__xludf.DUMMYFUNCTION("""COMPUTED_VALUE"""),"149058;INF174KA1HE9;INF174KA1HF6;Kotak Global Innovation Fund of Fund- Regular Plan -IDCW Option;7.932;25-Aug-2023")</f>
        <v>149058;INF174KA1HE9;INF174KA1HF6;Kotak Global Innovation Fund of Fund- Regular Plan -IDCW Option;7.932;25-Aug-2023</v>
      </c>
      <c r="B9061" s="1"/>
    </row>
    <row r="9062">
      <c r="A9062" s="1" t="str">
        <f>IFERROR(__xludf.DUMMYFUNCTION("""COMPUTED_VALUE"""),"148646;INF174KA1FO2;-;Kotak International REIT FOF - Direct Plan - Growth;9.1183;25-Aug-2023")</f>
        <v>148646;INF174KA1FO2;-;Kotak International REIT FOF - Direct Plan - Growth;9.1183;25-Aug-2023</v>
      </c>
      <c r="B9062" s="1"/>
    </row>
    <row r="9063">
      <c r="A9063" s="1" t="str">
        <f>IFERROR(__xludf.DUMMYFUNCTION("""COMPUTED_VALUE"""),"148649;INF174KA1FN4;-;Kotak International REIT FOF - Direct Plan - Payout of Income Distribution cum capital withdrawal option;9.1182;25-Aug-2023")</f>
        <v>148649;INF174KA1FN4;-;Kotak International REIT FOF - Direct Plan - Payout of Income Distribution cum capital withdrawal option;9.1182;25-Aug-2023</v>
      </c>
      <c r="B9063" s="1"/>
    </row>
    <row r="9064">
      <c r="A9064" s="1" t="str">
        <f>IFERROR(__xludf.DUMMYFUNCTION("""COMPUTED_VALUE"""),"148645;INF174KA1FL8;-;Kotak International REIT FOF - Regular Plan - Growth;8.8969;25-Aug-2023")</f>
        <v>148645;INF174KA1FL8;-;Kotak International REIT FOF - Regular Plan - Growth;8.8969;25-Aug-2023</v>
      </c>
      <c r="B9064" s="1"/>
    </row>
    <row r="9065">
      <c r="A9065" s="1" t="str">
        <f>IFERROR(__xludf.DUMMYFUNCTION("""COMPUTED_VALUE"""),"148647;INF174KA1FK0;-;Kotak International REIT FOF - Regular Plan - Payout of Income Distribution cum capital withdrawal option;8.8969;25-Aug-2023")</f>
        <v>148647;INF174KA1FK0;-;Kotak International REIT FOF - Regular Plan - Payout of Income Distribution cum capital withdrawal option;8.8969;25-Aug-2023</v>
      </c>
      <c r="B9065" s="1"/>
    </row>
    <row r="9066">
      <c r="A9066" s="1" t="str">
        <f>IFERROR(__xludf.DUMMYFUNCTION("""COMPUTED_VALUE"""),"148662;INF174KA1FQ7;-;Kotak NASDAQ 100 Fund of Fund - Direct Plan - Growth;12.4373;25-Aug-2023")</f>
        <v>148662;INF174KA1FQ7;-;Kotak NASDAQ 100 Fund of Fund - Direct Plan - Growth;12.4373;25-Aug-2023</v>
      </c>
      <c r="B9066" s="1"/>
    </row>
    <row r="9067">
      <c r="A9067" s="1" t="str">
        <f>IFERROR(__xludf.DUMMYFUNCTION("""COMPUTED_VALUE"""),"148661;INF174KA1FR5;-;Kotak NASDAQ 100 Fund of Fund - Regular Plan - Growth;12.3095;25-Aug-2023")</f>
        <v>148661;INF174KA1FR5;-;Kotak NASDAQ 100 Fund of Fund - Regular Plan - Growth;12.3095;25-Aug-2023</v>
      </c>
      <c r="B9067" s="1"/>
    </row>
    <row r="9068">
      <c r="A9068" s="1" t="str">
        <f>IFERROR(__xludf.DUMMYFUNCTION("""COMPUTED_VALUE"""),"133832;INF178L01CM3;INF178L01CN1;Kotak US Equity Fund - Direct Plan - Dividend option;20.129;25-Feb-2020")</f>
        <v>133832;INF178L01CM3;INF178L01CN1;Kotak US Equity Fund - Direct Plan - Dividend option;20.129;25-Feb-2020</v>
      </c>
      <c r="B9068" s="1"/>
    </row>
    <row r="9069">
      <c r="A9069" s="1" t="str">
        <f>IFERROR(__xludf.DUMMYFUNCTION("""COMPUTED_VALUE"""),"133831;INF178L01CL5;-;Kotak US Equity Fund - Direct Plan - Growth option;20.131;25-Feb-2020")</f>
        <v>133831;INF178L01CL5;-;Kotak US Equity Fund - Direct Plan - Growth option;20.131;25-Feb-2020</v>
      </c>
      <c r="B9069" s="1"/>
    </row>
    <row r="9070">
      <c r="A9070" s="1" t="str">
        <f>IFERROR(__xludf.DUMMYFUNCTION("""COMPUTED_VALUE"""),"133830;INF178L01CJ9;INF178L01CK7;Kotak US Equity Fund - Standard Plan - Dividend option;19.213;25-Feb-2020")</f>
        <v>133830;INF178L01CJ9;INF178L01CK7;Kotak US Equity Fund - Standard Plan - Dividend option;19.213;25-Feb-2020</v>
      </c>
      <c r="B9070" s="1"/>
    </row>
    <row r="9071">
      <c r="A9071" s="1" t="str">
        <f>IFERROR(__xludf.DUMMYFUNCTION("""COMPUTED_VALUE"""),"133833;INF178L01CI1;-;Kotak US Equity Fund - Standard Plan - Growth option;19.216;25-Feb-2020")</f>
        <v>133833;INF178L01CI1;-;Kotak US Equity Fund - Standard Plan - Growth option;19.216;25-Feb-2020</v>
      </c>
      <c r="B9071" s="1"/>
    </row>
    <row r="9072">
      <c r="A9072" s="1" t="str">
        <f>IFERROR(__xludf.DUMMYFUNCTION("""COMPUTED_VALUE"""),"133814;INF178L01145;INF178L01137;Kotak World Gold Fund - Standard Plan - Dividend Option;9.28;25-Feb-2020")</f>
        <v>133814;INF178L01145;INF178L01137;Kotak World Gold Fund - Standard Plan - Dividend Option;9.28;25-Feb-2020</v>
      </c>
      <c r="B9072" s="1"/>
    </row>
    <row r="9073">
      <c r="A9073" s="1" t="str">
        <f>IFERROR(__xludf.DUMMYFUNCTION("""COMPUTED_VALUE"""),"133815;INF178L01152;-;Kotak World Gold Fund - Standard Plan - Growth Option;11.199;25-Feb-2020")</f>
        <v>133815;INF178L01152;-;Kotak World Gold Fund - Standard Plan - Growth Option;11.199;25-Feb-2020</v>
      </c>
      <c r="B9073" s="1"/>
    </row>
    <row r="9074">
      <c r="A9074" s="1" t="str">
        <f>IFERROR(__xludf.DUMMYFUNCTION("""COMPUTED_VALUE"""),"133817;INF178L01AM7;INF178L01AN5;Kotak World Gold Fund- Direct Plan- Dividend Option;9.78;25-Feb-2020")</f>
        <v>133817;INF178L01AM7;INF178L01AN5;Kotak World Gold Fund- Direct Plan- Dividend Option;9.78;25-Feb-2020</v>
      </c>
      <c r="B9074" s="1"/>
    </row>
    <row r="9075">
      <c r="A9075" s="1" t="str">
        <f>IFERROR(__xludf.DUMMYFUNCTION("""COMPUTED_VALUE"""),"133816;INF178L01AO3;-;Kotak World Gold Fund- Direct Plan- Growth Option;11.759;25-Feb-2020")</f>
        <v>133816;INF178L01AO3;-;Kotak World Gold Fund- Direct Plan- Growth Option;11.759;25-Feb-2020</v>
      </c>
      <c r="B9075" s="1"/>
    </row>
    <row r="9076">
      <c r="A9076" s="1"/>
      <c r="B9076" s="1"/>
    </row>
    <row r="9077">
      <c r="A9077" s="1" t="str">
        <f>IFERROR(__xludf.DUMMYFUNCTION("""COMPUTED_VALUE"""),"Mahindra Manulife Mutual Fund")</f>
        <v>Mahindra Manulife Mutual Fund</v>
      </c>
      <c r="B9077" s="1"/>
    </row>
    <row r="9078">
      <c r="A9078" s="1"/>
      <c r="B9078" s="1"/>
    </row>
    <row r="9079">
      <c r="A9079" s="1" t="str">
        <f>IFERROR(__xludf.DUMMYFUNCTION("""COMPUTED_VALUE"""),"149230;INF174V01AY0;-;Mahindra Manulife Asia Pacific REITs FOF - Direct Plan - Growth;8.3514;25-Aug-2023")</f>
        <v>149230;INF174V01AY0;-;Mahindra Manulife Asia Pacific REITs FOF - Direct Plan - Growth;8.3514;25-Aug-2023</v>
      </c>
      <c r="B9079" s="1"/>
    </row>
    <row r="9080">
      <c r="A9080" s="1" t="str">
        <f>IFERROR(__xludf.DUMMYFUNCTION("""COMPUTED_VALUE"""),"149231;INF174V01BA8;INF174V01AZ7;Mahindra Manulife Asia Pacific REITs FOF - Direct Plan - IDCW;8.3514;25-Aug-2023")</f>
        <v>149231;INF174V01BA8;INF174V01AZ7;Mahindra Manulife Asia Pacific REITs FOF - Direct Plan - IDCW;8.3514;25-Aug-2023</v>
      </c>
      <c r="B9080" s="1"/>
    </row>
    <row r="9081">
      <c r="A9081" s="1" t="str">
        <f>IFERROR(__xludf.DUMMYFUNCTION("""COMPUTED_VALUE"""),"149228;INF174V01AV6;-;Mahindra Manulife Asia Pacific REITs FOF - Regular Plan - Growth;8.1950;25-Aug-2023")</f>
        <v>149228;INF174V01AV6;-;Mahindra Manulife Asia Pacific REITs FOF - Regular Plan - Growth;8.1950;25-Aug-2023</v>
      </c>
      <c r="B9081" s="1"/>
    </row>
    <row r="9082">
      <c r="A9082" s="1" t="str">
        <f>IFERROR(__xludf.DUMMYFUNCTION("""COMPUTED_VALUE"""),"149229;INF174V01AX2;INF174V01AW4;Mahindra Manulife Asia Pacific REITs FOF - Regular Plan - IDCW;8.1949;25-Aug-2023")</f>
        <v>149229;INF174V01AX2;INF174V01AW4;Mahindra Manulife Asia Pacific REITs FOF - Regular Plan - IDCW;8.1949;25-Aug-2023</v>
      </c>
      <c r="B9082" s="1"/>
    </row>
    <row r="9083">
      <c r="A9083" s="1"/>
      <c r="B9083" s="1"/>
    </row>
    <row r="9084">
      <c r="A9084" s="1" t="str">
        <f>IFERROR(__xludf.DUMMYFUNCTION("""COMPUTED_VALUE"""),"Mirae Asset Mutual Fund")</f>
        <v>Mirae Asset Mutual Fund</v>
      </c>
      <c r="B9084" s="1"/>
    </row>
    <row r="9085">
      <c r="A9085" s="1"/>
      <c r="B9085" s="1"/>
    </row>
    <row r="9086">
      <c r="A9086" s="1" t="str">
        <f>IFERROR(__xludf.DUMMYFUNCTION("""COMPUTED_VALUE"""),"150594;INF769K01IP1;-;Mirae Asset Global Electric &amp; Autonomous Vehicles ETFs Fund of Fund - Regular Plan - Growth;9.853;25-Aug-2023")</f>
        <v>150594;INF769K01IP1;-;Mirae Asset Global Electric &amp; Autonomous Vehicles ETFs Fund of Fund - Regular Plan - Growth;9.853;25-Aug-2023</v>
      </c>
      <c r="B9086" s="1"/>
    </row>
    <row r="9087">
      <c r="A9087" s="1" t="str">
        <f>IFERROR(__xludf.DUMMYFUNCTION("""COMPUTED_VALUE"""),"150595;INF769K01IQ9;-;Mirae Asset Global Electric &amp; Autonomous Vehicles ETFs Fund of Fund- Direct Plan - Growth;9.891;25-Aug-2023")</f>
        <v>150595;INF769K01IQ9;-;Mirae Asset Global Electric &amp; Autonomous Vehicles ETFs Fund of Fund- Direct Plan - Growth;9.891;25-Aug-2023</v>
      </c>
      <c r="B9087" s="1"/>
    </row>
    <row r="9088">
      <c r="A9088" s="1" t="str">
        <f>IFERROR(__xludf.DUMMYFUNCTION("""COMPUTED_VALUE"""),"150597;INF769K01IS5;-;Mirae Asset Global X Artificial Intelligence &amp; Technology ETF Fund of Fund - Direct Plan- Growth;13.406;25-Aug-2023")</f>
        <v>150597;INF769K01IS5;-;Mirae Asset Global X Artificial Intelligence &amp; Technology ETF Fund of Fund - Direct Plan- Growth;13.406;25-Aug-2023</v>
      </c>
      <c r="B9088" s="1"/>
    </row>
    <row r="9089">
      <c r="A9089" s="1" t="str">
        <f>IFERROR(__xludf.DUMMYFUNCTION("""COMPUTED_VALUE"""),"150596;INF769K01IR7;-;Mirae Asset Global X Artificial Intelligence &amp; Technology ETF Fund of Fund - Regular Plan - Growth;13.378;25-Aug-2023")</f>
        <v>150596;INF769K01IR7;-;Mirae Asset Global X Artificial Intelligence &amp; Technology ETF Fund of Fund - Regular Plan - Growth;13.378;25-Aug-2023</v>
      </c>
      <c r="B9089" s="1"/>
    </row>
    <row r="9090">
      <c r="A9090" s="1"/>
      <c r="B9090" s="1"/>
    </row>
    <row r="9091">
      <c r="A9091" s="1" t="str">
        <f>IFERROR(__xludf.DUMMYFUNCTION("""COMPUTED_VALUE"""),"Navi Mutual Fund")</f>
        <v>Navi Mutual Fund</v>
      </c>
      <c r="B9091" s="1"/>
    </row>
    <row r="9092">
      <c r="A9092" s="1"/>
      <c r="B9092" s="1"/>
    </row>
    <row r="9093">
      <c r="A9093" s="1" t="str">
        <f>IFERROR(__xludf.DUMMYFUNCTION("""COMPUTED_VALUE"""),"149910;INF959L01FZ1;-;Navi NASDAQ 100 Fund of Fund- Direct- Growth;10.965;25-Aug-2023")</f>
        <v>149910;INF959L01FZ1;-;Navi NASDAQ 100 Fund of Fund- Direct- Growth;10.965;25-Aug-2023</v>
      </c>
      <c r="B9093" s="1"/>
    </row>
    <row r="9094">
      <c r="A9094" s="1" t="str">
        <f>IFERROR(__xludf.DUMMYFUNCTION("""COMPUTED_VALUE"""),"149911;INF959L01GA2;-;Navi NASDAQ 100 Fund of Fund- Regular- Growth;10.9298;25-Aug-2023")</f>
        <v>149911;INF959L01GA2;-;Navi NASDAQ 100 Fund of Fund- Regular- Growth;10.9298;25-Aug-2023</v>
      </c>
      <c r="B9094" s="1"/>
    </row>
    <row r="9095">
      <c r="A9095" s="1" t="str">
        <f>IFERROR(__xludf.DUMMYFUNCTION("""COMPUTED_VALUE"""),"149830;INF959L01FV0;-;Navi US Total Stock Market Fund of Fund- Direct Plan- Growth;11.2459;25-Aug-2023")</f>
        <v>149830;INF959L01FV0;-;Navi US Total Stock Market Fund of Fund- Direct Plan- Growth;11.2459;25-Aug-2023</v>
      </c>
      <c r="B9095" s="1"/>
    </row>
    <row r="9096">
      <c r="A9096" s="1" t="str">
        <f>IFERROR(__xludf.DUMMYFUNCTION("""COMPUTED_VALUE"""),"149831;INF959L01FW8;-;Navi US Total Stock Market Fund of Fund- Regular Plan- Growth;11.235;25-Aug-2023")</f>
        <v>149831;INF959L01FW8;-;Navi US Total Stock Market Fund of Fund- Regular Plan- Growth;11.235;25-Aug-2023</v>
      </c>
      <c r="B9096" s="1"/>
    </row>
    <row r="9097">
      <c r="A9097" s="1"/>
      <c r="B9097" s="1"/>
    </row>
    <row r="9098">
      <c r="A9098" s="1" t="str">
        <f>IFERROR(__xludf.DUMMYFUNCTION("""COMPUTED_VALUE"""),"PGIM India Mutual Fund")</f>
        <v>PGIM India Mutual Fund</v>
      </c>
      <c r="B9098" s="1"/>
    </row>
    <row r="9099">
      <c r="A9099" s="1"/>
      <c r="B9099" s="1"/>
    </row>
    <row r="9100">
      <c r="A9100" s="1" t="str">
        <f>IFERROR(__xludf.DUMMYFUNCTION("""COMPUTED_VALUE"""),"138457;INF223J01NJ4;-;PGIM India Emerging Markets Equity Fund - Direct Plan - Dividend;9.15;20-Jan-2023")</f>
        <v>138457;INF223J01NJ4;-;PGIM India Emerging Markets Equity Fund - Direct Plan - Dividend;9.15;20-Jan-2023</v>
      </c>
      <c r="B9100" s="1"/>
    </row>
    <row r="9101">
      <c r="A9101" s="1" t="str">
        <f>IFERROR(__xludf.DUMMYFUNCTION("""COMPUTED_VALUE"""),"138456;INF223J01NL0;-;PGIM India Emerging Markets Equity Fund - Direct Plan - Growth;12.72;25-Aug-2023")</f>
        <v>138456;INF223J01NL0;-;PGIM India Emerging Markets Equity Fund - Direct Plan - Growth;12.72;25-Aug-2023</v>
      </c>
      <c r="B9101" s="1"/>
    </row>
    <row r="9102">
      <c r="A9102" s="1" t="str">
        <f>IFERROR(__xludf.DUMMYFUNCTION("""COMPUTED_VALUE"""),"138454;INF223J01AW4;INF223J01AX2;PGIM India Emerging Markets Equity Fund - Dividend;11;20-Jan-2023")</f>
        <v>138454;INF223J01AW4;INF223J01AX2;PGIM India Emerging Markets Equity Fund - Dividend;11;20-Jan-2023</v>
      </c>
      <c r="B9102" s="1"/>
    </row>
    <row r="9103">
      <c r="A9103" s="1" t="str">
        <f>IFERROR(__xludf.DUMMYFUNCTION("""COMPUTED_VALUE"""),"138453;INF223J01AY0;-;PGIM India Emerging Markets Equity Fund - Growth;11.38;25-Aug-2023")</f>
        <v>138453;INF223J01AY0;-;PGIM India Emerging Markets Equity Fund - Growth;11.38;25-Aug-2023</v>
      </c>
      <c r="B9103" s="1"/>
    </row>
    <row r="9104">
      <c r="A9104" s="1" t="str">
        <f>IFERROR(__xludf.DUMMYFUNCTION("""COMPUTED_VALUE"""),"138525;INF223J01AV6;-;PGIM India Global Equity Opportunities Fund - Bonus;11.75;04-Jan-2017")</f>
        <v>138525;INF223J01AV6;-;PGIM India Global Equity Opportunities Fund - Bonus;11.75;04-Jan-2017</v>
      </c>
      <c r="B9104" s="1"/>
    </row>
    <row r="9105">
      <c r="A9105" s="1" t="str">
        <f>IFERROR(__xludf.DUMMYFUNCTION("""COMPUTED_VALUE"""),"138527;INF223J01NG0;-;PGIM India Global Equity Opportunities Fund - Direct Plan - Dividend;29.18;20-Jan-2023")</f>
        <v>138527;INF223J01NG0;-;PGIM India Global Equity Opportunities Fund - Direct Plan - Dividend;29.18;20-Jan-2023</v>
      </c>
      <c r="B9105" s="1"/>
    </row>
    <row r="9106">
      <c r="A9106" s="1" t="str">
        <f>IFERROR(__xludf.DUMMYFUNCTION("""COMPUTED_VALUE"""),"138528;INF223J01NF2;-;PGIM India Global Equity Opportunities Fund - Direct Plan - Growth;35.04;25-Aug-2023")</f>
        <v>138528;INF223J01NF2;-;PGIM India Global Equity Opportunities Fund - Direct Plan - Growth;35.04;25-Aug-2023</v>
      </c>
      <c r="B9106" s="1"/>
    </row>
    <row r="9107">
      <c r="A9107" s="1" t="str">
        <f>IFERROR(__xludf.DUMMYFUNCTION("""COMPUTED_VALUE"""),"138524;INF223J01AS2;INF223J01AT0;PGIM India Global Equity Opportunities Fund - Dividend;22.17;20-Jan-2023")</f>
        <v>138524;INF223J01AS2;INF223J01AT0;PGIM India Global Equity Opportunities Fund - Dividend;22.17;20-Jan-2023</v>
      </c>
      <c r="B9107" s="1"/>
    </row>
    <row r="9108">
      <c r="A9108" s="1" t="str">
        <f>IFERROR(__xludf.DUMMYFUNCTION("""COMPUTED_VALUE"""),"138523;INF223J01AU8;-;PGIM India Global Equity Opportunities Fund - Growth;31.52;25-Aug-2023")</f>
        <v>138523;INF223J01AU8;-;PGIM India Global Equity Opportunities Fund - Growth;31.52;25-Aug-2023</v>
      </c>
      <c r="B9108" s="1"/>
    </row>
    <row r="9109">
      <c r="A9109" s="1" t="str">
        <f>IFERROR(__xludf.DUMMYFUNCTION("""COMPUTED_VALUE"""),"149298;INF663L01W63;-;PGIM India Global Select Real Estate Securities Fund of Fund - Direct Plan - Growth Option;8.83;25-Aug-2023")</f>
        <v>149298;INF663L01W63;-;PGIM India Global Select Real Estate Securities Fund of Fund - Direct Plan - Growth Option;8.83;25-Aug-2023</v>
      </c>
      <c r="B9109" s="1"/>
    </row>
    <row r="9110">
      <c r="A9110" s="1" t="str">
        <f>IFERROR(__xludf.DUMMYFUNCTION("""COMPUTED_VALUE"""),"149300;INF663L01W71;INF663L01W89;PGIM India Global Select Real Estate Securities Fund of Fund - Direct Plan - IDCW Option;9.01;20-Jan-2023")</f>
        <v>149300;INF663L01W71;INF663L01W89;PGIM India Global Select Real Estate Securities Fund of Fund - Direct Plan - IDCW Option;9.01;20-Jan-2023</v>
      </c>
      <c r="B9110" s="1"/>
    </row>
    <row r="9111">
      <c r="A9111" s="1" t="str">
        <f>IFERROR(__xludf.DUMMYFUNCTION("""COMPUTED_VALUE"""),"149299;INF663L01W97;-;PGIM India Global Select Real Estate Securities Fund of Fund - Regular Plan - Growth Option;8.7;25-Aug-2023")</f>
        <v>149299;INF663L01W97;-;PGIM India Global Select Real Estate Securities Fund of Fund - Regular Plan - Growth Option;8.7;25-Aug-2023</v>
      </c>
      <c r="B9111" s="1"/>
    </row>
    <row r="9112">
      <c r="A9112" s="1" t="str">
        <f>IFERROR(__xludf.DUMMYFUNCTION("""COMPUTED_VALUE"""),"149301;INF663L01X05;INF663L01X13;PGIM India Global Select Real Estate Securities Fund of Fund - Regular Plan - IDCW Option;8.93;20-Jan-2023")</f>
        <v>149301;INF663L01X05;INF663L01X13;PGIM India Global Select Real Estate Securities Fund of Fund - Regular Plan - IDCW Option;8.93;20-Jan-2023</v>
      </c>
      <c r="B9112" s="1"/>
    </row>
    <row r="9113">
      <c r="A9113" s="1"/>
      <c r="B9113" s="1"/>
    </row>
    <row r="9114">
      <c r="A9114" s="1" t="str">
        <f>IFERROR(__xludf.DUMMYFUNCTION("""COMPUTED_VALUE"""),"SBI Mutual Fund")</f>
        <v>SBI Mutual Fund</v>
      </c>
      <c r="B9114" s="1"/>
    </row>
    <row r="9115">
      <c r="A9115" s="1"/>
      <c r="B9115" s="1"/>
    </row>
    <row r="9116">
      <c r="A9116" s="1" t="str">
        <f>IFERROR(__xludf.DUMMYFUNCTION("""COMPUTED_VALUE"""),"148760;INF200KA1U28;-;SBI International Access - US Equity FoF - Direct Plan - Growth;12.2834;25-Aug-2023")</f>
        <v>148760;INF200KA1U28;-;SBI International Access - US Equity FoF - Direct Plan - Growth;12.2834;25-Aug-2023</v>
      </c>
      <c r="B9116" s="1"/>
    </row>
    <row r="9117">
      <c r="A9117" s="1" t="str">
        <f>IFERROR(__xludf.DUMMYFUNCTION("""COMPUTED_VALUE"""),"148762;INF200KA1T96;-;SBI International Access - US Equity FoF - Regular Plan - Growth;12.0497;25-Aug-2023")</f>
        <v>148762;INF200KA1T96;-;SBI International Access - US Equity FoF - Regular Plan - Growth;12.0497;25-Aug-2023</v>
      </c>
      <c r="B9117" s="1"/>
    </row>
    <row r="9118">
      <c r="A9118" s="1" t="str">
        <f>IFERROR(__xludf.DUMMYFUNCTION("""COMPUTED_VALUE"""),"148761;INF200KA1U36;INF200KA1U44;SBI International Access- US Equity FoF Direct Plan - Income Distribution cum Capital Withdrawal Option (IDCW);12.2839;25-Aug-2023")</f>
        <v>148761;INF200KA1U36;INF200KA1U44;SBI International Access- US Equity FoF Direct Plan - Income Distribution cum Capital Withdrawal Option (IDCW);12.2839;25-Aug-2023</v>
      </c>
      <c r="B9118" s="1"/>
    </row>
    <row r="9119">
      <c r="A9119" s="1" t="str">
        <f>IFERROR(__xludf.DUMMYFUNCTION("""COMPUTED_VALUE"""),"148759;INF200KA1U02;INF200KA1U10;SBI International Access- US Equity FoF Regular Plan - Income Distribution cum Capital Withdrawal Option (IDCW);12.0495;25-Aug-2023")</f>
        <v>148759;INF200KA1U02;INF200KA1U10;SBI International Access- US Equity FoF Regular Plan - Income Distribution cum Capital Withdrawal Option (IDCW);12.0495;25-Aug-2023</v>
      </c>
      <c r="B9119" s="1"/>
    </row>
    <row r="9120">
      <c r="A9120" s="1"/>
      <c r="B9120" s="1"/>
    </row>
    <row r="9121">
      <c r="A9121" s="1" t="str">
        <f>IFERROR(__xludf.DUMMYFUNCTION("""COMPUTED_VALUE"""),"Sundaram Mutual Fund")</f>
        <v>Sundaram Mutual Fund</v>
      </c>
      <c r="B9121" s="1"/>
    </row>
    <row r="9122">
      <c r="A9122" s="1"/>
      <c r="B9122" s="1"/>
    </row>
    <row r="9123">
      <c r="A9123" s="1" t="str">
        <f>IFERROR(__xludf.DUMMYFUNCTION("""COMPUTED_VALUE"""),"119602;INF903J01OB6;-;Sundaram Global Brand Fund Direct Plan - Growth;28.1257;24-Aug-2023")</f>
        <v>119602;INF903J01OB6;-;Sundaram Global Brand Fund Direct Plan - Growth;28.1257;24-Aug-2023</v>
      </c>
      <c r="B9123" s="1"/>
    </row>
    <row r="9124">
      <c r="A9124" s="1" t="str">
        <f>IFERROR(__xludf.DUMMYFUNCTION("""COMPUTED_VALUE"""),"119601;INF903J01NZ7;INF903J01OA8;Sundaram Global Brand Fund Direct Plan - Income Distribution cum Capital Withdrawal (IDCW);25.0133;24-Aug-2023")</f>
        <v>119601;INF903J01NZ7;INF903J01OA8;Sundaram Global Brand Fund Direct Plan - Income Distribution cum Capital Withdrawal (IDCW);25.0133;24-Aug-2023</v>
      </c>
      <c r="B9124" s="1"/>
    </row>
    <row r="9125">
      <c r="A9125" s="1" t="str">
        <f>IFERROR(__xludf.DUMMYFUNCTION("""COMPUTED_VALUE"""),"106370;INF903J01EX1;-;Sundaram Global Brand Fund Regular Plan - Growth;26.1518;24-Aug-2023")</f>
        <v>106370;INF903J01EX1;-;Sundaram Global Brand Fund Regular Plan - Growth;26.1518;24-Aug-2023</v>
      </c>
      <c r="B9125" s="1"/>
    </row>
    <row r="9126">
      <c r="A9126" s="1" t="str">
        <f>IFERROR(__xludf.DUMMYFUNCTION("""COMPUTED_VALUE"""),"106369;INF903J01EY9;INF903J01EZ6;Sundaram Global Brand Fund Regular Plan - Income Distribution cum Capital Withdrawal (IDCW);22.4099;24-Aug-2023")</f>
        <v>106369;INF903J01EY9;INF903J01EZ6;Sundaram Global Brand Fund Regular Plan - Income Distribution cum Capital Withdrawal (IDCW);22.4099;24-Aug-2023</v>
      </c>
      <c r="B9126" s="1"/>
    </row>
    <row r="9127">
      <c r="A9127" s="1"/>
      <c r="B9127" s="1"/>
    </row>
    <row r="9128">
      <c r="A9128" s="1" t="str">
        <f>IFERROR(__xludf.DUMMYFUNCTION("""COMPUTED_VALUE"""),"Open Ended Schemes(Other Scheme - Gold ETF)")</f>
        <v>Open Ended Schemes(Other Scheme - Gold ETF)</v>
      </c>
      <c r="B9128" s="1"/>
    </row>
    <row r="9129">
      <c r="A9129" s="1"/>
      <c r="B9129" s="1"/>
    </row>
    <row r="9130">
      <c r="A9130" s="1" t="str">
        <f>IFERROR(__xludf.DUMMYFUNCTION("""COMPUTED_VALUE"""),"Aditya Birla Sun Life Mutual Fund")</f>
        <v>Aditya Birla Sun Life Mutual Fund</v>
      </c>
      <c r="B9130" s="1"/>
    </row>
    <row r="9131">
      <c r="A9131" s="1"/>
      <c r="B9131" s="1"/>
    </row>
    <row r="9132">
      <c r="A9132" s="1" t="str">
        <f>IFERROR(__xludf.DUMMYFUNCTION("""COMPUTED_VALUE"""),"115127;INF209KB18D3;-;Aditya Birla Sun Life Gold ETF;52.7769;25-Aug-2023")</f>
        <v>115127;INF209KB18D3;-;Aditya Birla Sun Life Gold ETF;52.7769;25-Aug-2023</v>
      </c>
      <c r="B9132" s="1"/>
    </row>
    <row r="9133">
      <c r="A9133" s="1"/>
      <c r="B9133" s="1"/>
    </row>
    <row r="9134">
      <c r="A9134" s="1" t="str">
        <f>IFERROR(__xludf.DUMMYFUNCTION("""COMPUTED_VALUE"""),"Axis Mutual Fund")</f>
        <v>Axis Mutual Fund</v>
      </c>
      <c r="B9134" s="1"/>
    </row>
    <row r="9135">
      <c r="A9135" s="1"/>
      <c r="B9135" s="1"/>
    </row>
    <row r="9136">
      <c r="A9136" s="1" t="str">
        <f>IFERROR(__xludf.DUMMYFUNCTION("""COMPUTED_VALUE"""),"113434;INF846K01W80;-;Axis Gold ETF;50.0903;25-Aug-2023")</f>
        <v>113434;INF846K01W80;-;Axis Gold ETF;50.0903;25-Aug-2023</v>
      </c>
      <c r="B9136" s="1"/>
    </row>
    <row r="9137">
      <c r="A9137" s="1"/>
      <c r="B9137" s="1"/>
    </row>
    <row r="9138">
      <c r="A9138" s="1" t="str">
        <f>IFERROR(__xludf.DUMMYFUNCTION("""COMPUTED_VALUE"""),"DSP Mutual Fund")</f>
        <v>DSP Mutual Fund</v>
      </c>
      <c r="B9138" s="1"/>
    </row>
    <row r="9139">
      <c r="A9139" s="1"/>
      <c r="B9139" s="1"/>
    </row>
    <row r="9140">
      <c r="A9140" s="1" t="str">
        <f>IFERROR(__xludf.DUMMYFUNCTION("""COMPUTED_VALUE"""),"151737;INF740KA1SW3;-;DSP Gold ETF;58.4564;25-Aug-2023")</f>
        <v>151737;INF740KA1SW3;-;DSP Gold ETF;58.4564;25-Aug-2023</v>
      </c>
      <c r="B9140" s="1"/>
    </row>
    <row r="9141">
      <c r="A9141" s="1"/>
      <c r="B9141" s="1"/>
    </row>
    <row r="9142">
      <c r="A9142" s="1" t="str">
        <f>IFERROR(__xludf.DUMMYFUNCTION("""COMPUTED_VALUE"""),"HDFC Mutual Fund")</f>
        <v>HDFC Mutual Fund</v>
      </c>
      <c r="B9142" s="1"/>
    </row>
    <row r="9143">
      <c r="A9143" s="1"/>
      <c r="B9143" s="1"/>
    </row>
    <row r="9144">
      <c r="A9144" s="1" t="str">
        <f>IFERROR(__xludf.DUMMYFUNCTION("""COMPUTED_VALUE"""),"113049;INF179KC1981;-;HDFC Gold Exchange Traded Fund. - Growth Option;51.3502;25-Aug-2023")</f>
        <v>113049;INF179KC1981;-;HDFC Gold Exchange Traded Fund. - Growth Option;51.3502;25-Aug-2023</v>
      </c>
      <c r="B9144" s="1"/>
    </row>
    <row r="9145">
      <c r="A9145" s="1"/>
      <c r="B9145" s="1"/>
    </row>
    <row r="9146">
      <c r="A9146" s="1" t="str">
        <f>IFERROR(__xludf.DUMMYFUNCTION("""COMPUTED_VALUE"""),"ICICI Prudential Mutual Fund")</f>
        <v>ICICI Prudential Mutual Fund</v>
      </c>
      <c r="B9146" s="1"/>
    </row>
    <row r="9147">
      <c r="A9147" s="1"/>
      <c r="B9147" s="1"/>
    </row>
    <row r="9148">
      <c r="A9148" s="1" t="str">
        <f>IFERROR(__xludf.DUMMYFUNCTION("""COMPUTED_VALUE"""),"113076;INF109KC1NT3;-;ICICI Prudential Gold ETF;51.3538;25-Aug-2023")</f>
        <v>113076;INF109KC1NT3;-;ICICI Prudential Gold ETF;51.3538;25-Aug-2023</v>
      </c>
      <c r="B9148" s="1"/>
    </row>
    <row r="9149">
      <c r="A9149" s="1"/>
      <c r="B9149" s="1"/>
    </row>
    <row r="9150">
      <c r="A9150" s="1" t="str">
        <f>IFERROR(__xludf.DUMMYFUNCTION("""COMPUTED_VALUE"""),"Invesco Mutual Fund")</f>
        <v>Invesco Mutual Fund</v>
      </c>
      <c r="B9150" s="1"/>
    </row>
    <row r="9151">
      <c r="A9151" s="1"/>
      <c r="B9151" s="1"/>
    </row>
    <row r="9152">
      <c r="A9152" s="1" t="str">
        <f>IFERROR(__xludf.DUMMYFUNCTION("""COMPUTED_VALUE"""),"112368;INF205K01361;-;Invesco India Gold Exchange Traded Fund;5216.648;25-Aug-2023")</f>
        <v>112368;INF205K01361;-;Invesco India Gold Exchange Traded Fund;5216.648;25-Aug-2023</v>
      </c>
      <c r="B9152" s="1"/>
    </row>
    <row r="9153">
      <c r="A9153" s="1"/>
      <c r="B9153" s="1"/>
    </row>
    <row r="9154">
      <c r="A9154" s="1" t="str">
        <f>IFERROR(__xludf.DUMMYFUNCTION("""COMPUTED_VALUE"""),"Kotak Mahindra Mutual Fund")</f>
        <v>Kotak Mahindra Mutual Fund</v>
      </c>
      <c r="B9154" s="1"/>
    </row>
    <row r="9155">
      <c r="A9155" s="1"/>
      <c r="B9155" s="1"/>
    </row>
    <row r="9156">
      <c r="A9156" s="1" t="str">
        <f>IFERROR(__xludf.DUMMYFUNCTION("""COMPUTED_VALUE"""),"106193;INF174KA1HJ;-;KOTAK GOLD ETF;50.1607;25-Aug-2023")</f>
        <v>106193;INF174KA1HJ;-;KOTAK GOLD ETF;50.1607;25-Aug-2023</v>
      </c>
      <c r="B9156" s="1"/>
    </row>
    <row r="9157">
      <c r="A9157" s="1"/>
      <c r="B9157" s="1"/>
    </row>
    <row r="9158">
      <c r="A9158" s="1" t="str">
        <f>IFERROR(__xludf.DUMMYFUNCTION("""COMPUTED_VALUE"""),"LIC Mutual Fund")</f>
        <v>LIC Mutual Fund</v>
      </c>
      <c r="B9158" s="1"/>
    </row>
    <row r="9159">
      <c r="A9159" s="1"/>
      <c r="B9159" s="1"/>
    </row>
    <row r="9160">
      <c r="A9160" s="1" t="str">
        <f>IFERROR(__xludf.DUMMYFUNCTION("""COMPUTED_VALUE"""),"151961;INF397L01554;-;LIC MF Gold Exchange Traded Fund;5376.8974;25-Aug-2023")</f>
        <v>151961;INF397L01554;-;LIC MF Gold Exchange Traded Fund;5376.8974;25-Aug-2023</v>
      </c>
      <c r="B9160" s="1"/>
    </row>
    <row r="9161">
      <c r="A9161" s="1"/>
      <c r="B9161" s="1"/>
    </row>
    <row r="9162">
      <c r="A9162" s="1" t="str">
        <f>IFERROR(__xludf.DUMMYFUNCTION("""COMPUTED_VALUE"""),"Mirae Asset Mutual Fund")</f>
        <v>Mirae Asset Mutual Fund</v>
      </c>
      <c r="B9162" s="1"/>
    </row>
    <row r="9163">
      <c r="A9163" s="1"/>
      <c r="B9163" s="1"/>
    </row>
    <row r="9164">
      <c r="A9164" s="1" t="str">
        <f>IFERROR(__xludf.DUMMYFUNCTION("""COMPUTED_VALUE"""),"151416;INF769K01JP9;-;Mirae Asset Gold ETF;58.4199;25-Aug-2023")</f>
        <v>151416;INF769K01JP9;-;Mirae Asset Gold ETF;58.4199;25-Aug-2023</v>
      </c>
      <c r="B9164" s="1"/>
    </row>
    <row r="9165">
      <c r="A9165" s="1"/>
      <c r="B9165" s="1"/>
    </row>
    <row r="9166">
      <c r="A9166" s="1" t="str">
        <f>IFERROR(__xludf.DUMMYFUNCTION("""COMPUTED_VALUE"""),"Nippon India Mutual Fund")</f>
        <v>Nippon India Mutual Fund</v>
      </c>
      <c r="B9166" s="1"/>
    </row>
    <row r="9167">
      <c r="A9167" s="1"/>
      <c r="B9167" s="1"/>
    </row>
    <row r="9168">
      <c r="A9168" s="1" t="str">
        <f>IFERROR(__xludf.DUMMYFUNCTION("""COMPUTED_VALUE"""),"140088;INF204KB17I5;-;Nippon India ETF Gold BeES;49.9455;25-Aug-2023")</f>
        <v>140088;INF204KB17I5;-;Nippon India ETF Gold BeES;49.9455;25-Aug-2023</v>
      </c>
      <c r="B9168" s="1"/>
    </row>
    <row r="9169">
      <c r="A9169" s="1"/>
      <c r="B9169" s="1"/>
    </row>
    <row r="9170">
      <c r="A9170" s="1" t="str">
        <f>IFERROR(__xludf.DUMMYFUNCTION("""COMPUTED_VALUE"""),"Quantum Mutual Fund")</f>
        <v>Quantum Mutual Fund</v>
      </c>
      <c r="B9170" s="1"/>
    </row>
    <row r="9171">
      <c r="A9171" s="1"/>
      <c r="B9171" s="1"/>
    </row>
    <row r="9172">
      <c r="A9172" s="1" t="str">
        <f>IFERROR(__xludf.DUMMYFUNCTION("""COMPUTED_VALUE"""),"107693;INF082J01408;-;Quantum Gold Fund;49.7288;25-Aug-2023")</f>
        <v>107693;INF082J01408;-;Quantum Gold Fund;49.7288;25-Aug-2023</v>
      </c>
      <c r="B9172" s="1"/>
    </row>
    <row r="9173">
      <c r="A9173" s="1"/>
      <c r="B9173" s="1"/>
    </row>
    <row r="9174">
      <c r="A9174" s="1" t="str">
        <f>IFERROR(__xludf.DUMMYFUNCTION("""COMPUTED_VALUE"""),"SBI Mutual Fund")</f>
        <v>SBI Mutual Fund</v>
      </c>
      <c r="B9174" s="1"/>
    </row>
    <row r="9175">
      <c r="A9175" s="1"/>
      <c r="B9175" s="1"/>
    </row>
    <row r="9176">
      <c r="A9176" s="1" t="str">
        <f>IFERROR(__xludf.DUMMYFUNCTION("""COMPUTED_VALUE"""),"111954;INF200KA16D8;-;SBI Gold ETF;51.4716;25-Aug-2023")</f>
        <v>111954;INF200KA16D8;-;SBI Gold ETF;51.4716;25-Aug-2023</v>
      </c>
      <c r="B9176" s="1"/>
    </row>
    <row r="9177">
      <c r="A9177" s="1"/>
      <c r="B9177" s="1"/>
    </row>
    <row r="9178">
      <c r="A9178" s="1" t="str">
        <f>IFERROR(__xludf.DUMMYFUNCTION("""COMPUTED_VALUE"""),"UTI Mutual Fund")</f>
        <v>UTI Mutual Fund</v>
      </c>
      <c r="B9178" s="1"/>
    </row>
    <row r="9179">
      <c r="A9179" s="1"/>
      <c r="B9179" s="1"/>
    </row>
    <row r="9180">
      <c r="A9180" s="1" t="str">
        <f>IFERROR(__xludf.DUMMYFUNCTION("""COMPUTED_VALUE"""),"105463;INF789F1AUX7;-;UTI GOLD Exchange Traded Fund;50.0942;25-Aug-2023")</f>
        <v>105463;INF789F1AUX7;-;UTI GOLD Exchange Traded Fund;50.0942;25-Aug-2023</v>
      </c>
      <c r="B9180" s="1"/>
    </row>
    <row r="9181">
      <c r="A9181" s="1"/>
      <c r="B9181" s="1"/>
    </row>
    <row r="9182">
      <c r="A9182" s="1" t="str">
        <f>IFERROR(__xludf.DUMMYFUNCTION("""COMPUTED_VALUE"""),"Open Ended Schemes(Other Scheme - Index Funds)")</f>
        <v>Open Ended Schemes(Other Scheme - Index Funds)</v>
      </c>
      <c r="B9182" s="1"/>
    </row>
    <row r="9183">
      <c r="A9183" s="1"/>
      <c r="B9183" s="1"/>
    </row>
    <row r="9184">
      <c r="A9184" s="1" t="str">
        <f>IFERROR(__xludf.DUMMYFUNCTION("""COMPUTED_VALUE"""),"Aditya Birla Sun Life Mutual Fund")</f>
        <v>Aditya Birla Sun Life Mutual Fund</v>
      </c>
      <c r="B9184" s="1"/>
    </row>
    <row r="9185">
      <c r="A9185" s="1"/>
      <c r="B9185" s="1"/>
    </row>
    <row r="9186">
      <c r="A9186" s="1" t="str">
        <f>IFERROR(__xludf.DUMMYFUNCTION("""COMPUTED_VALUE"""),"150702;INF209KB14N1;-;Aditya Birla Sun Life Crisil IBX 50:50 Gilt Plus SDL Apr 2028 Index Fund-Direct Growth;10.7366;25-Aug-2023")</f>
        <v>150702;INF209KB14N1;-;Aditya Birla Sun Life Crisil IBX 50:50 Gilt Plus SDL Apr 2028 Index Fund-Direct Growth;10.7366;25-Aug-2023</v>
      </c>
      <c r="B9186" s="1"/>
    </row>
    <row r="9187">
      <c r="A9187" s="1" t="str">
        <f>IFERROR(__xludf.DUMMYFUNCTION("""COMPUTED_VALUE"""),"150704;INF209KB15N8;-;Aditya Birla Sun Life Crisil IBX 50:50 Gilt Plus SDL APR 2028 Index Fund-Direct IDCW;10.7365;25-Aug-2023")</f>
        <v>150704;INF209KB15N8;-;Aditya Birla Sun Life Crisil IBX 50:50 Gilt Plus SDL APR 2028 Index Fund-Direct IDCW;10.7365;25-Aug-2023</v>
      </c>
      <c r="B9187" s="1"/>
    </row>
    <row r="9188">
      <c r="A9188" s="1" t="str">
        <f>IFERROR(__xludf.DUMMYFUNCTION("""COMPUTED_VALUE"""),"150703;INF209KB12N5;-;Aditya Birla Sun Life Crisil IBX 50:50 Gilt Plus SDL Apr 2028 Index Fund-Regular Growth;10.7216;25-Aug-2023")</f>
        <v>150703;INF209KB12N5;-;Aditya Birla Sun Life Crisil IBX 50:50 Gilt Plus SDL Apr 2028 Index Fund-Regular Growth;10.7216;25-Aug-2023</v>
      </c>
      <c r="B9188" s="1"/>
    </row>
    <row r="9189">
      <c r="A9189" s="1" t="str">
        <f>IFERROR(__xludf.DUMMYFUNCTION("""COMPUTED_VALUE"""),"150705;INF209KB13N3;-;Aditya Birla Sun Life Crisil IBX 50:50 Gilt Plus SDL Apr 2028 Index Fund-Regular IDCW;10.7225;25-Aug-2023")</f>
        <v>150705;INF209KB13N3;-;Aditya Birla Sun Life Crisil IBX 50:50 Gilt Plus SDL Apr 2028 Index Fund-Regular IDCW;10.7225;25-Aug-2023</v>
      </c>
      <c r="B9189" s="1"/>
    </row>
    <row r="9190">
      <c r="A9190" s="1" t="str">
        <f>IFERROR(__xludf.DUMMYFUNCTION("""COMPUTED_VALUE"""),"150938;INF209KB10P4;-;Aditya Birla Sun Life Crisil IBX 60:40 SDL + AAA PSU APR 2026 Index Fund-Direct Growth;10.4915;25-Aug-2023")</f>
        <v>150938;INF209KB10P4;-;Aditya Birla Sun Life Crisil IBX 60:40 SDL + AAA PSU APR 2026 Index Fund-Direct Growth;10.4915;25-Aug-2023</v>
      </c>
      <c r="B9190" s="1"/>
    </row>
    <row r="9191">
      <c r="A9191" s="1" t="str">
        <f>IFERROR(__xludf.DUMMYFUNCTION("""COMPUTED_VALUE"""),"150939;INF209KB11P2;-;Aditya Birla Sun Life Crisil IBX 60:40 SDL+ AAA PSU APR 2026 Index Fund-Direct IDCW Payout;10.4914;25-Aug-2023")</f>
        <v>150939;INF209KB11P2;-;Aditya Birla Sun Life Crisil IBX 60:40 SDL+ AAA PSU APR 2026 Index Fund-Direct IDCW Payout;10.4914;25-Aug-2023</v>
      </c>
      <c r="B9191" s="1"/>
    </row>
    <row r="9192">
      <c r="A9192" s="1" t="str">
        <f>IFERROR(__xludf.DUMMYFUNCTION("""COMPUTED_VALUE"""),"150936;INF209KB18O0;-;Aditya Birla Sun Life Crisil IBX 60:40 SDL+AAA PSU APR 2026 Index Fund-Regular Growth;10.4724;25-Aug-2023")</f>
        <v>150936;INF209KB18O0;-;Aditya Birla Sun Life Crisil IBX 60:40 SDL+AAA PSU APR 2026 Index Fund-Regular Growth;10.4724;25-Aug-2023</v>
      </c>
      <c r="B9192" s="1"/>
    </row>
    <row r="9193">
      <c r="A9193" s="1" t="str">
        <f>IFERROR(__xludf.DUMMYFUNCTION("""COMPUTED_VALUE"""),"150937;INF209KB19O8;-;Aditya Birla Sun Life Crisil IBX 60:40 SDL+AAA PSU APR 2026 Index Fund-Regular IDCW Payout;10.4733;25-Aug-2023")</f>
        <v>150937;INF209KB19O8;-;Aditya Birla Sun Life Crisil IBX 60:40 SDL+AAA PSU APR 2026 Index Fund-Regular IDCW Payout;10.4733;25-Aug-2023</v>
      </c>
      <c r="B9193" s="1"/>
    </row>
    <row r="9194">
      <c r="A9194" s="1" t="str">
        <f>IFERROR(__xludf.DUMMYFUNCTION("""COMPUTED_VALUE"""),"150357;INF209KB13I3;-;Aditya Birla Sun Life Crisil IBX 60:40 SDL+AAA PSU-APR 2025 Index Fund-Direct Growth;10.6205;25-Aug-2023")</f>
        <v>150357;INF209KB13I3;-;Aditya Birla Sun Life Crisil IBX 60:40 SDL+AAA PSU-APR 2025 Index Fund-Direct Growth;10.6205;25-Aug-2023</v>
      </c>
      <c r="B9194" s="1"/>
    </row>
    <row r="9195">
      <c r="A9195" s="1" t="str">
        <f>IFERROR(__xludf.DUMMYFUNCTION("""COMPUTED_VALUE"""),"150355;INF209KB14I1;-;Aditya Birla Sun Life Crisil IBX 60:40 SDL+AAA PSU-APR 2025 Index Fund-Direct IDCW;10.6212;25-Aug-2023")</f>
        <v>150355;INF209KB14I1;-;Aditya Birla Sun Life Crisil IBX 60:40 SDL+AAA PSU-APR 2025 Index Fund-Direct IDCW;10.6212;25-Aug-2023</v>
      </c>
      <c r="B9195" s="1"/>
    </row>
    <row r="9196">
      <c r="A9196" s="1" t="str">
        <f>IFERROR(__xludf.DUMMYFUNCTION("""COMPUTED_VALUE"""),"150354;INF209KB11I7;-;Aditya Birla Sun Life Crisil IBX 60:40 SDL+AAA PSU-APR 2025 Index Fund-Regular Growth;10.5987;25-Aug-2023")</f>
        <v>150354;INF209KB11I7;-;Aditya Birla Sun Life Crisil IBX 60:40 SDL+AAA PSU-APR 2025 Index Fund-Regular Growth;10.5987;25-Aug-2023</v>
      </c>
      <c r="B9196" s="1"/>
    </row>
    <row r="9197">
      <c r="A9197" s="1" t="str">
        <f>IFERROR(__xludf.DUMMYFUNCTION("""COMPUTED_VALUE"""),"150356;INF209KB12I5;-;Aditya Birla Sun Life Crisil IBX 60:40 SDL+AAA PSU-APR 2025 Index Fund-Regular IDCW;10.5988;25-Aug-2023")</f>
        <v>150356;INF209KB12I5;-;Aditya Birla Sun Life Crisil IBX 60:40 SDL+AAA PSU-APR 2025 Index Fund-Regular IDCW;10.5988;25-Aug-2023</v>
      </c>
      <c r="B9197" s="1"/>
    </row>
    <row r="9198">
      <c r="A9198" s="1" t="str">
        <f>IFERROR(__xludf.DUMMYFUNCTION("""COMPUTED_VALUE"""),"150353;INF209KB19H2;-;Aditya Birla Sun Life Crisil IBX 60:40 SDL+AAA PSU-Apr 2027 Index Fund-Direct Growth;10.6123;25-Aug-2023")</f>
        <v>150353;INF209KB19H2;-;Aditya Birla Sun Life Crisil IBX 60:40 SDL+AAA PSU-Apr 2027 Index Fund-Direct Growth;10.6123;25-Aug-2023</v>
      </c>
      <c r="B9198" s="1"/>
    </row>
    <row r="9199">
      <c r="A9199" s="1" t="str">
        <f>IFERROR(__xludf.DUMMYFUNCTION("""COMPUTED_VALUE"""),"150352;INF209KB10I9;-;Aditya Birla Sun Life Crisil IBX 60:40 SDL+AAA PSU-Apr 2027 Index Fund-Direct IDCW;10.614;25-Aug-2023")</f>
        <v>150352;INF209KB10I9;-;Aditya Birla Sun Life Crisil IBX 60:40 SDL+AAA PSU-Apr 2027 Index Fund-Direct IDCW;10.614;25-Aug-2023</v>
      </c>
      <c r="B9199" s="1"/>
    </row>
    <row r="9200">
      <c r="A9200" s="1" t="str">
        <f>IFERROR(__xludf.DUMMYFUNCTION("""COMPUTED_VALUE"""),"150351;INF209KB17H6;-;Aditya Birla Sun Life Crisil IBX 60:40 SDL+AAA PSU-Apr 2027 Index Fund-Regular Growth;10.583;25-Aug-2023")</f>
        <v>150351;INF209KB17H6;-;Aditya Birla Sun Life Crisil IBX 60:40 SDL+AAA PSU-Apr 2027 Index Fund-Regular Growth;10.583;25-Aug-2023</v>
      </c>
      <c r="B9200" s="1"/>
    </row>
    <row r="9201">
      <c r="A9201" s="1" t="str">
        <f>IFERROR(__xludf.DUMMYFUNCTION("""COMPUTED_VALUE"""),"150350;INF209KB18H4;-;Aditya Birla Sun Life Crisil IBX 60:40 SDL+AAA PSU-Apr 2027 Index Fund-Regular IDCW;10.58;25-Aug-2023")</f>
        <v>150350;INF209KB18H4;-;Aditya Birla Sun Life Crisil IBX 60:40 SDL+AAA PSU-Apr 2027 Index Fund-Regular IDCW;10.58;25-Aug-2023</v>
      </c>
      <c r="B9201" s="1"/>
    </row>
    <row r="9202">
      <c r="A9202" s="1" t="str">
        <f>IFERROR(__xludf.DUMMYFUNCTION("""COMPUTED_VALUE"""),"149889;INF209KB18G6;-;Aditya Birla Sun Life Crisil IBX AAA Jun-2023 Index Fund-Regular Growth;10.6916;30-Jun-2023")</f>
        <v>149889;INF209KB18G6;-;Aditya Birla Sun Life Crisil IBX AAA Jun-2023 Index Fund-Regular Growth;10.6916;30-Jun-2023</v>
      </c>
      <c r="B9202" s="1"/>
    </row>
    <row r="9203">
      <c r="A9203" s="1" t="str">
        <f>IFERROR(__xludf.DUMMYFUNCTION("""COMPUTED_VALUE"""),"149888;INF209KB19G4;-;Aditya Birla Sun Life Crisil IBX AAA Jun-2023 Index Fund-Regular IDCW Payout;10.;30-Jun-2023")</f>
        <v>149888;INF209KB19G4;-;Aditya Birla Sun Life Crisil IBX AAA Jun-2023 Index Fund-Regular IDCW Payout;10.;30-Jun-2023</v>
      </c>
      <c r="B9203" s="1"/>
    </row>
    <row r="9204">
      <c r="A9204" s="1" t="str">
        <f>IFERROR(__xludf.DUMMYFUNCTION("""COMPUTED_VALUE"""),"149891;INF209KB10H1;-;Aditya Birla Sun Life Crisil IBX AAA- Jun 2023 Index Fund;10.7212;30-Jun-2023")</f>
        <v>149891;INF209KB10H1;-;Aditya Birla Sun Life Crisil IBX AAA- Jun 2023 Index Fund;10.7212;30-Jun-2023</v>
      </c>
      <c r="B9204" s="1"/>
    </row>
    <row r="9205">
      <c r="A9205" s="1" t="str">
        <f>IFERROR(__xludf.DUMMYFUNCTION("""COMPUTED_VALUE"""),"149890;INF209KB11H9;-;Aditya Birla Sun Life Crisil IBX AAA-Jun 2023 Index Fund-Direct IDCW Payout;10.;30-Jun-2023")</f>
        <v>149890;INF209KB11H9;-;Aditya Birla Sun Life Crisil IBX AAA-Jun 2023 Index Fund-Direct IDCW Payout;10.;30-Jun-2023</v>
      </c>
      <c r="B9205" s="1"/>
    </row>
    <row r="9206">
      <c r="A9206" s="1" t="str">
        <f>IFERROR(__xludf.DUMMYFUNCTION("""COMPUTED_VALUE"""),"151396;INF209KB10S8;-;Aditya Birla Sun Life Crisil IBX AAA Mar 2024 Index Fund-Direct Growth;10.4339;25-Aug-2023")</f>
        <v>151396;INF209KB10S8;-;Aditya Birla Sun Life Crisil IBX AAA Mar 2024 Index Fund-Direct Growth;10.4339;25-Aug-2023</v>
      </c>
      <c r="B9206" s="1"/>
    </row>
    <row r="9207">
      <c r="A9207" s="1" t="str">
        <f>IFERROR(__xludf.DUMMYFUNCTION("""COMPUTED_VALUE"""),"151394;INF209KB11S6;-;Aditya Birla Sun Life Crisil IBX AAA Mar 2024 Index Fund-Direct IDCW;10.434;25-Aug-2023")</f>
        <v>151394;INF209KB11S6;-;Aditya Birla Sun Life Crisil IBX AAA Mar 2024 Index Fund-Direct IDCW;10.434;25-Aug-2023</v>
      </c>
      <c r="B9207" s="1"/>
    </row>
    <row r="9208">
      <c r="A9208" s="1" t="str">
        <f>IFERROR(__xludf.DUMMYFUNCTION("""COMPUTED_VALUE"""),"151393;INF209KB18R3;-;Aditya Birla Sun Life Crisil IBX AAA Mar 2024 Index Fund-Regular Growth;10.422;25-Aug-2023")</f>
        <v>151393;INF209KB18R3;-;Aditya Birla Sun Life Crisil IBX AAA Mar 2024 Index Fund-Regular Growth;10.422;25-Aug-2023</v>
      </c>
      <c r="B9208" s="1"/>
    </row>
    <row r="9209">
      <c r="A9209" s="1" t="str">
        <f>IFERROR(__xludf.DUMMYFUNCTION("""COMPUTED_VALUE"""),"151395;INF209KB19R1;-;Aditya Birla Sun Life Crisil IBX AAA Mar 2024 Index Fund-Regular IDCW;10.4221;25-Aug-2023")</f>
        <v>151395;INF209KB19R1;-;Aditya Birla Sun Life Crisil IBX AAA Mar 2024 Index Fund-Regular IDCW;10.4221;25-Aug-2023</v>
      </c>
      <c r="B9209" s="1"/>
    </row>
    <row r="9210">
      <c r="A9210" s="1" t="str">
        <f>IFERROR(__xludf.DUMMYFUNCTION("""COMPUTED_VALUE"""),"150780;INF209KB13O1;-;Aditya Birla Sun Life Crisil IBX Gilt-Apr 2029 Index Fund-Direct IDCW;10.4838;25-Aug-2023")</f>
        <v>150780;INF209KB13O1;-;Aditya Birla Sun Life Crisil IBX Gilt-Apr 2029 Index Fund-Direct IDCW;10.4838;25-Aug-2023</v>
      </c>
      <c r="B9210" s="1"/>
    </row>
    <row r="9211">
      <c r="A9211" s="1" t="str">
        <f>IFERROR(__xludf.DUMMYFUNCTION("""COMPUTED_VALUE"""),"150777;INF209KB10O7;-;Aditya Birla Sun Life Crisil IBX Gilt-Apr 2029 Index Fund-Regular Growth;10.7366;25-Aug-2023")</f>
        <v>150777;INF209KB10O7;-;Aditya Birla Sun Life Crisil IBX Gilt-Apr 2029 Index Fund-Regular Growth;10.7366;25-Aug-2023</v>
      </c>
      <c r="B9211" s="1"/>
    </row>
    <row r="9212">
      <c r="A9212" s="1" t="str">
        <f>IFERROR(__xludf.DUMMYFUNCTION("""COMPUTED_VALUE"""),"150779;INF209KB11O5;-;Aditya Birla Sun Life Crisil IBX Gilt-Apr 2029 Index Fund-Regular IDCW;10.4075;25-Aug-2023")</f>
        <v>150779;INF209KB11O5;-;Aditya Birla Sun Life Crisil IBX Gilt-Apr 2029 Index Fund-Regular IDCW;10.4075;25-Aug-2023</v>
      </c>
      <c r="B9212" s="1"/>
    </row>
    <row r="9213">
      <c r="A9213" s="1" t="str">
        <f>IFERROR(__xludf.DUMMYFUNCTION("""COMPUTED_VALUE"""),"150778;INF209KB12O3;-;Aditya Birla Sun Life Crisil IBX Gilt-Apr-2029 Index Fund-Direct Growth;10.751;25-Aug-2023")</f>
        <v>150778;INF209KB12O3;-;Aditya Birla Sun Life Crisil IBX Gilt-Apr-2029 Index Fund-Direct Growth;10.751;25-Aug-2023</v>
      </c>
      <c r="B9213" s="1"/>
    </row>
    <row r="9214">
      <c r="A9214" s="1" t="str">
        <f>IFERROR(__xludf.DUMMYFUNCTION("""COMPUTED_VALUE"""),"151577;INF209KB11U2;-;Aditya Birla Sun Life Crisil IBX Gilt Apr 2028 Index Fund-Direct Growth;10.3137;25-Aug-2023")</f>
        <v>151577;INF209KB11U2;-;Aditya Birla Sun Life Crisil IBX Gilt Apr 2028 Index Fund-Direct Growth;10.3137;25-Aug-2023</v>
      </c>
      <c r="B9214" s="1"/>
    </row>
    <row r="9215">
      <c r="A9215" s="1" t="str">
        <f>IFERROR(__xludf.DUMMYFUNCTION("""COMPUTED_VALUE"""),"151584;INF209KB12U0;-;Aditya Birla Sun Life Crisil IBX Gilt Apr 2028 Index Fund-Direct IDCW;10.3144;25-Aug-2023")</f>
        <v>151584;INF209KB12U0;-;Aditya Birla Sun Life Crisil IBX Gilt Apr 2028 Index Fund-Direct IDCW;10.3144;25-Aug-2023</v>
      </c>
      <c r="B9215" s="1"/>
    </row>
    <row r="9216">
      <c r="A9216" s="1" t="str">
        <f>IFERROR(__xludf.DUMMYFUNCTION("""COMPUTED_VALUE"""),"151583;INF209KB19T7;-;Aditya Birla Sun Life Crisil IBX Gilt Apr 2028 Index Fund-Regular Growth;10.2996;25-Aug-2023")</f>
        <v>151583;INF209KB19T7;-;Aditya Birla Sun Life Crisil IBX Gilt Apr 2028 Index Fund-Regular Growth;10.2996;25-Aug-2023</v>
      </c>
      <c r="B9216" s="1"/>
    </row>
    <row r="9217">
      <c r="A9217" s="1" t="str">
        <f>IFERROR(__xludf.DUMMYFUNCTION("""COMPUTED_VALUE"""),"151582;INF209KB10U4;-;Aditya Birla Sun Life Crisil IBX Gilt Apr 2028 Index Fund-Regular IDCW;10.2998;25-Aug-2023")</f>
        <v>151582;INF209KB10U4;-;Aditya Birla Sun Life Crisil IBX Gilt Apr 2028 Index Fund-Regular IDCW;10.2998;25-Aug-2023</v>
      </c>
      <c r="B9217" s="1"/>
    </row>
    <row r="9218">
      <c r="A9218" s="1" t="str">
        <f>IFERROR(__xludf.DUMMYFUNCTION("""COMPUTED_VALUE"""),"150699;INF209KB11N7;-;Aditya Birla Sun Life Crisil IBX Gilt- April 2026 Index Fund-Direct IDCW;10.6674;25-Aug-2023")</f>
        <v>150699;INF209KB11N7;-;Aditya Birla Sun Life Crisil IBX Gilt- April 2026 Index Fund-Direct IDCW;10.6674;25-Aug-2023</v>
      </c>
      <c r="B9218" s="1"/>
    </row>
    <row r="9219">
      <c r="A9219" s="1" t="str">
        <f>IFERROR(__xludf.DUMMYFUNCTION("""COMPUTED_VALUE"""),"150698;INF209KB10N9;-;Aditya Birla Sun Life Crisil IBX Gilt-April 2026 Index Fund-Direct Growth;10.6666;25-Aug-2023")</f>
        <v>150698;INF209KB10N9;-;Aditya Birla Sun Life Crisil IBX Gilt-April 2026 Index Fund-Direct Growth;10.6666;25-Aug-2023</v>
      </c>
      <c r="B9219" s="1"/>
    </row>
    <row r="9220">
      <c r="A9220" s="1" t="str">
        <f>IFERROR(__xludf.DUMMYFUNCTION("""COMPUTED_VALUE"""),"150701;INF209KB18M4;-;Aditya Birla Sun Life Crisil IBX Gilt-April 2026 Index Fund-Regular Growth;10.6515;25-Aug-2023")</f>
        <v>150701;INF209KB18M4;-;Aditya Birla Sun Life Crisil IBX Gilt-April 2026 Index Fund-Regular Growth;10.6515;25-Aug-2023</v>
      </c>
      <c r="B9220" s="1"/>
    </row>
    <row r="9221">
      <c r="A9221" s="1" t="str">
        <f>IFERROR(__xludf.DUMMYFUNCTION("""COMPUTED_VALUE"""),"150700;INF209KB19M2;-;Aditya Birla Sun Life Crisil IBX Gilt-April 2026 Index Fund-Regular IDCW;10.652;25-Aug-2023")</f>
        <v>150700;INF209KB19M2;-;Aditya Birla Sun Life Crisil IBX Gilt-April 2026 Index Fund-Regular IDCW;10.652;25-Aug-2023</v>
      </c>
      <c r="B9221" s="1"/>
    </row>
    <row r="9222">
      <c r="A9222" s="1" t="str">
        <f>IFERROR(__xludf.DUMMYFUNCTION("""COMPUTED_VALUE"""),"151427;-;-;Aditya Birla Sun Life CRISIL IBX SDL Jun 2032 INDEX FUND - Direct Growth;10.5049;25-Aug-2023")</f>
        <v>151427;-;-;Aditya Birla Sun Life CRISIL IBX SDL Jun 2032 INDEX FUND - Direct Growth;10.5049;25-Aug-2023</v>
      </c>
      <c r="B9222" s="1"/>
    </row>
    <row r="9223">
      <c r="A9223" s="1" t="str">
        <f>IFERROR(__xludf.DUMMYFUNCTION("""COMPUTED_VALUE"""),"151425;-;-;Aditya Birla Sun Life CRISIL IBX SDL Jun 2032 INDEX FUND - Direct IDCW Payout;10.5062;25-Aug-2023")</f>
        <v>151425;-;-;Aditya Birla Sun Life CRISIL IBX SDL Jun 2032 INDEX FUND - Direct IDCW Payout;10.5062;25-Aug-2023</v>
      </c>
      <c r="B9223" s="1"/>
    </row>
    <row r="9224">
      <c r="A9224" s="1" t="str">
        <f>IFERROR(__xludf.DUMMYFUNCTION("""COMPUTED_VALUE"""),"151428;-;-;Aditya Birla Sun Life CRISIL IBX SDL Jun 2032 INDEX FUND - Regular Growth;10.4854;25-Aug-2023")</f>
        <v>151428;-;-;Aditya Birla Sun Life CRISIL IBX SDL Jun 2032 INDEX FUND - Regular Growth;10.4854;25-Aug-2023</v>
      </c>
      <c r="B9224" s="1"/>
    </row>
    <row r="9225">
      <c r="A9225" s="1" t="str">
        <f>IFERROR(__xludf.DUMMYFUNCTION("""COMPUTED_VALUE"""),"151426;-;-;Aditya Birla Sun Life CRISIL IBX SDL Jun 2032 INDEX FUND - Regular IDCW Payout;10.4856;25-Aug-2023")</f>
        <v>151426;-;-;Aditya Birla Sun Life CRISIL IBX SDL Jun 2032 INDEX FUND - Regular IDCW Payout;10.4856;25-Aug-2023</v>
      </c>
      <c r="B9225" s="1"/>
    </row>
    <row r="9226">
      <c r="A9226" s="1" t="str">
        <f>IFERROR(__xludf.DUMMYFUNCTION("""COMPUTED_VALUE"""),"148962;INF209KB1Z71;-;Aditya Birla Sun Life Nifty 50 Equal Weight Index Fund-Direct Growth;12.9546;25-Aug-2023")</f>
        <v>148962;INF209KB1Z71;-;Aditya Birla Sun Life Nifty 50 Equal Weight Index Fund-Direct Growth;12.9546;25-Aug-2023</v>
      </c>
      <c r="B9226" s="1"/>
    </row>
    <row r="9227">
      <c r="A9227" s="1" t="str">
        <f>IFERROR(__xludf.DUMMYFUNCTION("""COMPUTED_VALUE"""),"148963;INF209KB1Z89;INF209KB1Z97;Aditya Birla Sun Life Nifty 50 Equal Weight Index Fund-Direct-IDCW;12.9547;25-Aug-2023")</f>
        <v>148963;INF209KB1Z89;INF209KB1Z97;Aditya Birla Sun Life Nifty 50 Equal Weight Index Fund-Direct-IDCW;12.9547;25-Aug-2023</v>
      </c>
      <c r="B9227" s="1"/>
    </row>
    <row r="9228">
      <c r="A9228" s="1" t="str">
        <f>IFERROR(__xludf.DUMMYFUNCTION("""COMPUTED_VALUE"""),"148965;INF209KB1Z48;-;Aditya Birla Sun Life Nifty 50 Equal Weight Index Fund-Regular Growth;12.7699;25-Aug-2023")</f>
        <v>148965;INF209KB1Z48;-;Aditya Birla Sun Life Nifty 50 Equal Weight Index Fund-Regular Growth;12.7699;25-Aug-2023</v>
      </c>
      <c r="B9228" s="1"/>
    </row>
    <row r="9229">
      <c r="A9229" s="1" t="str">
        <f>IFERROR(__xludf.DUMMYFUNCTION("""COMPUTED_VALUE"""),"148964;INF209KB1Z55;INF209KB1Z63;Aditya Birla Sun Life Nifty 50 Equal Weight Index Fund-Regular IDCW;12.7699;25-Aug-2023")</f>
        <v>148964;INF209KB1Z55;INF209KB1Z63;Aditya Birla Sun Life Nifty 50 Equal Weight Index Fund-Regular IDCW;12.7699;25-Aug-2023</v>
      </c>
      <c r="B9229" s="1"/>
    </row>
    <row r="9230">
      <c r="A9230" s="1" t="str">
        <f>IFERROR(__xludf.DUMMYFUNCTION("""COMPUTED_VALUE"""),"119648;INF209K01VY3;-;Aditya Birla Sun Life Nifty 50 Index Fund - Growth - Direct Plan;195.7656;25-Aug-2023")</f>
        <v>119648;INF209K01VY3;-;Aditya Birla Sun Life Nifty 50 Index Fund - Growth - Direct Plan;195.7656;25-Aug-2023</v>
      </c>
      <c r="B9230" s="1"/>
    </row>
    <row r="9231">
      <c r="A9231" s="1" t="str">
        <f>IFERROR(__xludf.DUMMYFUNCTION("""COMPUTED_VALUE"""),"101314;INF209K01LB2;-;Aditya Birla Sun Life Nifty 50 Index Fund - Growth - Regular Plan;192.5548;25-Aug-2023")</f>
        <v>101314;INF209K01LB2;-;Aditya Birla Sun Life Nifty 50 Index Fund - Growth - Regular Plan;192.5548;25-Aug-2023</v>
      </c>
      <c r="B9231" s="1"/>
    </row>
    <row r="9232">
      <c r="A9232" s="1" t="str">
        <f>IFERROR(__xludf.DUMMYFUNCTION("""COMPUTED_VALUE"""),"119649;INF209K01VX5;-;Aditya Birla Sun Life Nifty 50 Index Fund -DIRECT - IDCW;20.2387;25-Aug-2023")</f>
        <v>119649;INF209K01VX5;-;Aditya Birla Sun Life Nifty 50 Index Fund -DIRECT - IDCW;20.2387;25-Aug-2023</v>
      </c>
      <c r="B9232" s="1"/>
    </row>
    <row r="9233">
      <c r="A9233" s="1" t="str">
        <f>IFERROR(__xludf.DUMMYFUNCTION("""COMPUTED_VALUE"""),"101313;INF209K01LA4;INF209K01LC0;Aditya Birla Sun Life Nifty 50 Index Fund -REGULAR - IDCW;19.6774;25-Aug-2023")</f>
        <v>101313;INF209K01LA4;INF209K01LC0;Aditya Birla Sun Life Nifty 50 Index Fund -REGULAR - IDCW;19.6774;25-Aug-2023</v>
      </c>
      <c r="B9233" s="1"/>
    </row>
    <row r="9234">
      <c r="A9234" s="1" t="str">
        <f>IFERROR(__xludf.DUMMYFUNCTION("""COMPUTED_VALUE"""),"148809;INF209KB1W82;INF209KB1W90;Aditya Birla Sun Life Nifty Midcap 150 Index Fund - Direct - Payout of IDCW;16.2018;25-Aug-2023")</f>
        <v>148809;INF209KB1W82;INF209KB1W90;Aditya Birla Sun Life Nifty Midcap 150 Index Fund - Direct - Payout of IDCW;16.2018;25-Aug-2023</v>
      </c>
      <c r="B9234" s="1"/>
    </row>
    <row r="9235">
      <c r="A9235" s="1" t="str">
        <f>IFERROR(__xludf.DUMMYFUNCTION("""COMPUTED_VALUE"""),"148806;INF209KB1W58;INF209KB1W66;Aditya Birla Sun Life Nifty Midcap 150 Index Fund - Regular - Payout of IDCW;15.9436;25-Aug-2023")</f>
        <v>148806;INF209KB1W58;INF209KB1W66;Aditya Birla Sun Life Nifty Midcap 150 Index Fund - Regular - Payout of IDCW;15.9436;25-Aug-2023</v>
      </c>
      <c r="B9235" s="1"/>
    </row>
    <row r="9236">
      <c r="A9236" s="1" t="str">
        <f>IFERROR(__xludf.DUMMYFUNCTION("""COMPUTED_VALUE"""),"148807;INF209KB1W74;-;Aditya Birla Sun Life Nifty Midcap 150 Index Fund-Direct Growth;16.2022;25-Aug-2023")</f>
        <v>148807;INF209KB1W74;-;Aditya Birla Sun Life Nifty Midcap 150 Index Fund-Direct Growth;16.2022;25-Aug-2023</v>
      </c>
      <c r="B9236" s="1"/>
    </row>
    <row r="9237">
      <c r="A9237" s="1" t="str">
        <f>IFERROR(__xludf.DUMMYFUNCTION("""COMPUTED_VALUE"""),"148805;INF209KB1W41;-;Aditya Birla Sun Life Nifty Midcap 150 Index Fund-Regular Growth;15.9457;25-Aug-2023")</f>
        <v>148805;INF209KB1W41;-;Aditya Birla Sun Life Nifty Midcap 150 Index Fund-Regular Growth;15.9457;25-Aug-2023</v>
      </c>
      <c r="B9237" s="1"/>
    </row>
    <row r="9238">
      <c r="A9238" s="1" t="str">
        <f>IFERROR(__xludf.DUMMYFUNCTION("""COMPUTED_VALUE"""),"149838;INF209KB10G3;-;Aditya Birla Sun Life Nifty Next 50 Index Fund-Direct Growth;10.8746;25-Aug-2023")</f>
        <v>149838;INF209KB10G3;-;Aditya Birla Sun Life Nifty Next 50 Index Fund-Direct Growth;10.8746;25-Aug-2023</v>
      </c>
      <c r="B9238" s="1"/>
    </row>
    <row r="9239">
      <c r="A9239" s="1" t="str">
        <f>IFERROR(__xludf.DUMMYFUNCTION("""COMPUTED_VALUE"""),"149839;INF209KB11G1;-;Aditya Birla Sun Life Nifty Next 50 Index Fund-Direct IDCW;10.8738;25-Aug-2023")</f>
        <v>149839;INF209KB11G1;-;Aditya Birla Sun Life Nifty Next 50 Index Fund-Direct IDCW;10.8738;25-Aug-2023</v>
      </c>
      <c r="B9239" s="1"/>
    </row>
    <row r="9240">
      <c r="A9240" s="1" t="str">
        <f>IFERROR(__xludf.DUMMYFUNCTION("""COMPUTED_VALUE"""),"149837;INF209KB12G9;-;Aditya Birla Sun Life Nifty Next 50 Index Fund-Regular Growth;10.7673;25-Aug-2023")</f>
        <v>149837;INF209KB12G9;-;Aditya Birla Sun Life Nifty Next 50 Index Fund-Regular Growth;10.7673;25-Aug-2023</v>
      </c>
      <c r="B9240" s="1"/>
    </row>
    <row r="9241">
      <c r="A9241" s="1" t="str">
        <f>IFERROR(__xludf.DUMMYFUNCTION("""COMPUTED_VALUE"""),"149836;INF209KB13G7;-;Aditya Birla Sun Life Nifty Next 50 Index Fund-Regular IDCW;10.7671;25-Aug-2023")</f>
        <v>149836;INF209KB13G7;-;Aditya Birla Sun Life Nifty Next 50 Index Fund-Regular IDCW;10.7671;25-Aug-2023</v>
      </c>
      <c r="B9241" s="1"/>
    </row>
    <row r="9242">
      <c r="A9242" s="1" t="str">
        <f>IFERROR(__xludf.DUMMYFUNCTION("""COMPUTED_VALUE"""),"149794;INF209KB11F3;-;Aditya Birla Sun Life Nifty SDL Apr 2027 Index Fund-Direct Growth;10.7574;25-Aug-2023")</f>
        <v>149794;INF209KB11F3;-;Aditya Birla Sun Life Nifty SDL Apr 2027 Index Fund-Direct Growth;10.7574;25-Aug-2023</v>
      </c>
      <c r="B9242" s="1"/>
    </row>
    <row r="9243">
      <c r="A9243" s="1" t="str">
        <f>IFERROR(__xludf.DUMMYFUNCTION("""COMPUTED_VALUE"""),"149793;INF209KB12F1;-;Aditya Birla Sun Life Nifty SDL Apr 2027 Index Fund-Direct IDCW Payout;10.7572;25-Aug-2023")</f>
        <v>149793;INF209KB12F1;-;Aditya Birla Sun Life Nifty SDL Apr 2027 Index Fund-Direct IDCW Payout;10.7572;25-Aug-2023</v>
      </c>
      <c r="B9243" s="1"/>
    </row>
    <row r="9244">
      <c r="A9244" s="1" t="str">
        <f>IFERROR(__xludf.DUMMYFUNCTION("""COMPUTED_VALUE"""),"149792;INF209KB19E9;-;Aditya Birla Sun Life Nifty SDL Apr 2027 Index Fund-Regular Growth;10.705;25-Aug-2023")</f>
        <v>149792;INF209KB19E9;-;Aditya Birla Sun Life Nifty SDL Apr 2027 Index Fund-Regular Growth;10.705;25-Aug-2023</v>
      </c>
      <c r="B9244" s="1"/>
    </row>
    <row r="9245">
      <c r="A9245" s="1" t="str">
        <f>IFERROR(__xludf.DUMMYFUNCTION("""COMPUTED_VALUE"""),"149791;INF209KB10F5;-;Aditya Birla Sun Life Nifty SDL Apr 2027 Index Fund-Regular-IDCW Payout;10.7051;25-Aug-2023")</f>
        <v>149791;INF209KB10F5;-;Aditya Birla Sun Life Nifty SDL Apr 2027 Index Fund-Regular-IDCW Payout;10.7051;25-Aug-2023</v>
      </c>
      <c r="B9245" s="1"/>
    </row>
    <row r="9246">
      <c r="A9246" s="1" t="str">
        <f>IFERROR(__xludf.DUMMYFUNCTION("""COMPUTED_VALUE"""),"149199;INF209KB18B7;-;Aditya Birla Sun Life Nifty SDL Plus PSU Bond SEP 2026 60:40 Index Fund-Direct Growth;10.7811;25-Aug-2023")</f>
        <v>149199;INF209KB18B7;-;Aditya Birla Sun Life Nifty SDL Plus PSU Bond SEP 2026 60:40 Index Fund-Direct Growth;10.7811;25-Aug-2023</v>
      </c>
      <c r="B9246" s="1"/>
    </row>
    <row r="9247">
      <c r="A9247" s="1" t="str">
        <f>IFERROR(__xludf.DUMMYFUNCTION("""COMPUTED_VALUE"""),"149200;INF209KB19B5;-;Aditya Birla Sun Life Nifty SDL Plus PSU Bond SEP 2026 60:40 Index Fund-Direct IDCW;10.7812;25-Aug-2023")</f>
        <v>149200;INF209KB19B5;-;Aditya Birla Sun Life Nifty SDL Plus PSU Bond SEP 2026 60:40 Index Fund-Direct IDCW;10.7812;25-Aug-2023</v>
      </c>
      <c r="B9247" s="1"/>
    </row>
    <row r="9248">
      <c r="A9248" s="1" t="str">
        <f>IFERROR(__xludf.DUMMYFUNCTION("""COMPUTED_VALUE"""),"149198;INF209KB16B1;-;Aditya Birla Sun Life Nifty SDL Plus PSU Bond SEP 2026 60:40 Index Fund-Regular Growth;10.748;25-Aug-2023")</f>
        <v>149198;INF209KB16B1;-;Aditya Birla Sun Life Nifty SDL Plus PSU Bond SEP 2026 60:40 Index Fund-Regular Growth;10.748;25-Aug-2023</v>
      </c>
      <c r="B9248" s="1"/>
    </row>
    <row r="9249">
      <c r="A9249" s="1" t="str">
        <f>IFERROR(__xludf.DUMMYFUNCTION("""COMPUTED_VALUE"""),"149201;INF209KB17B9;-;Aditya Birla Sun Life Nifty SDL Plus PSU Bond SEP 2026 60:40 Index Fund-Regular IDCW;10.7487;25-Aug-2023")</f>
        <v>149201;INF209KB17B9;-;Aditya Birla Sun Life Nifty SDL Plus PSU Bond SEP 2026 60:40 Index Fund-Regular IDCW;10.7487;25-Aug-2023</v>
      </c>
      <c r="B9249" s="1"/>
    </row>
    <row r="9250">
      <c r="A9250" s="1" t="str">
        <f>IFERROR(__xludf.DUMMYFUNCTION("""COMPUTED_VALUE"""),"150663;INF209KB10M1;-;Aditya Birla Sun Life Nifty SDL Sep 2025 Index Fund-Direct Growth;10.6766;25-Aug-2023")</f>
        <v>150663;INF209KB10M1;-;Aditya Birla Sun Life Nifty SDL Sep 2025 Index Fund-Direct Growth;10.6766;25-Aug-2023</v>
      </c>
      <c r="B9250" s="1"/>
    </row>
    <row r="9251">
      <c r="A9251" s="1" t="str">
        <f>IFERROR(__xludf.DUMMYFUNCTION("""COMPUTED_VALUE"""),"150664;INF209KB11M9;-;Aditya Birla Sun Life Nifty SDL Sep 2025 Index Fund-Direct IDCW;10.6767;25-Aug-2023")</f>
        <v>150664;INF209KB11M9;-;Aditya Birla Sun Life Nifty SDL Sep 2025 Index Fund-Direct IDCW;10.6767;25-Aug-2023</v>
      </c>
      <c r="B9251" s="1"/>
    </row>
    <row r="9252">
      <c r="A9252" s="1" t="str">
        <f>IFERROR(__xludf.DUMMYFUNCTION("""COMPUTED_VALUE"""),"150665;INF209KB18L6;-;Aditya Birla Sun Life Nifty SDL SEP 2025 Index Fund-Regular Growth;10.6614;25-Aug-2023")</f>
        <v>150665;INF209KB18L6;-;Aditya Birla Sun Life Nifty SDL SEP 2025 Index Fund-Regular Growth;10.6614;25-Aug-2023</v>
      </c>
      <c r="B9252" s="1"/>
    </row>
    <row r="9253">
      <c r="A9253" s="1" t="str">
        <f>IFERROR(__xludf.DUMMYFUNCTION("""COMPUTED_VALUE"""),"150667;INF209KB19L4;-;Aditya Birla Sun Life Nifty SDL Sep 2025 Index Fund-Regular IDCW;10.6614;25-Aug-2023")</f>
        <v>150667;INF209KB19L4;-;Aditya Birla Sun Life Nifty SDL Sep 2025 Index Fund-Regular IDCW;10.6614;25-Aug-2023</v>
      </c>
      <c r="B9253" s="1"/>
    </row>
    <row r="9254">
      <c r="A9254" s="1" t="str">
        <f>IFERROR(__xludf.DUMMYFUNCTION("""COMPUTED_VALUE"""),"151562;INF209KB16T3;-;Aditya Birla Sun Life Nifty SDL SEP 2027 Index Fund-Direct Growth;10.4083;25-Aug-2023")</f>
        <v>151562;INF209KB16T3;-;Aditya Birla Sun Life Nifty SDL SEP 2027 Index Fund-Direct Growth;10.4083;25-Aug-2023</v>
      </c>
      <c r="B9254" s="1"/>
    </row>
    <row r="9255">
      <c r="A9255" s="1" t="str">
        <f>IFERROR(__xludf.DUMMYFUNCTION("""COMPUTED_VALUE"""),"151563;INF209KB17T1;-;Aditya Birla Sun Life Nifty SDL SEP 2027 Index Fund-Direct IDCW;10.4082;25-Aug-2023")</f>
        <v>151563;INF209KB17T1;-;Aditya Birla Sun Life Nifty SDL SEP 2027 Index Fund-Direct IDCW;10.4082;25-Aug-2023</v>
      </c>
      <c r="B9255" s="1"/>
    </row>
    <row r="9256">
      <c r="A9256" s="1" t="str">
        <f>IFERROR(__xludf.DUMMYFUNCTION("""COMPUTED_VALUE"""),"151560;INF209KB14T8;-;Aditya Birla Sun Life Nifty SDL SEP 2027 Index Fund-Regular Growth;10.394;25-Aug-2023")</f>
        <v>151560;INF209KB14T8;-;Aditya Birla Sun Life Nifty SDL SEP 2027 Index Fund-Regular Growth;10.394;25-Aug-2023</v>
      </c>
      <c r="B9256" s="1"/>
    </row>
    <row r="9257">
      <c r="A9257" s="1" t="str">
        <f>IFERROR(__xludf.DUMMYFUNCTION("""COMPUTED_VALUE"""),"151561;INF209KB15T5;-;Aditya Birla Sun Life Nifty SDL SEP 2027 Index Fund-Regular IDCW;10.394;25-Aug-2023")</f>
        <v>151561;INF209KB15T5;-;Aditya Birla Sun Life Nifty SDL SEP 2027 Index Fund-Regular IDCW;10.394;25-Aug-2023</v>
      </c>
      <c r="B9257" s="1"/>
    </row>
    <row r="9258">
      <c r="A9258" s="1" t="str">
        <f>IFERROR(__xludf.DUMMYFUNCTION("""COMPUTED_VALUE"""),"148814;INF209KB1W25;INF209KB1W33;Aditya Birla Sun Life Nifty Smallcap 50 Index Fund-Direct - Payout of IDCW;13.3995;25-Aug-2023")</f>
        <v>148814;INF209KB1W25;INF209KB1W33;Aditya Birla Sun Life Nifty Smallcap 50 Index Fund-Direct - Payout of IDCW;13.3995;25-Aug-2023</v>
      </c>
      <c r="B9258" s="1"/>
    </row>
    <row r="9259">
      <c r="A9259" s="1" t="str">
        <f>IFERROR(__xludf.DUMMYFUNCTION("""COMPUTED_VALUE"""),"148815;INF209KB1W17;-;Aditya Birla Sun Life Nifty Smallcap 50 Index Fund-Direct Growth;13.4019;25-Aug-2023")</f>
        <v>148815;INF209KB1W17;-;Aditya Birla Sun Life Nifty Smallcap 50 Index Fund-Direct Growth;13.4019;25-Aug-2023</v>
      </c>
      <c r="B9259" s="1"/>
    </row>
    <row r="9260">
      <c r="A9260" s="1" t="str">
        <f>IFERROR(__xludf.DUMMYFUNCTION("""COMPUTED_VALUE"""),"148812;INF209KB1V91;INF209KB1W09;Aditya Birla Sun Life Nifty Smallcap 50 Index Fund-Regular - Payout of IDCW;13.1884;25-Aug-2023")</f>
        <v>148812;INF209KB1V91;INF209KB1W09;Aditya Birla Sun Life Nifty Smallcap 50 Index Fund-Regular - Payout of IDCW;13.1884;25-Aug-2023</v>
      </c>
      <c r="B9260" s="1"/>
    </row>
    <row r="9261">
      <c r="A9261" s="1" t="str">
        <f>IFERROR(__xludf.DUMMYFUNCTION("""COMPUTED_VALUE"""),"148811;INF209KB1V83;-;Aditya Birla Sun Life Nifty Smallcap 50 Index Fund-Regular Growth;13.1883;25-Aug-2023")</f>
        <v>148811;INF209KB1V83;-;Aditya Birla Sun Life Nifty Smallcap 50 Index Fund-Regular Growth;13.1883;25-Aug-2023</v>
      </c>
      <c r="B9261" s="1"/>
    </row>
    <row r="9262">
      <c r="A9262" s="1"/>
      <c r="B9262" s="1"/>
    </row>
    <row r="9263">
      <c r="A9263" s="1" t="str">
        <f>IFERROR(__xludf.DUMMYFUNCTION("""COMPUTED_VALUE"""),"Axis Mutual Fund")</f>
        <v>Axis Mutual Fund</v>
      </c>
      <c r="B9263" s="1"/>
    </row>
    <row r="9264">
      <c r="A9264" s="1"/>
      <c r="B9264" s="1"/>
    </row>
    <row r="9265">
      <c r="A9265" s="1" t="str">
        <f>IFERROR(__xludf.DUMMYFUNCTION("""COMPUTED_VALUE"""),"151300;INF846K010N7;-;Axis CRISIL IBX 50:50 Gilt Plus SDL June 2028 Index Fund - Direct Plan - Growth;10.4122;25-Aug-2023")</f>
        <v>151300;INF846K010N7;-;Axis CRISIL IBX 50:50 Gilt Plus SDL June 2028 Index Fund - Direct Plan - Growth;10.4122;25-Aug-2023</v>
      </c>
      <c r="B9265" s="1"/>
    </row>
    <row r="9266">
      <c r="A9266" s="1" t="str">
        <f>IFERROR(__xludf.DUMMYFUNCTION("""COMPUTED_VALUE"""),"151299;INF846K011N5;INF846K012N3;Axis CRISIL IBX 50:50 Gilt Plus SDL June 2028 Index Fund - Direct Plan - IDCW;10.4128;25-Aug-2023")</f>
        <v>151299;INF846K011N5;INF846K012N3;Axis CRISIL IBX 50:50 Gilt Plus SDL June 2028 Index Fund - Direct Plan - IDCW;10.4128;25-Aug-2023</v>
      </c>
      <c r="B9266" s="1"/>
    </row>
    <row r="9267">
      <c r="A9267" s="1" t="str">
        <f>IFERROR(__xludf.DUMMYFUNCTION("""COMPUTED_VALUE"""),"151297;INF846K013N1;-;Axis CRISIL IBX 50:50 Gilt Plus SDL June 2028 Index Fund - Regular Plan - Growth;10.3989;25-Aug-2023")</f>
        <v>151297;INF846K013N1;-;Axis CRISIL IBX 50:50 Gilt Plus SDL June 2028 Index Fund - Regular Plan - Growth;10.3989;25-Aug-2023</v>
      </c>
      <c r="B9267" s="1"/>
    </row>
    <row r="9268">
      <c r="A9268" s="1" t="str">
        <f>IFERROR(__xludf.DUMMYFUNCTION("""COMPUTED_VALUE"""),"151298;INF846K014N9;INF846K015N6;Axis CRISIL IBX 50:50 Gilt Plus SDL June 2028 Index Fund - Regular Plan - IDCW;10.3989;25-Aug-2023")</f>
        <v>151298;INF846K014N9;INF846K015N6;Axis CRISIL IBX 50:50 Gilt Plus SDL June 2028 Index Fund - Regular Plan - IDCW;10.3989;25-Aug-2023</v>
      </c>
      <c r="B9268" s="1"/>
    </row>
    <row r="9269">
      <c r="A9269" s="1" t="str">
        <f>IFERROR(__xludf.DUMMYFUNCTION("""COMPUTED_VALUE"""),"149753;INF846K015F2;-;Axis CRISIL IBX 70:30 CPSE Plus SDL April 2025 Index Fund - Direct Plan - Growth;10.6784;25-Aug-2023")</f>
        <v>149753;INF846K015F2;-;Axis CRISIL IBX 70:30 CPSE Plus SDL April 2025 Index Fund - Direct Plan - Growth;10.6784;25-Aug-2023</v>
      </c>
      <c r="B9269" s="1"/>
    </row>
    <row r="9270">
      <c r="A9270" s="1" t="str">
        <f>IFERROR(__xludf.DUMMYFUNCTION("""COMPUTED_VALUE"""),"149755;INF846K018F6;-;Axis CRISIL IBX 70:30 CPSE Plus SDL April 2025 Index Fund - Regular Plan - Growth;10.6532;25-Aug-2023")</f>
        <v>149755;INF846K018F6;-;Axis CRISIL IBX 70:30 CPSE Plus SDL April 2025 Index Fund - Regular Plan - Growth;10.6532;25-Aug-2023</v>
      </c>
      <c r="B9270" s="1"/>
    </row>
    <row r="9271">
      <c r="A9271" s="1" t="str">
        <f>IFERROR(__xludf.DUMMYFUNCTION("""COMPUTED_VALUE"""),"149756;INF846K019F4;INF846K010G1;Axis CRISIL IBX 70:30 CPSE Plus SDL April 2025 Index Fund - Regular Plan - IDCW;10.6533;25-Aug-2023")</f>
        <v>149756;INF846K019F4;INF846K010G1;Axis CRISIL IBX 70:30 CPSE Plus SDL April 2025 Index Fund - Regular Plan - IDCW;10.6533;25-Aug-2023</v>
      </c>
      <c r="B9271" s="1"/>
    </row>
    <row r="9272">
      <c r="A9272" s="1" t="str">
        <f>IFERROR(__xludf.DUMMYFUNCTION("""COMPUTED_VALUE"""),"149754;INF846K016F0;INF846K017F8;Axis CRISIL IBX 70:30 CPSE Plus SDL April 2025 Index Fund- Direct Plan - IDCW;10.6784;25-Aug-2023")</f>
        <v>149754;INF846K016F0;INF846K017F8;Axis CRISIL IBX 70:30 CPSE Plus SDL April 2025 Index Fund- Direct Plan - IDCW;10.6784;25-Aug-2023</v>
      </c>
      <c r="B9272" s="1"/>
    </row>
    <row r="9273">
      <c r="A9273" s="1" t="str">
        <f>IFERROR(__xludf.DUMMYFUNCTION("""COMPUTED_VALUE"""),"149873;INF846K017G6;-;Axis CRISIL IBX SDL May 2027 Index Fund - Direct Plan - Growth;10.6288;25-Aug-2023")</f>
        <v>149873;INF846K017G6;-;Axis CRISIL IBX SDL May 2027 Index Fund - Direct Plan - Growth;10.6288;25-Aug-2023</v>
      </c>
      <c r="B9273" s="1"/>
    </row>
    <row r="9274">
      <c r="A9274" s="1" t="str">
        <f>IFERROR(__xludf.DUMMYFUNCTION("""COMPUTED_VALUE"""),"149874;INF846K018G4;INF846K019G2;Axis CRISIL IBX SDL May 2027 Index Fund - Direct Plan - IDCW;10.6285;25-Aug-2023")</f>
        <v>149874;INF846K018G4;INF846K019G2;Axis CRISIL IBX SDL May 2027 Index Fund - Direct Plan - IDCW;10.6285;25-Aug-2023</v>
      </c>
      <c r="B9274" s="1"/>
    </row>
    <row r="9275">
      <c r="A9275" s="1" t="str">
        <f>IFERROR(__xludf.DUMMYFUNCTION("""COMPUTED_VALUE"""),"149872;INF846K010H9;-;Axis CRISIL IBX SDL May 2027 Index Fund - Regular Plan - Growth;10.6048;25-Aug-2023")</f>
        <v>149872;INF846K010H9;-;Axis CRISIL IBX SDL May 2027 Index Fund - Regular Plan - Growth;10.6048;25-Aug-2023</v>
      </c>
      <c r="B9275" s="1"/>
    </row>
    <row r="9276">
      <c r="A9276" s="1" t="str">
        <f>IFERROR(__xludf.DUMMYFUNCTION("""COMPUTED_VALUE"""),"149875;INF846K011H7;INF846K012H5;Axis CRISIL IBX SDL May 2027 Index Fund - Regular Plan - IDCW;10.6048;25-Aug-2023")</f>
        <v>149875;INF846K011H7;INF846K012H5;Axis CRISIL IBX SDL May 2027 Index Fund - Regular Plan - IDCW;10.6048;25-Aug-2023</v>
      </c>
      <c r="B9276" s="1"/>
    </row>
    <row r="9277">
      <c r="A9277" s="1" t="str">
        <f>IFERROR(__xludf.DUMMYFUNCTION("""COMPUTED_VALUE"""),"147666;INF846K01S29;-;Axis Nifty 100 Index Fund - Direct Plan - Growth Option;16.7995;25-Aug-2023")</f>
        <v>147666;INF846K01S29;-;Axis Nifty 100 Index Fund - Direct Plan - Growth Option;16.7995;25-Aug-2023</v>
      </c>
      <c r="B9277" s="1"/>
    </row>
    <row r="9278">
      <c r="A9278" s="1" t="str">
        <f>IFERROR(__xludf.DUMMYFUNCTION("""COMPUTED_VALUE"""),"147668;INF846K01S37;INF846K01S45;Axis Nifty 100 Index Fund - Direct Plan - IDCW;16.8235;25-Aug-2023")</f>
        <v>147668;INF846K01S37;INF846K01S45;Axis Nifty 100 Index Fund - Direct Plan - IDCW;16.8235;25-Aug-2023</v>
      </c>
      <c r="B9278" s="1"/>
    </row>
    <row r="9279">
      <c r="A9279" s="1" t="str">
        <f>IFERROR(__xludf.DUMMYFUNCTION("""COMPUTED_VALUE"""),"147665;INF846K01S52;-;Axis Nifty 100 Index Fund - Regular Plan - Growth Option;16.2689;25-Aug-2023")</f>
        <v>147665;INF846K01S52;-;Axis Nifty 100 Index Fund - Regular Plan - Growth Option;16.2689;25-Aug-2023</v>
      </c>
      <c r="B9279" s="1"/>
    </row>
    <row r="9280">
      <c r="A9280" s="1" t="str">
        <f>IFERROR(__xludf.DUMMYFUNCTION("""COMPUTED_VALUE"""),"147667;INF846K01S60;INF846K01S78;Axis Nifty 100 Index Fund - Regular Plan - IDCW;16.2699;25-Aug-2023")</f>
        <v>147667;INF846K01S60;INF846K01S78;Axis Nifty 100 Index Fund - Regular Plan - IDCW;16.2699;25-Aug-2023</v>
      </c>
      <c r="B9280" s="1"/>
    </row>
    <row r="9281">
      <c r="A9281" s="1" t="str">
        <f>IFERROR(__xludf.DUMMYFUNCTION("""COMPUTED_VALUE"""),"149373;INF846K013D2;-;Axis Nifty 50 Index Fund - Direct Plan - Growth;11.3885;25-Aug-2023")</f>
        <v>149373;INF846K013D2;-;Axis Nifty 50 Index Fund - Direct Plan - Growth;11.3885;25-Aug-2023</v>
      </c>
      <c r="B9281" s="1"/>
    </row>
    <row r="9282">
      <c r="A9282" s="1" t="str">
        <f>IFERROR(__xludf.DUMMYFUNCTION("""COMPUTED_VALUE"""),"149374;INF846K014D0;INF846K015D7;Axis Nifty 50 Index Fund - Direct Plan - IDCW;11.3885;25-Aug-2023")</f>
        <v>149374;INF846K014D0;INF846K015D7;Axis Nifty 50 Index Fund - Direct Plan - IDCW;11.3885;25-Aug-2023</v>
      </c>
      <c r="B9282" s="1"/>
    </row>
    <row r="9283">
      <c r="A9283" s="1" t="str">
        <f>IFERROR(__xludf.DUMMYFUNCTION("""COMPUTED_VALUE"""),"149371;INF846K016D5;-;Axis Nifty 50 Index Fund - Regular Plan - Growth Option;11.3296;25-Aug-2023")</f>
        <v>149371;INF846K016D5;-;Axis Nifty 50 Index Fund - Regular Plan - Growth Option;11.3296;25-Aug-2023</v>
      </c>
      <c r="B9283" s="1"/>
    </row>
    <row r="9284">
      <c r="A9284" s="1" t="str">
        <f>IFERROR(__xludf.DUMMYFUNCTION("""COMPUTED_VALUE"""),"149372;INF846K017D3;INF846K018D1;Axis Nifty 50 Index Fund - Regular Plan - IDCW;11.3296;25-Aug-2023")</f>
        <v>149372;INF846K017D3;INF846K018D1;Axis Nifty 50 Index Fund - Regular Plan - IDCW;11.3296;25-Aug-2023</v>
      </c>
      <c r="B9284" s="1"/>
    </row>
    <row r="9285">
      <c r="A9285" s="1" t="str">
        <f>IFERROR(__xludf.DUMMYFUNCTION("""COMPUTED_VALUE"""),"151785;INF846K017R3;-;Axis Nifty IT Index Fund - Direct Plan - Growth;10.3254;25-Aug-2023")</f>
        <v>151785;INF846K017R3;-;Axis Nifty IT Index Fund - Direct Plan - Growth;10.3254;25-Aug-2023</v>
      </c>
      <c r="B9285" s="1"/>
    </row>
    <row r="9286">
      <c r="A9286" s="1" t="str">
        <f>IFERROR(__xludf.DUMMYFUNCTION("""COMPUTED_VALUE"""),"151786;INF846K018R1;INF846K019R9;Axis Nifty IT Index Fund - Direct Plan - IDCW;10.3254;25-Aug-2023")</f>
        <v>151786;INF846K018R1;INF846K019R9;Axis Nifty IT Index Fund - Direct Plan - IDCW;10.3254;25-Aug-2023</v>
      </c>
      <c r="B9286" s="1"/>
    </row>
    <row r="9287">
      <c r="A9287" s="1" t="str">
        <f>IFERROR(__xludf.DUMMYFUNCTION("""COMPUTED_VALUE"""),"151787;INF846K010S6;-;Axis Nifty IT Index Fund - Regular Plan - Growth;10.3174;25-Aug-2023")</f>
        <v>151787;INF846K010S6;-;Axis Nifty IT Index Fund - Regular Plan - Growth;10.3174;25-Aug-2023</v>
      </c>
      <c r="B9287" s="1"/>
    </row>
    <row r="9288">
      <c r="A9288" s="1" t="str">
        <f>IFERROR(__xludf.DUMMYFUNCTION("""COMPUTED_VALUE"""),"151784;INF846K011S4;INF846K012S2;Axis Nifty IT Index Fund - Regular Plan - IDCW;10.3174;25-Aug-2023")</f>
        <v>151784;INF846K011S4;INF846K012S2;Axis Nifty IT Index Fund - Regular Plan - IDCW;10.3174;25-Aug-2023</v>
      </c>
      <c r="B9288" s="1"/>
    </row>
    <row r="9289">
      <c r="A9289" s="1" t="str">
        <f>IFERROR(__xludf.DUMMYFUNCTION("""COMPUTED_VALUE"""),"149936;INF846K019H0;-;Axis Nifty Midcap 50 Index Fund - Direct Plan - Growth Option;13.3809;25-Aug-2023")</f>
        <v>149936;INF846K019H0;-;Axis Nifty Midcap 50 Index Fund - Direct Plan - Growth Option;13.3809;25-Aug-2023</v>
      </c>
      <c r="B9289" s="1"/>
    </row>
    <row r="9290">
      <c r="A9290" s="1" t="str">
        <f>IFERROR(__xludf.DUMMYFUNCTION("""COMPUTED_VALUE"""),"149935;INF846K010I7;INF846K011I5;Axis Nifty Midcap 50 Index Fund - Direct Plan - IDCW Option;13.3805;25-Aug-2023")</f>
        <v>149935;INF846K010I7;INF846K011I5;Axis Nifty Midcap 50 Index Fund - Direct Plan - IDCW Option;13.3805;25-Aug-2023</v>
      </c>
      <c r="B9290" s="1"/>
    </row>
    <row r="9291">
      <c r="A9291" s="1" t="str">
        <f>IFERROR(__xludf.DUMMYFUNCTION("""COMPUTED_VALUE"""),"149938;INF846K012I3;-;Axis Nifty Midcap 50 Index Fund - Regular Plan - Growth Option;13.2394;25-Aug-2023")</f>
        <v>149938;INF846K012I3;-;Axis Nifty Midcap 50 Index Fund - Regular Plan - Growth Option;13.2394;25-Aug-2023</v>
      </c>
      <c r="B9291" s="1"/>
    </row>
    <row r="9292">
      <c r="A9292" s="1" t="str">
        <f>IFERROR(__xludf.DUMMYFUNCTION("""COMPUTED_VALUE"""),"149937;INF846K013I1;INF846K014I9;Axis Nifty Midcap 50 Index Fund - Regular Plan - IDCW Option;13.2395;25-Aug-2023")</f>
        <v>149937;INF846K013I1;INF846K014I9;Axis Nifty Midcap 50 Index Fund - Regular Plan - IDCW Option;13.2395;25-Aug-2023</v>
      </c>
      <c r="B9292" s="1"/>
    </row>
    <row r="9293">
      <c r="A9293" s="1" t="str">
        <f>IFERROR(__xludf.DUMMYFUNCTION("""COMPUTED_VALUE"""),"149466;INF846K019E7;-;Axis Nifty Next 50 Index Fund - Direct Plan - Growth;10.8035;25-Aug-2023")</f>
        <v>149466;INF846K019E7;-;Axis Nifty Next 50 Index Fund - Direct Plan - Growth;10.8035;25-Aug-2023</v>
      </c>
      <c r="B9293" s="1"/>
    </row>
    <row r="9294">
      <c r="A9294" s="1" t="str">
        <f>IFERROR(__xludf.DUMMYFUNCTION("""COMPUTED_VALUE"""),"149469;INF846K010F3;INF846K011F1;Axis Nifty Next 50 Index Fund - Direct Plan - IDCW;10.8034;25-Aug-2023")</f>
        <v>149469;INF846K010F3;INF846K011F1;Axis Nifty Next 50 Index Fund - Direct Plan - IDCW;10.8034;25-Aug-2023</v>
      </c>
      <c r="B9294" s="1"/>
    </row>
    <row r="9295">
      <c r="A9295" s="1" t="str">
        <f>IFERROR(__xludf.DUMMYFUNCTION("""COMPUTED_VALUE"""),"149467;INF846K012F9;-;Axis Nifty Next 50 Index Fund - Regular Plan - Growth;10.7018;25-Aug-2023")</f>
        <v>149467;INF846K012F9;-;Axis Nifty Next 50 Index Fund - Regular Plan - Growth;10.7018;25-Aug-2023</v>
      </c>
      <c r="B9295" s="1"/>
    </row>
    <row r="9296">
      <c r="A9296" s="1" t="str">
        <f>IFERROR(__xludf.DUMMYFUNCTION("""COMPUTED_VALUE"""),"149468;INF846K013F7;INF846K014F5;Axis Nifty Next 50 Index Fund - Regular Plan - IDCW;10.7018;25-Aug-2023")</f>
        <v>149468;INF846K013F7;INF846K014F5;Axis Nifty Next 50 Index Fund - Regular Plan - IDCW;10.7018;25-Aug-2023</v>
      </c>
      <c r="B9296" s="1"/>
    </row>
    <row r="9297">
      <c r="A9297" s="1" t="str">
        <f>IFERROR(__xludf.DUMMYFUNCTION("""COMPUTED_VALUE"""),"150854;INF846K018K6;-;Axis Nifty SDL September 2026 Debt Index Fund - Direct Plan - Growth;10.5417;25-Aug-2023")</f>
        <v>150854;INF846K018K6;-;Axis Nifty SDL September 2026 Debt Index Fund - Direct Plan - Growth;10.5417;25-Aug-2023</v>
      </c>
      <c r="B9297" s="1"/>
    </row>
    <row r="9298">
      <c r="A9298" s="1" t="str">
        <f>IFERROR(__xludf.DUMMYFUNCTION("""COMPUTED_VALUE"""),"150852;INF846K019K4;INF846K010L1;Axis Nifty SDL September 2026 Debt Index Fund - Direct Plan - IDCW;10.5417;25-Aug-2023")</f>
        <v>150852;INF846K019K4;INF846K010L1;Axis Nifty SDL September 2026 Debt Index Fund - Direct Plan - IDCW;10.5417;25-Aug-2023</v>
      </c>
      <c r="B9298" s="1"/>
    </row>
    <row r="9299">
      <c r="A9299" s="1" t="str">
        <f>IFERROR(__xludf.DUMMYFUNCTION("""COMPUTED_VALUE"""),"150853;INF846K012L7;INF846K013L5;Axis Nifty SDL September 2026 Debt Index Fund - Regular Plan -  IDCW;10.5297;25-Aug-2023")</f>
        <v>150853;INF846K012L7;INF846K013L5;Axis Nifty SDL September 2026 Debt Index Fund - Regular Plan -  IDCW;10.5297;25-Aug-2023</v>
      </c>
      <c r="B9299" s="1"/>
    </row>
    <row r="9300">
      <c r="A9300" s="1" t="str">
        <f>IFERROR(__xludf.DUMMYFUNCTION("""COMPUTED_VALUE"""),"150851;INF846K011L9;-;Axis Nifty SDL September 2026 Debt Index Fund - Regular Plan - Growth;10.5297;25-Aug-2023")</f>
        <v>150851;INF846K011L9;-;Axis Nifty SDL September 2026 Debt Index Fund - Regular Plan - Growth;10.5297;25-Aug-2023</v>
      </c>
      <c r="B9300" s="1"/>
    </row>
    <row r="9301">
      <c r="A9301" s="1" t="str">
        <f>IFERROR(__xludf.DUMMYFUNCTION("""COMPUTED_VALUE"""),"149894;INF846K013H3;-;Axis Nifty Smallcap 50 Index Fund - Direct Plan - Growth Option;11.6357;25-Aug-2023")</f>
        <v>149894;INF846K013H3;-;Axis Nifty Smallcap 50 Index Fund - Direct Plan - Growth Option;11.6357;25-Aug-2023</v>
      </c>
      <c r="B9301" s="1"/>
    </row>
    <row r="9302">
      <c r="A9302" s="1" t="str">
        <f>IFERROR(__xludf.DUMMYFUNCTION("""COMPUTED_VALUE"""),"149895;INF846K014H1;INF846K015H8;Axis Nifty Smallcap 50 Index Fund - Direct Plan - IDCW;11.6357;25-Aug-2023")</f>
        <v>149895;INF846K014H1;INF846K015H8;Axis Nifty Smallcap 50 Index Fund - Direct Plan - IDCW;11.6357;25-Aug-2023</v>
      </c>
      <c r="B9302" s="1"/>
    </row>
    <row r="9303">
      <c r="A9303" s="1" t="str">
        <f>IFERROR(__xludf.DUMMYFUNCTION("""COMPUTED_VALUE"""),"149896;INF846K016H6;-;Axis Nifty Smallcap 50 Index Fund - Regular Plan - Growth Option;11.5088;25-Aug-2023")</f>
        <v>149896;INF846K016H6;-;Axis Nifty Smallcap 50 Index Fund - Regular Plan - Growth Option;11.5088;25-Aug-2023</v>
      </c>
      <c r="B9303" s="1"/>
    </row>
    <row r="9304">
      <c r="A9304" s="1" t="str">
        <f>IFERROR(__xludf.DUMMYFUNCTION("""COMPUTED_VALUE"""),"149897;INF846K017H4;INF846K018H2;Axis Nifty Smallcap 50 Index Fund - Regular Plan - IDCW;11.5088;25-Aug-2023")</f>
        <v>149897;INF846K017H4;INF846K018H2;Axis Nifty Smallcap 50 Index Fund - Regular Plan - IDCW;11.5088;25-Aug-2023</v>
      </c>
      <c r="B9304" s="1"/>
    </row>
    <row r="9305">
      <c r="A9305" s="1"/>
      <c r="B9305" s="1"/>
    </row>
    <row r="9306">
      <c r="A9306" s="1" t="str">
        <f>IFERROR(__xludf.DUMMYFUNCTION("""COMPUTED_VALUE"""),"Bandhan Mutual Fund")</f>
        <v>Bandhan Mutual Fund</v>
      </c>
      <c r="B9306" s="1"/>
    </row>
    <row r="9307">
      <c r="A9307" s="1"/>
      <c r="B9307" s="1"/>
    </row>
    <row r="9308">
      <c r="A9308" s="1" t="str">
        <f>IFERROR(__xludf.DUMMYFUNCTION("""COMPUTED_VALUE"""),"150871;INF194KB1EN2;-;BANDHAN CRISIL IBX 90:10 SDL PLUS GILT APRIL 2032 INDEX FUND - DIRECT GROWTH;10.6207;25-Aug-2023")</f>
        <v>150871;INF194KB1EN2;-;BANDHAN CRISIL IBX 90:10 SDL PLUS GILT APRIL 2032 INDEX FUND - DIRECT GROWTH;10.6207;25-Aug-2023</v>
      </c>
      <c r="B9308" s="1"/>
    </row>
    <row r="9309">
      <c r="A9309" s="1" t="str">
        <f>IFERROR(__xludf.DUMMYFUNCTION("""COMPUTED_VALUE"""),"150872;INF194KB1EO0;INF194KB1EP7;BANDHAN CRISIL IBX 90:10 SDL PLUS GILT APRIL 2032 INDEX FUND - DIRECT IDCW;10.6228;25-Aug-2023")</f>
        <v>150872;INF194KB1EO0;INF194KB1EP7;BANDHAN CRISIL IBX 90:10 SDL PLUS GILT APRIL 2032 INDEX FUND - DIRECT IDCW;10.6228;25-Aug-2023</v>
      </c>
      <c r="B9309" s="1"/>
    </row>
    <row r="9310">
      <c r="A9310" s="1" t="str">
        <f>IFERROR(__xludf.DUMMYFUNCTION("""COMPUTED_VALUE"""),"150873;INF194KB1EQ5;-;BANDHAN CRISIL IBX 90:10 SDL PLUS GILT APRIL 2032 INDEX FUND - REGULAR GROWTH;10.6089;25-Aug-2023")</f>
        <v>150873;INF194KB1EQ5;-;BANDHAN CRISIL IBX 90:10 SDL PLUS GILT APRIL 2032 INDEX FUND - REGULAR GROWTH;10.6089;25-Aug-2023</v>
      </c>
      <c r="B9310" s="1"/>
    </row>
    <row r="9311">
      <c r="A9311" s="1" t="str">
        <f>IFERROR(__xludf.DUMMYFUNCTION("""COMPUTED_VALUE"""),"150874;INF194KB1ER3;INF194KB1ES1;BANDHAN CRISIL IBX 90:10 SDL PLUS GILT APRIL 2032 INDEX FUND - REGULAR IDCW;10.6095;25-Aug-2023")</f>
        <v>150874;INF194KB1ER3;INF194KB1ES1;BANDHAN CRISIL IBX 90:10 SDL PLUS GILT APRIL 2032 INDEX FUND - REGULAR IDCW;10.6095;25-Aug-2023</v>
      </c>
      <c r="B9311" s="1"/>
    </row>
    <row r="9312">
      <c r="A9312" s="1" t="str">
        <f>IFERROR(__xludf.DUMMYFUNCTION("""COMPUTED_VALUE"""),"150868;INF194KB1ET9;-;BANDHAN CRISIL IBX 90:10 SDL PLUS GILT - NOV 2026 INDEX FUND - DIRECT GROWTH;10.5525;25-Aug-2023")</f>
        <v>150868;INF194KB1ET9;-;BANDHAN CRISIL IBX 90:10 SDL PLUS GILT - NOV 2026 INDEX FUND - DIRECT GROWTH;10.5525;25-Aug-2023</v>
      </c>
      <c r="B9312" s="1"/>
    </row>
    <row r="9313">
      <c r="A9313" s="1" t="str">
        <f>IFERROR(__xludf.DUMMYFUNCTION("""COMPUTED_VALUE"""),"150867;INF194KB1EU7;INF194KB1EV5;BANDHAN CRISIL IBX 90:10 SDL PLUS GILT - NOV 2026 INDEX FUND - DIRECT IDCW;10.5489;25-Aug-2023")</f>
        <v>150867;INF194KB1EU7;INF194KB1EV5;BANDHAN CRISIL IBX 90:10 SDL PLUS GILT - NOV 2026 INDEX FUND - DIRECT IDCW;10.5489;25-Aug-2023</v>
      </c>
      <c r="B9313" s="1"/>
    </row>
    <row r="9314">
      <c r="A9314" s="1" t="str">
        <f>IFERROR(__xludf.DUMMYFUNCTION("""COMPUTED_VALUE"""),"150869;INF194KB1EW3;-;BANDHAN CRISIL IBX 90:10 SDL PLUS GILT - NOV 2026 INDEX FUND - REGULAR GROWTH;10.5320;25-Aug-2023")</f>
        <v>150869;INF194KB1EW3;-;BANDHAN CRISIL IBX 90:10 SDL PLUS GILT - NOV 2026 INDEX FUND - REGULAR GROWTH;10.5320;25-Aug-2023</v>
      </c>
      <c r="B9314" s="1"/>
    </row>
    <row r="9315">
      <c r="A9315" s="1" t="str">
        <f>IFERROR(__xludf.DUMMYFUNCTION("""COMPUTED_VALUE"""),"150870;INF194KB1EX1;INF194KB1EY9;BANDHAN CRISIL IBX 90:10 SDL PLUS GILT - NOV 2026 INDEX FUND - REGULAR IDCW;10.5322;25-Aug-2023")</f>
        <v>150870;INF194KB1EX1;INF194KB1EY9;BANDHAN CRISIL IBX 90:10 SDL PLUS GILT - NOV 2026 INDEX FUND - REGULAR IDCW;10.5322;25-Aug-2023</v>
      </c>
      <c r="B9315" s="1"/>
    </row>
    <row r="9316">
      <c r="A9316" s="1" t="str">
        <f>IFERROR(__xludf.DUMMYFUNCTION("""COMPUTED_VALUE"""),"150888;INF194KB1EZ6;-;BANDHAN CRISIL IBX 90:10 SDL PLUS GILT - SEP27 INDEX FUND - DIRECT GROWTH;10.5469;25-Aug-2023")</f>
        <v>150888;INF194KB1EZ6;-;BANDHAN CRISIL IBX 90:10 SDL PLUS GILT - SEP27 INDEX FUND - DIRECT GROWTH;10.5469;25-Aug-2023</v>
      </c>
      <c r="B9316" s="1"/>
    </row>
    <row r="9317">
      <c r="A9317" s="1" t="str">
        <f>IFERROR(__xludf.DUMMYFUNCTION("""COMPUTED_VALUE"""),"150889;INF194KB1FA6;INF194KB1FB4;BANDHAN CRISIL IBX 90:10 SDL PLUS GILT SEP27 INDEX FUND - DIRECT IDCW;10.5470;25-Aug-2023")</f>
        <v>150889;INF194KB1FA6;INF194KB1FB4;BANDHAN CRISIL IBX 90:10 SDL PLUS GILT SEP27 INDEX FUND - DIRECT IDCW;10.5470;25-Aug-2023</v>
      </c>
      <c r="B9317" s="1"/>
    </row>
    <row r="9318">
      <c r="A9318" s="1" t="str">
        <f>IFERROR(__xludf.DUMMYFUNCTION("""COMPUTED_VALUE"""),"150890;INF194KB1FC2;-;BANDHAN CRISIL IBX 90:10 SDL PLUS GILT SEP27 INDEX FUND - REGULAR GROWTH;10.5271;25-Aug-2023")</f>
        <v>150890;INF194KB1FC2;-;BANDHAN CRISIL IBX 90:10 SDL PLUS GILT SEP27 INDEX FUND - REGULAR GROWTH;10.5271;25-Aug-2023</v>
      </c>
      <c r="B9318" s="1"/>
    </row>
    <row r="9319">
      <c r="A9319" s="1" t="str">
        <f>IFERROR(__xludf.DUMMYFUNCTION("""COMPUTED_VALUE"""),"150891;INF194KB1FD0;INF194KB1FE8;BANDHAN CRISIL IBX 90:10 SDL PLUS GILT SEP27 INDEX FUND - REGULAR IDCW;10.5272;25-Aug-2023")</f>
        <v>150891;INF194KB1FD0;INF194KB1FE8;BANDHAN CRISIL IBX 90:10 SDL PLUS GILT SEP27 INDEX FUND - REGULAR IDCW;10.5272;25-Aug-2023</v>
      </c>
      <c r="B9319" s="1"/>
    </row>
    <row r="9320">
      <c r="A9320" s="1" t="str">
        <f>IFERROR(__xludf.DUMMYFUNCTION("""COMPUTED_VALUE"""),"150746;INF194KB1EH4;-;BANDHAN CRISIL IBX GILT APRIL 2026 INDEX FUND - DIRECT PLAN - GROWTH;10.6522;25-Aug-2023")</f>
        <v>150746;INF194KB1EH4;-;BANDHAN CRISIL IBX GILT APRIL 2026 INDEX FUND - DIRECT PLAN - GROWTH;10.6522;25-Aug-2023</v>
      </c>
      <c r="B9320" s="1"/>
    </row>
    <row r="9321">
      <c r="A9321" s="1" t="str">
        <f>IFERROR(__xludf.DUMMYFUNCTION("""COMPUTED_VALUE"""),"150747;INF194KB1EI2;INF194KB1EJ0;BANDHAN CRISIL IBX GILT APRIL 2026 INDEX FUND - DIRECT PLAN - IDCW;10.6550;25-Aug-2023")</f>
        <v>150747;INF194KB1EI2;INF194KB1EJ0;BANDHAN CRISIL IBX GILT APRIL 2026 INDEX FUND - DIRECT PLAN - IDCW;10.6550;25-Aug-2023</v>
      </c>
      <c r="B9321" s="1"/>
    </row>
    <row r="9322">
      <c r="A9322" s="1" t="str">
        <f>IFERROR(__xludf.DUMMYFUNCTION("""COMPUTED_VALUE"""),"150744;INF194KB1EK8;-;BANDHAN CRISIL IBX GILT APRIL 2026 INDEX FUND - REGULAR PLAN - GROWTH;10.6295;25-Aug-2023")</f>
        <v>150744;INF194KB1EK8;-;BANDHAN CRISIL IBX GILT APRIL 2026 INDEX FUND - REGULAR PLAN - GROWTH;10.6295;25-Aug-2023</v>
      </c>
      <c r="B9322" s="1"/>
    </row>
    <row r="9323">
      <c r="A9323" s="1" t="str">
        <f>IFERROR(__xludf.DUMMYFUNCTION("""COMPUTED_VALUE"""),"150745;INF194KB1EL6;INF194KB1EM4;BANDHAN CRISIL IBX GILT APRIL 2026 INDEX FUND - REGULAR PLAN - IDCW;10.6299;25-Aug-2023")</f>
        <v>150745;INF194KB1EL6;INF194KB1EM4;BANDHAN CRISIL IBX GILT APRIL 2026 INDEX FUND - REGULAR PLAN - IDCW;10.6299;25-Aug-2023</v>
      </c>
      <c r="B9323" s="1"/>
    </row>
    <row r="9324">
      <c r="A9324" s="1" t="str">
        <f>IFERROR(__xludf.DUMMYFUNCTION("""COMPUTED_VALUE"""),"148792;INF194KB1BV1;-;BANDHAN CRISIL IBX Gilt April 2028 Index Fund Direct Plan-Growth;11.2500;25-Aug-2023")</f>
        <v>148792;INF194KB1BV1;-;BANDHAN CRISIL IBX Gilt April 2028 Index Fund Direct Plan-Growth;11.2500;25-Aug-2023</v>
      </c>
      <c r="B9324" s="1"/>
    </row>
    <row r="9325">
      <c r="A9325" s="1" t="str">
        <f>IFERROR(__xludf.DUMMYFUNCTION("""COMPUTED_VALUE"""),"148791;INF194KB1BW9;INF194KB1BX7;BANDHAN CRISIL IBX Gilt April 2028 Index Fund Direct Plan-IDCW;10.7476;25-Aug-2023")</f>
        <v>148791;INF194KB1BW9;INF194KB1BX7;BANDHAN CRISIL IBX Gilt April 2028 Index Fund Direct Plan-IDCW;10.7476;25-Aug-2023</v>
      </c>
      <c r="B9325" s="1"/>
    </row>
    <row r="9326">
      <c r="A9326" s="1" t="str">
        <f>IFERROR(__xludf.DUMMYFUNCTION("""COMPUTED_VALUE"""),"148790;INF194KB1BS7;-;BANDHAN CRISIL IBX Gilt April 2028 Index Fund Regular Plan-Growth;11.1823;25-Aug-2023")</f>
        <v>148790;INF194KB1BS7;-;BANDHAN CRISIL IBX Gilt April 2028 Index Fund Regular Plan-Growth;11.1823;25-Aug-2023</v>
      </c>
      <c r="B9326" s="1"/>
    </row>
    <row r="9327">
      <c r="A9327" s="1" t="str">
        <f>IFERROR(__xludf.DUMMYFUNCTION("""COMPUTED_VALUE"""),"148793;INF194KB1BT5;INF194KB1BU3;BANDHAN CRISIL IBX Gilt April 2028 Index Fund Regular Plan-IDCW;10.7232;25-Aug-2023")</f>
        <v>148793;INF194KB1BT5;INF194KB1BU3;BANDHAN CRISIL IBX Gilt April 2028 Index Fund Regular Plan-IDCW;10.7232;25-Aug-2023</v>
      </c>
      <c r="B9327" s="1"/>
    </row>
    <row r="9328">
      <c r="A9328" s="1" t="str">
        <f>IFERROR(__xludf.DUMMYFUNCTION("""COMPUTED_VALUE"""),"151408;INF194KB1FF5;-;BANDHAN CRISIL IBX GILT APRIL 2032 INDEX FUND - DIRECT GROWTH;10.4739;25-Aug-2023")</f>
        <v>151408;INF194KB1FF5;-;BANDHAN CRISIL IBX GILT APRIL 2032 INDEX FUND - DIRECT GROWTH;10.4739;25-Aug-2023</v>
      </c>
      <c r="B9328" s="1"/>
    </row>
    <row r="9329">
      <c r="A9329" s="1" t="str">
        <f>IFERROR(__xludf.DUMMYFUNCTION("""COMPUTED_VALUE"""),"151411;INF194KB1FG3;INF194KB1FH1;BANDHAN CRISIL IBX GILT APRIL 2032 INDEX FUND - DIRECT IDCW;10.4769;25-Aug-2023")</f>
        <v>151411;INF194KB1FG3;INF194KB1FH1;BANDHAN CRISIL IBX GILT APRIL 2032 INDEX FUND - DIRECT IDCW;10.4769;25-Aug-2023</v>
      </c>
      <c r="B9329" s="1"/>
    </row>
    <row r="9330">
      <c r="A9330" s="1" t="str">
        <f>IFERROR(__xludf.DUMMYFUNCTION("""COMPUTED_VALUE"""),"151409;INF194KB1FI9;-;BANDHAN CRISIL IBX GILT APRIL 2032 INDEX FUND - REGULAR GROWTH;10.4620;25-Aug-2023")</f>
        <v>151409;INF194KB1FI9;-;BANDHAN CRISIL IBX GILT APRIL 2032 INDEX FUND - REGULAR GROWTH;10.4620;25-Aug-2023</v>
      </c>
      <c r="B9330" s="1"/>
    </row>
    <row r="9331">
      <c r="A9331" s="1" t="str">
        <f>IFERROR(__xludf.DUMMYFUNCTION("""COMPUTED_VALUE"""),"151410;INF194KB1FJ7;INF194KB1FK5;BANDHAN CRISIL IBX GILT APRIL 2032 INDEX FUND - REGULAR IDCW;10.4624;25-Aug-2023")</f>
        <v>151410;INF194KB1FJ7;INF194KB1FK5;BANDHAN CRISIL IBX GILT APRIL 2032 INDEX FUND - REGULAR IDCW;10.4624;25-Aug-2023</v>
      </c>
      <c r="B9331" s="1"/>
    </row>
    <row r="9332">
      <c r="A9332" s="1" t="str">
        <f>IFERROR(__xludf.DUMMYFUNCTION("""COMPUTED_VALUE"""),"148789;INF194KB1BP3;-;BANDHAN CRISIL IBX Gilt June 2027 Index Fund Direct Plan-Growth;11.2159;25-Aug-2023")</f>
        <v>148789;INF194KB1BP3;-;BANDHAN CRISIL IBX Gilt June 2027 Index Fund Direct Plan-Growth;11.2159;25-Aug-2023</v>
      </c>
      <c r="B9332" s="1"/>
    </row>
    <row r="9333">
      <c r="A9333" s="1" t="str">
        <f>IFERROR(__xludf.DUMMYFUNCTION("""COMPUTED_VALUE"""),"148788;INF194KB1BQ1;INF194KB1BR9;BANDHAN CRISIL IBX Gilt June 2027 Index Fund Direct Plan-IDCW;10.6930;25-Aug-2023")</f>
        <v>148788;INF194KB1BQ1;INF194KB1BR9;BANDHAN CRISIL IBX Gilt June 2027 Index Fund Direct Plan-IDCW;10.6930;25-Aug-2023</v>
      </c>
      <c r="B9333" s="1"/>
    </row>
    <row r="9334">
      <c r="A9334" s="1" t="str">
        <f>IFERROR(__xludf.DUMMYFUNCTION("""COMPUTED_VALUE"""),"148786;INF194KB1BL2;-;BANDHAN CRISIL IBX Gilt June 2027 Index Fund Regular Plan-Growth;11.1482;25-Aug-2023")</f>
        <v>148786;INF194KB1BL2;-;BANDHAN CRISIL IBX Gilt June 2027 Index Fund Regular Plan-Growth;11.1482;25-Aug-2023</v>
      </c>
      <c r="B9334" s="1"/>
    </row>
    <row r="9335">
      <c r="A9335" s="1" t="str">
        <f>IFERROR(__xludf.DUMMYFUNCTION("""COMPUTED_VALUE"""),"148787;INF194KB1BM0;INF194KB1BO6;BANDHAN CRISIL IBX Gilt June 2027 Index Fund Regular Plan-IDCW;10.6691;25-Aug-2023")</f>
        <v>148787;INF194KB1BM0;INF194KB1BO6;BANDHAN CRISIL IBX Gilt June 2027 Index Fund Regular Plan-IDCW;10.6691;25-Aug-2023</v>
      </c>
      <c r="B9335" s="1"/>
    </row>
    <row r="9336">
      <c r="A9336" s="1" t="str">
        <f>IFERROR(__xludf.DUMMYFUNCTION("""COMPUTED_VALUE"""),"149832;INF194KB1CR7;-;BANDHAN NIFTY 100 INDEX FUND - DIRECT PLAN - GROWTH;11.2279;25-Aug-2023")</f>
        <v>149832;INF194KB1CR7;-;BANDHAN NIFTY 100 INDEX FUND - DIRECT PLAN - GROWTH;11.2279;25-Aug-2023</v>
      </c>
      <c r="B9336" s="1"/>
    </row>
    <row r="9337">
      <c r="A9337" s="1" t="str">
        <f>IFERROR(__xludf.DUMMYFUNCTION("""COMPUTED_VALUE"""),"149835;INF194KB1CS5;INF194KB1CT3;BANDHAN NIFTY 100 INDEX FUND - DIRECT PLAN - IDCW;11.2272;25-Aug-2023")</f>
        <v>149835;INF194KB1CS5;INF194KB1CT3;BANDHAN NIFTY 100 INDEX FUND - DIRECT PLAN - IDCW;11.2272;25-Aug-2023</v>
      </c>
      <c r="B9337" s="1"/>
    </row>
    <row r="9338">
      <c r="A9338" s="1" t="str">
        <f>IFERROR(__xludf.DUMMYFUNCTION("""COMPUTED_VALUE"""),"149833;INF194KB1CO4;-;BANDHAN NIFTY 100 INDEX FUND - REGULAR PLAN - GROWTH;11.1432;25-Aug-2023")</f>
        <v>149833;INF194KB1CO4;-;BANDHAN NIFTY 100 INDEX FUND - REGULAR PLAN - GROWTH;11.1432;25-Aug-2023</v>
      </c>
      <c r="B9338" s="1"/>
    </row>
    <row r="9339">
      <c r="A9339" s="1" t="str">
        <f>IFERROR(__xludf.DUMMYFUNCTION("""COMPUTED_VALUE"""),"149834;INF194KB1CP1;INF194KB1CQ9;BANDHAN NIFTY 100 INDEX FUND - REGULAR PLAN - IDCW;11.1432;25-Aug-2023")</f>
        <v>149834;INF194KB1CP1;INF194KB1CQ9;BANDHAN NIFTY 100 INDEX FUND - REGULAR PLAN - IDCW;11.1432;25-Aug-2023</v>
      </c>
      <c r="B9339" s="1"/>
    </row>
    <row r="9340">
      <c r="A9340" s="1" t="str">
        <f>IFERROR(__xludf.DUMMYFUNCTION("""COMPUTED_VALUE"""),"112877;INF194K01920;-;BANDHAN Nifty 50 Index Fund - Regular Plan - Growth;41.1114;25-Aug-2023")</f>
        <v>112877;INF194K01920;-;BANDHAN Nifty 50 Index Fund - Regular Plan - Growth;41.1114;25-Aug-2023</v>
      </c>
      <c r="B9340" s="1"/>
    </row>
    <row r="9341">
      <c r="A9341" s="1" t="str">
        <f>IFERROR(__xludf.DUMMYFUNCTION("""COMPUTED_VALUE"""),"112878;INF194K01938;INF194K01946;BANDHAN Nifty 50 Index Fund - Regular Plan - IDCW;37.3014;25-Aug-2023")</f>
        <v>112878;INF194K01938;INF194K01946;BANDHAN Nifty 50 Index Fund - Regular Plan - IDCW;37.3014;25-Aug-2023</v>
      </c>
      <c r="B9341" s="1"/>
    </row>
    <row r="9342">
      <c r="A9342" s="1" t="str">
        <f>IFERROR(__xludf.DUMMYFUNCTION("""COMPUTED_VALUE"""),"118482;INF194K012A8;-;BANDHAN Nifty 50 Index Fund-Direct Plan-Growth;41.9481;25-Aug-2023")</f>
        <v>118482;INF194K012A8;-;BANDHAN Nifty 50 Index Fund-Direct Plan-Growth;41.9481;25-Aug-2023</v>
      </c>
      <c r="B9342" s="1"/>
    </row>
    <row r="9343">
      <c r="A9343" s="1" t="str">
        <f>IFERROR(__xludf.DUMMYFUNCTION("""COMPUTED_VALUE"""),"118483;INF194K013A6;INF194K014A4;BANDHAN Nifty 50 Index Fund-Direct Plan-IDCW;38.1260;25-Aug-2023")</f>
        <v>118483;INF194K013A6;INF194K014A4;BANDHAN Nifty 50 Index Fund-Direct Plan-IDCW;38.1260;25-Aug-2023</v>
      </c>
      <c r="B9343" s="1"/>
    </row>
    <row r="9344">
      <c r="A9344" s="1" t="str">
        <f>IFERROR(__xludf.DUMMYFUNCTION("""COMPUTED_VALUE"""),"150636;INF194KB1DV7;-;BANDHAN NIFTY100 LOW VOLATILITY 30 INDEX FUND - GROWTH - DIRECT PLAN;11.5254;25-Aug-2023")</f>
        <v>150636;INF194KB1DV7;-;BANDHAN NIFTY100 LOW VOLATILITY 30 INDEX FUND - GROWTH - DIRECT PLAN;11.5254;25-Aug-2023</v>
      </c>
      <c r="B9344" s="1"/>
    </row>
    <row r="9345">
      <c r="A9345" s="1" t="str">
        <f>IFERROR(__xludf.DUMMYFUNCTION("""COMPUTED_VALUE"""),"150633;INF194KB1DY1;-;BANDHAN NIFTY100 LOW VOLATILITY 30 INDEX FUND - GROWTH - REGULAR PLAN;11.4559;25-Aug-2023")</f>
        <v>150633;INF194KB1DY1;-;BANDHAN NIFTY100 LOW VOLATILITY 30 INDEX FUND - GROWTH - REGULAR PLAN;11.4559;25-Aug-2023</v>
      </c>
      <c r="B9345" s="1"/>
    </row>
    <row r="9346">
      <c r="A9346" s="1" t="str">
        <f>IFERROR(__xludf.DUMMYFUNCTION("""COMPUTED_VALUE"""),"150634;INF194KB1DW5;INF194KB1DX3;BANDHAN NIFTY100 LOW VOLATILITY 30 INDEX FUND - IDCW - DIRECT PLAN;11.5151;25-Aug-2023")</f>
        <v>150634;INF194KB1DW5;INF194KB1DX3;BANDHAN NIFTY100 LOW VOLATILITY 30 INDEX FUND - IDCW - DIRECT PLAN;11.5151;25-Aug-2023</v>
      </c>
      <c r="B9346" s="1"/>
    </row>
    <row r="9347">
      <c r="A9347" s="1" t="str">
        <f>IFERROR(__xludf.DUMMYFUNCTION("""COMPUTED_VALUE"""),"150635;INF194KB1DZ8;INF194KB1EA9;BANDHAN NIFTY100 LOW VOLATILITY 30 INDEX FUND - IDCW - REGULAR PLAN;11.4560;25-Aug-2023")</f>
        <v>150635;INF194KB1DZ8;INF194KB1EA9;BANDHAN NIFTY100 LOW VOLATILITY 30 INDEX FUND - IDCW - REGULAR PLAN;11.4560;25-Aug-2023</v>
      </c>
      <c r="B9347" s="1"/>
    </row>
    <row r="9348">
      <c r="A9348" s="1" t="str">
        <f>IFERROR(__xludf.DUMMYFUNCTION("""COMPUTED_VALUE"""),"150591;INF194KB1DP9;-;BANDHAN NIFTY200 MOMENTUM 30 INDEX FUND - GROWTH - DIRECT PLAN;11.2880;25-Aug-2023")</f>
        <v>150591;INF194KB1DP9;-;BANDHAN NIFTY200 MOMENTUM 30 INDEX FUND - GROWTH - DIRECT PLAN;11.2880;25-Aug-2023</v>
      </c>
      <c r="B9348" s="1"/>
    </row>
    <row r="9349">
      <c r="A9349" s="1" t="str">
        <f>IFERROR(__xludf.DUMMYFUNCTION("""COMPUTED_VALUE"""),"150592;INF194KB1DS3;-;BANDHAN NIFTY200 MOMENTUM 30 INDEX FUND - GROWTH - REGULAR PLAN;11.2239;25-Aug-2023")</f>
        <v>150592;INF194KB1DS3;-;BANDHAN NIFTY200 MOMENTUM 30 INDEX FUND - GROWTH - REGULAR PLAN;11.2239;25-Aug-2023</v>
      </c>
      <c r="B9349" s="1"/>
    </row>
    <row r="9350">
      <c r="A9350" s="1" t="str">
        <f>IFERROR(__xludf.DUMMYFUNCTION("""COMPUTED_VALUE"""),"150590;INF194KB1DQ7;INF194KB1DR5;BANDHAN NIFTY200 MOMENTUM 30 INDEX FUND - IDCW - DIRECT PLAN;11.2880;25-Aug-2023")</f>
        <v>150590;INF194KB1DQ7;INF194KB1DR5;BANDHAN NIFTY200 MOMENTUM 30 INDEX FUND - IDCW - DIRECT PLAN;11.2880;25-Aug-2023</v>
      </c>
      <c r="B9350" s="1"/>
    </row>
    <row r="9351">
      <c r="A9351" s="1" t="str">
        <f>IFERROR(__xludf.DUMMYFUNCTION("""COMPUTED_VALUE"""),"150593;INF194KB1DT1;INF194KB1DU9;BANDHAN NIFTY200 MOMENTUM 30 INDEX FUND - IDCW - REGULAR PLAN;11.2240;25-Aug-2023")</f>
        <v>150593;INF194KB1DT1;INF194KB1DU9;BANDHAN NIFTY200 MOMENTUM 30 INDEX FUND - IDCW - REGULAR PLAN;11.2240;25-Aug-2023</v>
      </c>
      <c r="B9351" s="1"/>
    </row>
    <row r="9352">
      <c r="A9352" s="1"/>
      <c r="B9352" s="1"/>
    </row>
    <row r="9353">
      <c r="A9353" s="1" t="str">
        <f>IFERROR(__xludf.DUMMYFUNCTION("""COMPUTED_VALUE"""),"Baroda BNP Paribas Mutual Fund")</f>
        <v>Baroda BNP Paribas Mutual Fund</v>
      </c>
      <c r="B9353" s="1"/>
    </row>
    <row r="9354">
      <c r="A9354" s="1"/>
      <c r="B9354" s="1"/>
    </row>
    <row r="9355">
      <c r="A9355" s="1" t="str">
        <f>IFERROR(__xludf.DUMMYFUNCTION("""COMPUTED_VALUE"""),"151283;INF251K01RL0;-;Baroda BNP Paribas Nifty SDL December 2026 Index Fund - Direct Plan - Growth Option;10.4141;25-Aug-2023")</f>
        <v>151283;INF251K01RL0;-;Baroda BNP Paribas Nifty SDL December 2026 Index Fund - Direct Plan - Growth Option;10.4141;25-Aug-2023</v>
      </c>
      <c r="B9355" s="1"/>
    </row>
    <row r="9356">
      <c r="A9356" s="1" t="str">
        <f>IFERROR(__xludf.DUMMYFUNCTION("""COMPUTED_VALUE"""),"151281;INF251K01RM8;-;Baroda BNP Paribas Nifty SDL December 2026 Index Fund - Direct Plan - IDCW Option;10.0000;25-Aug-2023")</f>
        <v>151281;INF251K01RM8;-;Baroda BNP Paribas Nifty SDL December 2026 Index Fund - Direct Plan - IDCW Option;10.0000;25-Aug-2023</v>
      </c>
      <c r="B9356" s="1"/>
    </row>
    <row r="9357">
      <c r="A9357" s="1" t="str">
        <f>IFERROR(__xludf.DUMMYFUNCTION("""COMPUTED_VALUE"""),"151279;INF251K01RI6;-;Baroda BNP Paribas Nifty SDL December 2026 Index Fund - Regular Plan - Growth Option;10.3959;25-Aug-2023")</f>
        <v>151279;INF251K01RI6;-;Baroda BNP Paribas Nifty SDL December 2026 Index Fund - Regular Plan - Growth Option;10.3959;25-Aug-2023</v>
      </c>
      <c r="B9357" s="1"/>
    </row>
    <row r="9358">
      <c r="A9358" s="1" t="str">
        <f>IFERROR(__xludf.DUMMYFUNCTION("""COMPUTED_VALUE"""),"151280;INF251K01RJ4;-;Baroda BNP Paribas Nifty SDL December 2026 Index Fund - Regular Plan - IDCW Option;10.3960;25-Aug-2023")</f>
        <v>151280;INF251K01RJ4;-;Baroda BNP Paribas Nifty SDL December 2026 Index Fund - Regular Plan - IDCW Option;10.3960;25-Aug-2023</v>
      </c>
      <c r="B9358" s="1"/>
    </row>
    <row r="9359">
      <c r="A9359" s="1" t="str">
        <f>IFERROR(__xludf.DUMMYFUNCTION("""COMPUTED_VALUE"""),"151574;INF251K01RR7;-;Baroda BNP Paribas NIFTY SDL December 2028 Index Fund - Direct Plan - Growth Option;10.3875;25-Aug-2023")</f>
        <v>151574;INF251K01RR7;-;Baroda BNP Paribas NIFTY SDL December 2028 Index Fund - Direct Plan - Growth Option;10.3875;25-Aug-2023</v>
      </c>
      <c r="B9359" s="1"/>
    </row>
    <row r="9360">
      <c r="A9360" s="1" t="str">
        <f>IFERROR(__xludf.DUMMYFUNCTION("""COMPUTED_VALUE"""),"151575;INF251K01RS5;INF251K01RT3;Baroda BNP Paribas NIFTY SDL December 2028 Index Fund - Direct Plan - IDCW Option;10.3875;25-Aug-2023")</f>
        <v>151575;INF251K01RS5;INF251K01RT3;Baroda BNP Paribas NIFTY SDL December 2028 Index Fund - Direct Plan - IDCW Option;10.3875;25-Aug-2023</v>
      </c>
      <c r="B9360" s="1"/>
    </row>
    <row r="9361">
      <c r="A9361" s="1" t="str">
        <f>IFERROR(__xludf.DUMMYFUNCTION("""COMPUTED_VALUE"""),"151576;INF251K01RO4;-;Baroda BNP Paribas NIFTY SDL December 2028 Index Fund - Regular Plan - Growth Option;10.3743;25-Aug-2023")</f>
        <v>151576;INF251K01RO4;-;Baroda BNP Paribas NIFTY SDL December 2028 Index Fund - Regular Plan - Growth Option;10.3743;25-Aug-2023</v>
      </c>
      <c r="B9361" s="1"/>
    </row>
    <row r="9362">
      <c r="A9362" s="1" t="str">
        <f>IFERROR(__xludf.DUMMYFUNCTION("""COMPUTED_VALUE"""),"151573;INF251K01RP1;INF251K01RQ9;Baroda BNP Paribas NIFTY SDL December 2028 Index Fund - Regular Plan - IDCW Option;10.3745;25-Aug-2023")</f>
        <v>151573;INF251K01RP1;INF251K01RQ9;Baroda BNP Paribas NIFTY SDL December 2028 Index Fund - Regular Plan - IDCW Option;10.3745;25-Aug-2023</v>
      </c>
      <c r="B9362" s="1"/>
    </row>
    <row r="9363">
      <c r="A9363" s="1"/>
      <c r="B9363" s="1"/>
    </row>
    <row r="9364">
      <c r="A9364" s="1" t="str">
        <f>IFERROR(__xludf.DUMMYFUNCTION("""COMPUTED_VALUE"""),"DSP Mutual Fund")</f>
        <v>DSP Mutual Fund</v>
      </c>
      <c r="B9364" s="1"/>
    </row>
    <row r="9365">
      <c r="A9365" s="1"/>
      <c r="B9365" s="1"/>
    </row>
    <row r="9366">
      <c r="A9366" s="1" t="str">
        <f>IFERROR(__xludf.DUMMYFUNCTION("""COMPUTED_VALUE"""),"151329;INF740KA1SB7;-;DSP CRISIL SDL Plus G-Sec Apr 2033 50:50 Index Fund - Direct - Growth;10.5299;25-Aug-2023")</f>
        <v>151329;INF740KA1SB7;-;DSP CRISIL SDL Plus G-Sec Apr 2033 50:50 Index Fund - Direct - Growth;10.5299;25-Aug-2023</v>
      </c>
      <c r="B9366" s="1"/>
    </row>
    <row r="9367">
      <c r="A9367" s="1" t="str">
        <f>IFERROR(__xludf.DUMMYFUNCTION("""COMPUTED_VALUE"""),"151328;INF740KA1SC5;INF740KA1SD3;DSP CRISIL SDL Plus G-Sec Apr 2033 50:50 Index Fund - Direct - IDCW;10.5299;25-Aug-2023")</f>
        <v>151328;INF740KA1SC5;INF740KA1SD3;DSP CRISIL SDL Plus G-Sec Apr 2033 50:50 Index Fund - Direct - IDCW;10.5299;25-Aug-2023</v>
      </c>
      <c r="B9367" s="1"/>
    </row>
    <row r="9368">
      <c r="A9368" s="1" t="str">
        <f>IFERROR(__xludf.DUMMYFUNCTION("""COMPUTED_VALUE"""),"151327;INF740KA1RY1;-;DSP CRISIL SDL Plus G-Sec Apr 2033 50:50 Index Fund - Regular - Growth;10.5141;25-Aug-2023")</f>
        <v>151327;INF740KA1RY1;-;DSP CRISIL SDL Plus G-Sec Apr 2033 50:50 Index Fund - Regular - Growth;10.5141;25-Aug-2023</v>
      </c>
      <c r="B9368" s="1"/>
    </row>
    <row r="9369">
      <c r="A9369" s="1" t="str">
        <f>IFERROR(__xludf.DUMMYFUNCTION("""COMPUTED_VALUE"""),"151330;INF740KA1RZ8;INF740KA1SA9;DSP CRISIL SDL Plus G-Sec Apr 2033 50:50 Index Fund - Regular - IDCW;10.5141;25-Aug-2023")</f>
        <v>151330;INF740KA1RZ8;INF740KA1SA9;DSP CRISIL SDL Plus G-Sec Apr 2033 50:50 Index Fund - Regular - IDCW;10.5141;25-Aug-2023</v>
      </c>
      <c r="B9369" s="1"/>
    </row>
    <row r="9370">
      <c r="A9370" s="1" t="str">
        <f>IFERROR(__xludf.DUMMYFUNCTION("""COMPUTED_VALUE"""),"141877;INF740KA1CR7;-;DSP Nifty 50 Equal Weight Index Fund - Direct Plan - Growth;18.6558;25-Aug-2023")</f>
        <v>141877;INF740KA1CR7;-;DSP Nifty 50 Equal Weight Index Fund - Direct Plan - Growth;18.6558;25-Aug-2023</v>
      </c>
      <c r="B9370" s="1"/>
    </row>
    <row r="9371">
      <c r="A9371" s="1" t="str">
        <f>IFERROR(__xludf.DUMMYFUNCTION("""COMPUTED_VALUE"""),"141878;INF740KA1CS5;INF740KA1CT3;DSP Nifty 50 Equal Weight Index Fund - Direct Plan - IDCW;17.7552;25-Aug-2023")</f>
        <v>141878;INF740KA1CS5;INF740KA1CT3;DSP Nifty 50 Equal Weight Index Fund - Direct Plan - IDCW;17.7552;25-Aug-2023</v>
      </c>
      <c r="B9371" s="1"/>
    </row>
    <row r="9372">
      <c r="A9372" s="1" t="str">
        <f>IFERROR(__xludf.DUMMYFUNCTION("""COMPUTED_VALUE"""),"141875;INF740KA1CO4;-;DSP Nifty 50 Equal Weight Index Fund - Regular Plan - Growth;18.1485;25-Aug-2023")</f>
        <v>141875;INF740KA1CO4;-;DSP Nifty 50 Equal Weight Index Fund - Regular Plan - Growth;18.1485;25-Aug-2023</v>
      </c>
      <c r="B9372" s="1"/>
    </row>
    <row r="9373">
      <c r="A9373" s="1" t="str">
        <f>IFERROR(__xludf.DUMMYFUNCTION("""COMPUTED_VALUE"""),"141876;INF740KA1CP1;INF740KA1CQ9;DSP Nifty 50 Equal Weight Index Fund - Regular Plan - IDCW;17.2501;25-Aug-2023")</f>
        <v>141876;INF740KA1CP1;INF740KA1CQ9;DSP Nifty 50 Equal Weight Index Fund - Regular Plan - IDCW;17.2501;25-Aug-2023</v>
      </c>
      <c r="B9373" s="1"/>
    </row>
    <row r="9374">
      <c r="A9374" s="1" t="str">
        <f>IFERROR(__xludf.DUMMYFUNCTION("""COMPUTED_VALUE"""),"146376;INF740KA1MM7;-;DSP Nifty 50 Index Fund - Direct Plan - Growth;18.4942;25-Aug-2023")</f>
        <v>146376;INF740KA1MM7;-;DSP Nifty 50 Index Fund - Direct Plan - Growth;18.4942;25-Aug-2023</v>
      </c>
      <c r="B9374" s="1"/>
    </row>
    <row r="9375">
      <c r="A9375" s="1" t="str">
        <f>IFERROR(__xludf.DUMMYFUNCTION("""COMPUTED_VALUE"""),"146377;INF740KA1MN5;INF740KA1MO3;DSP Nifty 50 Index Fund - Direct Plan - IDCW;17.5160;25-Aug-2023")</f>
        <v>146377;INF740KA1MN5;INF740KA1MO3;DSP Nifty 50 Index Fund - Direct Plan - IDCW;17.5160;25-Aug-2023</v>
      </c>
      <c r="B9375" s="1"/>
    </row>
    <row r="9376">
      <c r="A9376" s="1" t="str">
        <f>IFERROR(__xludf.DUMMYFUNCTION("""COMPUTED_VALUE"""),"146379;INF740KA1MJ3;-;DSP Nifty 50 Index Fund - Regular Plan - Growth;18.3360;25-Aug-2023")</f>
        <v>146379;INF740KA1MJ3;-;DSP Nifty 50 Index Fund - Regular Plan - Growth;18.3360;25-Aug-2023</v>
      </c>
      <c r="B9376" s="1"/>
    </row>
    <row r="9377">
      <c r="A9377" s="1" t="str">
        <f>IFERROR(__xludf.DUMMYFUNCTION("""COMPUTED_VALUE"""),"146378;INF740KA1MK1;INF740KA1ML9;DSP Nifty 50 Index Fund - Regular Plan - IDCW;17.4674;25-Aug-2023")</f>
        <v>146378;INF740KA1MK1;INF740KA1ML9;DSP Nifty 50 Index Fund - Regular Plan - IDCW;17.4674;25-Aug-2023</v>
      </c>
      <c r="B9377" s="1"/>
    </row>
    <row r="9378">
      <c r="A9378" s="1" t="str">
        <f>IFERROR(__xludf.DUMMYFUNCTION("""COMPUTED_VALUE"""),"150428;INF740KA1RB9;-;DSP Nifty Midcap 150 Quality 50 Index Fund - Direct - Growth;11.1700;25-Aug-2023")</f>
        <v>150428;INF740KA1RB9;-;DSP Nifty Midcap 150 Quality 50 Index Fund - Direct - Growth;11.1700;25-Aug-2023</v>
      </c>
      <c r="B9378" s="1"/>
    </row>
    <row r="9379">
      <c r="A9379" s="1" t="str">
        <f>IFERROR(__xludf.DUMMYFUNCTION("""COMPUTED_VALUE"""),"150429;INF740KA1RC7;INF740KA1RD5;DSP Nifty Midcap 150 Quality 50 Index Fund - Direct - IDCW;11.1700;25-Aug-2023")</f>
        <v>150429;INF740KA1RC7;INF740KA1RD5;DSP Nifty Midcap 150 Quality 50 Index Fund - Direct - IDCW;11.1700;25-Aug-2023</v>
      </c>
      <c r="B9379" s="1"/>
    </row>
    <row r="9380">
      <c r="A9380" s="1" t="str">
        <f>IFERROR(__xludf.DUMMYFUNCTION("""COMPUTED_VALUE"""),"150427;INF740KA1QY3;-;DSP Nifty Midcap 150 Quality 50 Index Fund - Regular - Growth;11.0857;25-Aug-2023")</f>
        <v>150427;INF740KA1QY3;-;DSP Nifty Midcap 150 Quality 50 Index Fund - Regular - Growth;11.0857;25-Aug-2023</v>
      </c>
      <c r="B9380" s="1"/>
    </row>
    <row r="9381">
      <c r="A9381" s="1" t="str">
        <f>IFERROR(__xludf.DUMMYFUNCTION("""COMPUTED_VALUE"""),"150430;INF740KA1QZ0;INF740KA1RA1;DSP Nifty Midcap 150 Quality 50 Index Fund - Regular - IDCW;11.0857;25-Aug-2023")</f>
        <v>150430;INF740KA1QZ0;INF740KA1RA1;DSP Nifty Midcap 150 Quality 50 Index Fund - Regular - IDCW;11.0857;25-Aug-2023</v>
      </c>
      <c r="B9381" s="1"/>
    </row>
    <row r="9382">
      <c r="A9382" s="1" t="str">
        <f>IFERROR(__xludf.DUMMYFUNCTION("""COMPUTED_VALUE"""),"146381;INF740KA1MG9;-;DSP Nifty Next 50 Index Fund - Direct Plan - Growth;17.2632;25-Aug-2023")</f>
        <v>146381;INF740KA1MG9;-;DSP Nifty Next 50 Index Fund - Direct Plan - Growth;17.2632;25-Aug-2023</v>
      </c>
      <c r="B9382" s="1"/>
    </row>
    <row r="9383">
      <c r="A9383" s="1" t="str">
        <f>IFERROR(__xludf.DUMMYFUNCTION("""COMPUTED_VALUE"""),"146382;INF740KA1MH7;INF740KA1MI5;DSP Nifty Next 50 Index Fund - Direct Plan - IDCW;16.4633;25-Aug-2023")</f>
        <v>146382;INF740KA1MH7;INF740KA1MI5;DSP Nifty Next 50 Index Fund - Direct Plan - IDCW;16.4633;25-Aug-2023</v>
      </c>
      <c r="B9383" s="1"/>
    </row>
    <row r="9384">
      <c r="A9384" s="1" t="str">
        <f>IFERROR(__xludf.DUMMYFUNCTION("""COMPUTED_VALUE"""),"146380;INF740KA1MD6;-;DSP Nifty Next 50 Index Fund - Regular Plan - Growth;17.0344;25-Aug-2023")</f>
        <v>146380;INF740KA1MD6;-;DSP Nifty Next 50 Index Fund - Regular Plan - Growth;17.0344;25-Aug-2023</v>
      </c>
      <c r="B9384" s="1"/>
    </row>
    <row r="9385">
      <c r="A9385" s="1" t="str">
        <f>IFERROR(__xludf.DUMMYFUNCTION("""COMPUTED_VALUE"""),"146383;INF740KA1ME4;INF740KA1MF1;DSP Nifty Next 50 Index Fund - Regular Plan - IDCW;16.2358;25-Aug-2023")</f>
        <v>146383;INF740KA1ME4;INF740KA1MF1;DSP Nifty Next 50 Index Fund - Regular Plan - IDCW;16.2358;25-Aug-2023</v>
      </c>
      <c r="B9385" s="1"/>
    </row>
    <row r="9386">
      <c r="A9386" s="1" t="str">
        <f>IFERROR(__xludf.DUMMYFUNCTION("""COMPUTED_VALUE"""),"149970;INF740KA1QV9;-;DSP Nifty SDL Plus G-Sec Jun 2028 30:70 Index Fund - Direct - Growth;10.7383;25-Aug-2023")</f>
        <v>149970;INF740KA1QV9;-;DSP Nifty SDL Plus G-Sec Jun 2028 30:70 Index Fund - Direct - Growth;10.7383;25-Aug-2023</v>
      </c>
      <c r="B9386" s="1"/>
    </row>
    <row r="9387">
      <c r="A9387" s="1" t="str">
        <f>IFERROR(__xludf.DUMMYFUNCTION("""COMPUTED_VALUE"""),"149971;INF740KA1QW7;INF740KA1QX5;DSP Nifty SDL Plus G-Sec Jun 2028 30:70 Index Fund - Direct - IDCW;10.7383;25-Aug-2023")</f>
        <v>149971;INF740KA1QW7;INF740KA1QX5;DSP Nifty SDL Plus G-Sec Jun 2028 30:70 Index Fund - Direct - IDCW;10.7383;25-Aug-2023</v>
      </c>
      <c r="B9387" s="1"/>
    </row>
    <row r="9388">
      <c r="A9388" s="1" t="str">
        <f>IFERROR(__xludf.DUMMYFUNCTION("""COMPUTED_VALUE"""),"149968;INF740KA1QS5;-;DSP Nifty SDL Plus G-Sec Jun 2028 30:70 Index Fund - Regular - Growth;10.7143;25-Aug-2023")</f>
        <v>149968;INF740KA1QS5;-;DSP Nifty SDL Plus G-Sec Jun 2028 30:70 Index Fund - Regular - Growth;10.7143;25-Aug-2023</v>
      </c>
      <c r="B9388" s="1"/>
    </row>
    <row r="9389">
      <c r="A9389" s="1" t="str">
        <f>IFERROR(__xludf.DUMMYFUNCTION("""COMPUTED_VALUE"""),"149969;INF740KA1QT3;INF740KA1QU1;DSP Nifty SDL Plus G-Sec Jun 2028 30:70 Index Fund - Regular - IDCW;10.7143;25-Aug-2023")</f>
        <v>149969;INF740KA1QT3;INF740KA1QU1;DSP Nifty SDL Plus G-Sec Jun 2028 30:70 Index Fund - Regular - IDCW;10.7143;25-Aug-2023</v>
      </c>
      <c r="B9389" s="1"/>
    </row>
    <row r="9390">
      <c r="A9390" s="1" t="str">
        <f>IFERROR(__xludf.DUMMYFUNCTION("""COMPUTED_VALUE"""),"151373;INF740KA1SH4;-;DSP Nifty SDL Plus G-Sec Sep 2027 50:50 Index Fund - Direct - Growth;10.4359;25-Aug-2023")</f>
        <v>151373;INF740KA1SH4;-;DSP Nifty SDL Plus G-Sec Sep 2027 50:50 Index Fund - Direct - Growth;10.4359;25-Aug-2023</v>
      </c>
      <c r="B9390" s="1"/>
    </row>
    <row r="9391">
      <c r="A9391" s="1" t="str">
        <f>IFERROR(__xludf.DUMMYFUNCTION("""COMPUTED_VALUE"""),"151371;INF740KA1SI2;INF740KA1SJ0;DSP Nifty SDL Plus G-Sec Sep 2027 50:50 Index Fund - Direct - IDCW;10.4359;25-Aug-2023")</f>
        <v>151371;INF740KA1SI2;INF740KA1SJ0;DSP Nifty SDL Plus G-Sec Sep 2027 50:50 Index Fund - Direct - IDCW;10.4359;25-Aug-2023</v>
      </c>
      <c r="B9391" s="1"/>
    </row>
    <row r="9392">
      <c r="A9392" s="1" t="str">
        <f>IFERROR(__xludf.DUMMYFUNCTION("""COMPUTED_VALUE"""),"151370;INF740KA1SE1;-;DSP Nifty SDL Plus G-Sec Sep 2027 50:50 Index Fund - Regular - Growth;10.4270;25-Aug-2023")</f>
        <v>151370;INF740KA1SE1;-;DSP Nifty SDL Plus G-Sec Sep 2027 50:50 Index Fund - Regular - Growth;10.4270;25-Aug-2023</v>
      </c>
      <c r="B9392" s="1"/>
    </row>
    <row r="9393">
      <c r="A9393" s="1" t="str">
        <f>IFERROR(__xludf.DUMMYFUNCTION("""COMPUTED_VALUE"""),"151372;INF740KA1SF8;INF740KA1SG6;DSP Nifty SDL Plus G-Sec Sep 2027 50:50 Index Fund - Regular - IDCW;10.4270;25-Aug-2023")</f>
        <v>151372;INF740KA1SF8;INF740KA1SG6;DSP Nifty SDL Plus G-Sec Sep 2027 50:50 Index Fund - Regular - IDCW;10.4270;25-Aug-2023</v>
      </c>
      <c r="B9393" s="1"/>
    </row>
    <row r="9394">
      <c r="A9394" s="1"/>
      <c r="B9394" s="1"/>
    </row>
    <row r="9395">
      <c r="A9395" s="1" t="str">
        <f>IFERROR(__xludf.DUMMYFUNCTION("""COMPUTED_VALUE"""),"Edelweiss Mutual Fund")</f>
        <v>Edelweiss Mutual Fund</v>
      </c>
      <c r="B9395" s="1"/>
    </row>
    <row r="9396">
      <c r="A9396" s="1"/>
      <c r="B9396" s="1"/>
    </row>
    <row r="9397">
      <c r="A9397" s="1" t="str">
        <f>IFERROR(__xludf.DUMMYFUNCTION("""COMPUTED_VALUE"""),"150671;INF754K01PF9;-;Edelweiss CRISIL IBX 50:50 Gilt Plus SDL April 2037 Index Fund - Direct Plan - Growth;10.8908;25-Aug-2023")</f>
        <v>150671;INF754K01PF9;-;Edelweiss CRISIL IBX 50:50 Gilt Plus SDL April 2037 Index Fund - Direct Plan - Growth;10.8908;25-Aug-2023</v>
      </c>
      <c r="B9397" s="1"/>
    </row>
    <row r="9398">
      <c r="A9398" s="1" t="str">
        <f>IFERROR(__xludf.DUMMYFUNCTION("""COMPUTED_VALUE"""),"150722;INF754K01PG7;INF754K01PH5;Edelweiss CRISIL IBX 50:50 Gilt Plus SDL April 2037 Index Fund - Direct Plan - IDCW Option;10.8907;25-Aug-2023")</f>
        <v>150722;INF754K01PG7;INF754K01PH5;Edelweiss CRISIL IBX 50:50 Gilt Plus SDL April 2037 Index Fund - Direct Plan - IDCW Option;10.8907;25-Aug-2023</v>
      </c>
      <c r="B9398" s="1"/>
    </row>
    <row r="9399">
      <c r="A9399" s="1" t="str">
        <f>IFERROR(__xludf.DUMMYFUNCTION("""COMPUTED_VALUE"""),"150720;INF754K01PB8;-;Edelweiss CRISIL IBX 50:50 Gilt Plus SDL April 2037 Index Fund - Regular Plan - Growth;10.8639;25-Aug-2023")</f>
        <v>150720;INF754K01PB8;-;Edelweiss CRISIL IBX 50:50 Gilt Plus SDL April 2037 Index Fund - Regular Plan - Growth;10.8639;25-Aug-2023</v>
      </c>
      <c r="B9399" s="1"/>
    </row>
    <row r="9400">
      <c r="A9400" s="1" t="str">
        <f>IFERROR(__xludf.DUMMYFUNCTION("""COMPUTED_VALUE"""),"150721;INF754K01PC6;INF754K01PD4;Edelweiss CRISIL IBX 50:50 Gilt Plus SDL April 2037 Index Fund - Regular Plan - IDCW Option;10.8638;25-Aug-2023")</f>
        <v>150721;INF754K01PC6;INF754K01PD4;Edelweiss CRISIL IBX 50:50 Gilt Plus SDL April 2037 Index Fund - Regular Plan - IDCW Option;10.8638;25-Aug-2023</v>
      </c>
      <c r="B9400" s="1"/>
    </row>
    <row r="9401">
      <c r="A9401" s="1" t="str">
        <f>IFERROR(__xludf.DUMMYFUNCTION("""COMPUTED_VALUE"""),"150727;INF754K01PN3;-;Edelweiss CRISIL IBX 50:50 Gilt Plus SDL June 2027 Index Fund - Direct Plan - Growth;10.6716;25-Aug-2023")</f>
        <v>150727;INF754K01PN3;-;Edelweiss CRISIL IBX 50:50 Gilt Plus SDL June 2027 Index Fund - Direct Plan - Growth;10.6716;25-Aug-2023</v>
      </c>
      <c r="B9401" s="1"/>
    </row>
    <row r="9402">
      <c r="A9402" s="1" t="str">
        <f>IFERROR(__xludf.DUMMYFUNCTION("""COMPUTED_VALUE"""),"150770;INF754K01PO1;INF754K01PP8;Edelweiss CRISIL IBX 50:50 Gilt Plus SDL June 2027 Index Fund - Direct Plan - IDCW;10.6709;25-Aug-2023")</f>
        <v>150770;INF754K01PO1;INF754K01PP8;Edelweiss CRISIL IBX 50:50 Gilt Plus SDL June 2027 Index Fund - Direct Plan - IDCW;10.6709;25-Aug-2023</v>
      </c>
      <c r="B9402" s="1"/>
    </row>
    <row r="9403">
      <c r="A9403" s="1" t="str">
        <f>IFERROR(__xludf.DUMMYFUNCTION("""COMPUTED_VALUE"""),"150771;INF754K01PJ1;-;Edelweiss CRISIL IBX 50:50 Gilt Plus SDL June 2027 Index Fund - Regular Plan - Growth;10.6494;25-Aug-2023")</f>
        <v>150771;INF754K01PJ1;-;Edelweiss CRISIL IBX 50:50 Gilt Plus SDL June 2027 Index Fund - Regular Plan - Growth;10.6494;25-Aug-2023</v>
      </c>
      <c r="B9403" s="1"/>
    </row>
    <row r="9404">
      <c r="A9404" s="1" t="str">
        <f>IFERROR(__xludf.DUMMYFUNCTION("""COMPUTED_VALUE"""),"150772;INF754K01PK9;INF754K01PL7;Edelweiss CRISIL IBX 50:50 Gilt Plus SDL June 2027 Index Fund - Regular Plan - IDCW;10.6497;25-Aug-2023")</f>
        <v>150772;INF754K01PK9;INF754K01PL7;Edelweiss CRISIL IBX 50:50 Gilt Plus SDL June 2027 Index Fund - Regular Plan - IDCW;10.6497;25-Aug-2023</v>
      </c>
      <c r="B9404" s="1"/>
    </row>
    <row r="9405">
      <c r="A9405" s="1" t="str">
        <f>IFERROR(__xludf.DUMMYFUNCTION("""COMPUTED_VALUE"""),"150807;INF754K01PV6;-;Edelweiss CRISIL IBX 50:50 Gilt Plus SDL Sep 2028 Index Fund - Direct Plan - Growth;10.6625;25-Aug-2023")</f>
        <v>150807;INF754K01PV6;-;Edelweiss CRISIL IBX 50:50 Gilt Plus SDL Sep 2028 Index Fund - Direct Plan - Growth;10.6625;25-Aug-2023</v>
      </c>
      <c r="B9405" s="1"/>
    </row>
    <row r="9406">
      <c r="A9406" s="1" t="str">
        <f>IFERROR(__xludf.DUMMYFUNCTION("""COMPUTED_VALUE"""),"150850;INF754K01PW4;INF754K01PX2;Edelweiss CRISIL IBX 50:50 Gilt Plus SDL Sep 2028 Index Fund - Direct Plan - IDCW;10.6627;25-Aug-2023")</f>
        <v>150850;INF754K01PW4;INF754K01PX2;Edelweiss CRISIL IBX 50:50 Gilt Plus SDL Sep 2028 Index Fund - Direct Plan - IDCW;10.6627;25-Aug-2023</v>
      </c>
      <c r="B9406" s="1"/>
    </row>
    <row r="9407">
      <c r="A9407" s="1" t="str">
        <f>IFERROR(__xludf.DUMMYFUNCTION("""COMPUTED_VALUE"""),"150848;INF754K01PR4;-;Edelweiss CRISIL IBX 50:50 Gilt Plus SDL Sep 2028 Index Fund - Regular Plan - Growth;10.6402;25-Aug-2023")</f>
        <v>150848;INF754K01PR4;-;Edelweiss CRISIL IBX 50:50 Gilt Plus SDL Sep 2028 Index Fund - Regular Plan - Growth;10.6402;25-Aug-2023</v>
      </c>
      <c r="B9407" s="1"/>
    </row>
    <row r="9408">
      <c r="A9408" s="1" t="str">
        <f>IFERROR(__xludf.DUMMYFUNCTION("""COMPUTED_VALUE"""),"150849;INF754K01PS2;INF754K01PT0;Edelweiss CRISIL IBX 50:50 Gilt Plus SDL Sep 2028 Index Fund - Regular Plan - IDCW;10.6403;25-Aug-2023")</f>
        <v>150849;INF754K01PS2;INF754K01PT0;Edelweiss CRISIL IBX 50:50 Gilt Plus SDL Sep 2028 Index Fund - Regular Plan - IDCW;10.6403;25-Aug-2023</v>
      </c>
      <c r="B9408" s="1"/>
    </row>
    <row r="9409">
      <c r="A9409" s="1" t="str">
        <f>IFERROR(__xludf.DUMMYFUNCTION("""COMPUTED_VALUE"""),"151365;INF754K01RK5;-;Edelweiss CRISIL IBX 50:50 Gilt Plus SDL Short Duration Index fund - Direct Plan - Growth;10.4218;25-Aug-2023")</f>
        <v>151365;INF754K01RK5;-;Edelweiss CRISIL IBX 50:50 Gilt Plus SDL Short Duration Index fund - Direct Plan - Growth;10.4218;25-Aug-2023</v>
      </c>
      <c r="B9409" s="1"/>
    </row>
    <row r="9410">
      <c r="A9410" s="1" t="str">
        <f>IFERROR(__xludf.DUMMYFUNCTION("""COMPUTED_VALUE"""),"151397;INF754K01RL3;INF754K01RM1;Edelweiss CRISIL IBX 50:50 Gilt Plus SDL Short Duration Index fund - Direct Plan - IDCW;10.422;25-Aug-2023")</f>
        <v>151397;INF754K01RL3;INF754K01RM1;Edelweiss CRISIL IBX 50:50 Gilt Plus SDL Short Duration Index fund - Direct Plan - IDCW;10.422;25-Aug-2023</v>
      </c>
      <c r="B9410" s="1"/>
    </row>
    <row r="9411">
      <c r="A9411" s="1" t="str">
        <f>IFERROR(__xludf.DUMMYFUNCTION("""COMPUTED_VALUE"""),"151398;INF754K01RG3;-;Edelweiss CRISIL IBX 50:50 Gilt Plus SDL Short Duration Index fund - Regular Plan - Growth;10.3963;25-Aug-2023")</f>
        <v>151398;INF754K01RG3;-;Edelweiss CRISIL IBX 50:50 Gilt Plus SDL Short Duration Index fund - Regular Plan - Growth;10.3963;25-Aug-2023</v>
      </c>
      <c r="B9411" s="1"/>
    </row>
    <row r="9412">
      <c r="A9412" s="1" t="str">
        <f>IFERROR(__xludf.DUMMYFUNCTION("""COMPUTED_VALUE"""),"151399;INF754K01RH1;INF754K01RI9;Edelweiss CRISIL IBX 50:50 Gilt Plus SDL Short Duration Index fund - Regular Plan - IDCW;10.3963;25-Aug-2023")</f>
        <v>151399;INF754K01RH1;INF754K01RI9;Edelweiss CRISIL IBX 50:50 Gilt Plus SDL Short Duration Index fund - Regular Plan - IDCW;10.3963;25-Aug-2023</v>
      </c>
      <c r="B9412" s="1"/>
    </row>
    <row r="9413">
      <c r="A9413" s="1" t="str">
        <f>IFERROR(__xludf.DUMMYFUNCTION("""COMPUTED_VALUE"""),"149945;INF754K01OH8;INF754K01OI6;Edelweiss CRISIL PSU Plus SDL 50:50 Oct 2025 Index Fund - Direct Plan - IDCW Payout;10.6591;25-Aug-2023")</f>
        <v>149945;INF754K01OH8;INF754K01OI6;Edelweiss CRISIL PSU Plus SDL 50:50 Oct 2025 Index Fund - Direct Plan - IDCW Payout;10.6591;25-Aug-2023</v>
      </c>
      <c r="B9413" s="1"/>
    </row>
    <row r="9414">
      <c r="A9414" s="1" t="str">
        <f>IFERROR(__xludf.DUMMYFUNCTION("""COMPUTED_VALUE"""),"149950;INF754K01OG0;-;Edelweiss CRISIL PSU Plus SDL 50:50 Oct 2025 Index Fund - Direct Plan Growth;10.6586;25-Aug-2023")</f>
        <v>149950;INF754K01OG0;-;Edelweiss CRISIL PSU Plus SDL 50:50 Oct 2025 Index Fund - Direct Plan Growth;10.6586;25-Aug-2023</v>
      </c>
      <c r="B9414" s="1"/>
    </row>
    <row r="9415">
      <c r="A9415" s="1" t="str">
        <f>IFERROR(__xludf.DUMMYFUNCTION("""COMPUTED_VALUE"""),"149947;INF754K01OD7;INF754K01OE5;Edelweiss CRISIL PSU Plus SDL 50:50 Oct 2025 Index Fund - Regular Plan - IDCW Payout;10.6288;25-Aug-2023")</f>
        <v>149947;INF754K01OD7;INF754K01OE5;Edelweiss CRISIL PSU Plus SDL 50:50 Oct 2025 Index Fund - Regular Plan - IDCW Payout;10.6288;25-Aug-2023</v>
      </c>
      <c r="B9415" s="1"/>
    </row>
    <row r="9416">
      <c r="A9416" s="1" t="str">
        <f>IFERROR(__xludf.DUMMYFUNCTION("""COMPUTED_VALUE"""),"149949;INF754K01OC9;-;Edelweiss CRISIL PSU Plus SDL 50:50 Oct 2025 Index Fund - Regular Plan Growth;10.6284;25-Aug-2023")</f>
        <v>149949;INF754K01OC9;-;Edelweiss CRISIL PSU Plus SDL 50:50 Oct 2025 Index Fund - Regular Plan Growth;10.6284;25-Aug-2023</v>
      </c>
      <c r="B9416" s="1"/>
    </row>
    <row r="9417">
      <c r="A9417" s="1" t="str">
        <f>IFERROR(__xludf.DUMMYFUNCTION("""COMPUTED_VALUE"""),"148556;INF754K01LW3;INF754K01LX1;Edelweiss MSCI India Domestic &amp; World Healthcare 45 Index Fund - Direct Plan - IDCW Option;14.2841;25-Aug-2023")</f>
        <v>148556;INF754K01LW3;INF754K01LX1;Edelweiss MSCI India Domestic &amp; World Healthcare 45 Index Fund - Direct Plan - IDCW Option;14.2841;25-Aug-2023</v>
      </c>
      <c r="B9417" s="1"/>
    </row>
    <row r="9418">
      <c r="A9418" s="1" t="str">
        <f>IFERROR(__xludf.DUMMYFUNCTION("""COMPUTED_VALUE"""),"148558;INF754K01LS1;INF754K01LT9;Edelweiss MSCI India Domestic &amp; World Healthcare 45 Index Fund - Regular Plan - IDCW Option;14.0483;25-Aug-2023")</f>
        <v>148558;INF754K01LS1;INF754K01LT9;Edelweiss MSCI India Domestic &amp; World Healthcare 45 Index Fund - Regular Plan - IDCW Option;14.0483;25-Aug-2023</v>
      </c>
      <c r="B9418" s="1"/>
    </row>
    <row r="9419">
      <c r="A9419" s="1" t="str">
        <f>IFERROR(__xludf.DUMMYFUNCTION("""COMPUTED_VALUE"""),"148555;INF754K01LV5;-;Edelweiss MSCI India Domestic &amp; World Healthcare 45 Index Fund Direct Plan - Growth;14.2841;25-Aug-2023")</f>
        <v>148555;INF754K01LV5;-;Edelweiss MSCI India Domestic &amp; World Healthcare 45 Index Fund Direct Plan - Growth;14.2841;25-Aug-2023</v>
      </c>
      <c r="B9419" s="1"/>
    </row>
    <row r="9420">
      <c r="A9420" s="1" t="str">
        <f>IFERROR(__xludf.DUMMYFUNCTION("""COMPUTED_VALUE"""),"148557;INF754K01LR3;-;Edelweiss MSCI India Domestic &amp; World Healthcare 45 index Fund Regular Plan - Growth;14.0483;25-Aug-2023")</f>
        <v>148557;INF754K01LR3;-;Edelweiss MSCI India Domestic &amp; World Healthcare 45 index Fund Regular Plan - Growth;14.0483;25-Aug-2023</v>
      </c>
      <c r="B9420" s="1"/>
    </row>
    <row r="9421">
      <c r="A9421" s="1" t="str">
        <f>IFERROR(__xludf.DUMMYFUNCTION("""COMPUTED_VALUE"""),"149254;INF754K01NJ6;-;Edelweiss Nifty 100 Quality 30 Index Fund Direct Plan Growth;10.9658;25-Aug-2023")</f>
        <v>149254;INF754K01NJ6;-;Edelweiss Nifty 100 Quality 30 Index Fund Direct Plan Growth;10.9658;25-Aug-2023</v>
      </c>
      <c r="B9421" s="1"/>
    </row>
    <row r="9422">
      <c r="A9422" s="1" t="str">
        <f>IFERROR(__xludf.DUMMYFUNCTION("""COMPUTED_VALUE"""),"149255;INF754K01NK4;INF754K01NL2;Edelweiss Nifty 100 Quality 30 Index Fund Direct Plan IDCW;10.8124;25-Aug-2023")</f>
        <v>149255;INF754K01NK4;INF754K01NL2;Edelweiss Nifty 100 Quality 30 Index Fund Direct Plan IDCW;10.8124;25-Aug-2023</v>
      </c>
      <c r="B9422" s="1"/>
    </row>
    <row r="9423">
      <c r="A9423" s="1" t="str">
        <f>IFERROR(__xludf.DUMMYFUNCTION("""COMPUTED_VALUE"""),"149256;INF754K01NF4;-;Edelweiss Nifty 100 Quality 30 Index Fund Regular Plan Growth;10.835;25-Aug-2023")</f>
        <v>149256;INF754K01NF4;-;Edelweiss Nifty 100 Quality 30 Index Fund Regular Plan Growth;10.835;25-Aug-2023</v>
      </c>
      <c r="B9423" s="1"/>
    </row>
    <row r="9424">
      <c r="A9424" s="1" t="str">
        <f>IFERROR(__xludf.DUMMYFUNCTION("""COMPUTED_VALUE"""),"149257;INF754K01NG2;INF754K01NH0;Edelweiss Nifty 100 Quality 30 Index Fund Regular Plan IDCW;10.8346;25-Aug-2023")</f>
        <v>149257;INF754K01NG2;INF754K01NH0;Edelweiss Nifty 100 Quality 30 Index Fund Regular Plan IDCW;10.8346;25-Aug-2023</v>
      </c>
      <c r="B9424" s="1"/>
    </row>
    <row r="9425">
      <c r="A9425" s="1" t="str">
        <f>IFERROR(__xludf.DUMMYFUNCTION("""COMPUTED_VALUE"""),"149250;INF754K01NB3;-;Edelweiss Nifty 50 Index Fund Direct Plan Growth;11.1078;25-Aug-2023")</f>
        <v>149250;INF754K01NB3;-;Edelweiss Nifty 50 Index Fund Direct Plan Growth;11.1078;25-Aug-2023</v>
      </c>
      <c r="B9425" s="1"/>
    </row>
    <row r="9426">
      <c r="A9426" s="1" t="str">
        <f>IFERROR(__xludf.DUMMYFUNCTION("""COMPUTED_VALUE"""),"149251;INF754K01NC1;INF754K01ND9;Edelweiss Nifty 50 Index Fund Direct Plan IDCW;10.954;25-Aug-2023")</f>
        <v>149251;INF754K01NC1;INF754K01ND9;Edelweiss Nifty 50 Index Fund Direct Plan IDCW;10.954;25-Aug-2023</v>
      </c>
      <c r="B9426" s="1"/>
    </row>
    <row r="9427">
      <c r="A9427" s="1" t="str">
        <f>IFERROR(__xludf.DUMMYFUNCTION("""COMPUTED_VALUE"""),"149252;INF754K01MX9;-;Edelweiss Nifty 50 Index Fund Regular Plan Growth;10.8606;25-Aug-2023")</f>
        <v>149252;INF754K01MX9;-;Edelweiss Nifty 50 Index Fund Regular Plan Growth;10.8606;25-Aug-2023</v>
      </c>
      <c r="B9427" s="1"/>
    </row>
    <row r="9428">
      <c r="A9428" s="1" t="str">
        <f>IFERROR(__xludf.DUMMYFUNCTION("""COMPUTED_VALUE"""),"149253;INF754K01MY7;INF754K01MZ4;Edelweiss Nifty 50 Index Fund Regular Plan IDCW;10.8604;25-Aug-2023")</f>
        <v>149253;INF754K01MY7;INF754K01MZ4;Edelweiss Nifty 50 Index Fund Regular Plan IDCW;10.8604;25-Aug-2023</v>
      </c>
      <c r="B9428" s="1"/>
    </row>
    <row r="9429">
      <c r="A9429" s="1" t="str">
        <f>IFERROR(__xludf.DUMMYFUNCTION("""COMPUTED_VALUE"""),"149343;INF754K01NR9;-;Edelweiss NIFTY Large Midcap 250 Index Fund - Direct Plan Growth;11.8164;25-Aug-2023")</f>
        <v>149343;INF754K01NR9;-;Edelweiss NIFTY Large Midcap 250 Index Fund - Direct Plan Growth;11.8164;25-Aug-2023</v>
      </c>
      <c r="B9429" s="1"/>
    </row>
    <row r="9430">
      <c r="A9430" s="1" t="str">
        <f>IFERROR(__xludf.DUMMYFUNCTION("""COMPUTED_VALUE"""),"149339;INF754K01NS7;-;Edelweiss NIFTY Large Midcap 250 Index Fund - Direct Plan Payout;11.8164;25-Aug-2023")</f>
        <v>149339;INF754K01NS7;-;Edelweiss NIFTY Large Midcap 250 Index Fund - Direct Plan Payout;11.8164;25-Aug-2023</v>
      </c>
      <c r="B9430" s="1"/>
    </row>
    <row r="9431">
      <c r="A9431" s="1" t="str">
        <f>IFERROR(__xludf.DUMMYFUNCTION("""COMPUTED_VALUE"""),"149341;INF754K01NN8;-;Edelweiss NIFTY Large Midcap 250 Index Fund - Regular Plan Growth;11.6835;25-Aug-2023")</f>
        <v>149341;INF754K01NN8;-;Edelweiss NIFTY Large Midcap 250 Index Fund - Regular Plan Growth;11.6835;25-Aug-2023</v>
      </c>
      <c r="B9431" s="1"/>
    </row>
    <row r="9432">
      <c r="A9432" s="1" t="str">
        <f>IFERROR(__xludf.DUMMYFUNCTION("""COMPUTED_VALUE"""),"149342;INF754K01NO6;-;Edelweiss NIFTY Large Midcap 250 Index Fund - Regular Plan Payout;11.683;25-Aug-2023")</f>
        <v>149342;INF754K01NO6;-;Edelweiss NIFTY Large Midcap 250 Index Fund - Regular Plan Payout;11.683;25-Aug-2023</v>
      </c>
      <c r="B9432" s="1"/>
    </row>
    <row r="9433">
      <c r="A9433" s="1" t="str">
        <f>IFERROR(__xludf.DUMMYFUNCTION("""COMPUTED_VALUE"""),"150902;INF754K01QD2;-;Edelweiss Nifty Midcap150 Momentum 50 Index Fund - Direct Plan - Growth;11.6825;25-Aug-2023")</f>
        <v>150902;INF754K01QD2;-;Edelweiss Nifty Midcap150 Momentum 50 Index Fund - Direct Plan - Growth;11.6825;25-Aug-2023</v>
      </c>
      <c r="B9433" s="1"/>
    </row>
    <row r="9434">
      <c r="A9434" s="1" t="str">
        <f>IFERROR(__xludf.DUMMYFUNCTION("""COMPUTED_VALUE"""),"150903;INF754K01QE0;INF754K01QF7;Edelweiss Nifty Midcap150 Momentum 50 Index Fund - Direct Plan - IDCW;11.6842;25-Aug-2023")</f>
        <v>150903;INF754K01QE0;INF754K01QF7;Edelweiss Nifty Midcap150 Momentum 50 Index Fund - Direct Plan - IDCW;11.6842;25-Aug-2023</v>
      </c>
      <c r="B9434" s="1"/>
    </row>
    <row r="9435">
      <c r="A9435" s="1" t="str">
        <f>IFERROR(__xludf.DUMMYFUNCTION("""COMPUTED_VALUE"""),"150900;INF754K01PZ7;-;Edelweiss Nifty Midcap150 Momentum 50 Index Fund - Regular Plan - Growth;11.6222;25-Aug-2023")</f>
        <v>150900;INF754K01PZ7;-;Edelweiss Nifty Midcap150 Momentum 50 Index Fund - Regular Plan - Growth;11.6222;25-Aug-2023</v>
      </c>
      <c r="B9435" s="1"/>
    </row>
    <row r="9436">
      <c r="A9436" s="1" t="str">
        <f>IFERROR(__xludf.DUMMYFUNCTION("""COMPUTED_VALUE"""),"150901;INF754K01QA8;INF754K01QB6;Edelweiss Nifty Midcap150 Momentum 50 Index Fund - Regular Plan - IDCW;11.6221;25-Aug-2023")</f>
        <v>150901;INF754K01QA8;INF754K01QB6;Edelweiss Nifty Midcap150 Momentum 50 Index Fund - Regular Plan - IDCW;11.6221;25-Aug-2023</v>
      </c>
      <c r="B9436" s="1"/>
    </row>
    <row r="9437">
      <c r="A9437" s="1" t="str">
        <f>IFERROR(__xludf.DUMMYFUNCTION("""COMPUTED_VALUE"""),"150899;INF754K01QL5;-;Edelweiss Nifty Next 50 Index Fund - Direct Plan - Growth;10.1523;25-Aug-2023")</f>
        <v>150899;INF754K01QL5;-;Edelweiss Nifty Next 50 Index Fund - Direct Plan - Growth;10.1523;25-Aug-2023</v>
      </c>
      <c r="B9437" s="1"/>
    </row>
    <row r="9438">
      <c r="A9438" s="1" t="str">
        <f>IFERROR(__xludf.DUMMYFUNCTION("""COMPUTED_VALUE"""),"150896;INF754K01QM3;INF754K01QN1;Edelweiss Nifty Next 50 Index Fund - Direct Plan - IDCW;10.1524;25-Aug-2023")</f>
        <v>150896;INF754K01QM3;INF754K01QN1;Edelweiss Nifty Next 50 Index Fund - Direct Plan - IDCW;10.1524;25-Aug-2023</v>
      </c>
      <c r="B9438" s="1"/>
    </row>
    <row r="9439">
      <c r="A9439" s="1" t="str">
        <f>IFERROR(__xludf.DUMMYFUNCTION("""COMPUTED_VALUE"""),"150897;INF754K01QH3;-;Edelweiss Nifty Next 50 Index Fund - Regular Plan - Growth;10.0992;25-Aug-2023")</f>
        <v>150897;INF754K01QH3;-;Edelweiss Nifty Next 50 Index Fund - Regular Plan - Growth;10.0992;25-Aug-2023</v>
      </c>
      <c r="B9439" s="1"/>
    </row>
    <row r="9440">
      <c r="A9440" s="1" t="str">
        <f>IFERROR(__xludf.DUMMYFUNCTION("""COMPUTED_VALUE"""),"150898;INF754K01QI1;INF754K01QJ9;Edelweiss Nifty Next 50 Index Fund - Regular Plan - IDCW;10.0993;25-Aug-2023")</f>
        <v>150898;INF754K01QI1;INF754K01QJ9;Edelweiss Nifty Next 50 Index Fund - Regular Plan - IDCW;10.0993;25-Aug-2023</v>
      </c>
      <c r="B9440" s="1"/>
    </row>
    <row r="9441">
      <c r="A9441" s="1" t="str">
        <f>IFERROR(__xludf.DUMMYFUNCTION("""COMPUTED_VALUE"""),"148794;INF754K01MA7;INF754K01MB5;Edelweiss NIFTY PSU Bond Plus SDL Apr 2026 50: 50 Index Fund - Regular Plan - IDCW Option;11.3365;25-Aug-2023")</f>
        <v>148794;INF754K01MA7;INF754K01MB5;Edelweiss NIFTY PSU Bond Plus SDL Apr 2026 50: 50 Index Fund - Regular Plan - IDCW Option;11.3365;25-Aug-2023</v>
      </c>
      <c r="B9441" s="1"/>
    </row>
    <row r="9442">
      <c r="A9442" s="1" t="str">
        <f>IFERROR(__xludf.DUMMYFUNCTION("""COMPUTED_VALUE"""),"148795;INF754K01MD1;-;Edelweiss NIFTY PSU Bond Plus SDL Apr 2026 50:50 Index Fund - Direct Plan - Growth;11.3819;25-Aug-2023")</f>
        <v>148795;INF754K01MD1;-;Edelweiss NIFTY PSU Bond Plus SDL Apr 2026 50:50 Index Fund - Direct Plan - Growth;11.3819;25-Aug-2023</v>
      </c>
      <c r="B9442" s="1"/>
    </row>
    <row r="9443">
      <c r="A9443" s="1" t="str">
        <f>IFERROR(__xludf.DUMMYFUNCTION("""COMPUTED_VALUE"""),"148796;INF754K01ME9;INF754K01MF6;Edelweiss NIFTY PSU Bond Plus SDL Apr 2026 50:50 Index Fund - Direct Plan - IDCW Option;11.3826;25-Aug-2023")</f>
        <v>148796;INF754K01ME9;INF754K01MF6;Edelweiss NIFTY PSU Bond Plus SDL Apr 2026 50:50 Index Fund - Direct Plan - IDCW Option;11.3826;25-Aug-2023</v>
      </c>
      <c r="B9443" s="1"/>
    </row>
    <row r="9444">
      <c r="A9444" s="1" t="str">
        <f>IFERROR(__xludf.DUMMYFUNCTION("""COMPUTED_VALUE"""),"148797;INF754K01LZ6;-;Edelweiss NIFTY PSU Bond Plus SDL Apr 2026 50:50 Index Fund - Regular Plan - Growth;11.3354;25-Aug-2023")</f>
        <v>148797;INF754K01LZ6;-;Edelweiss NIFTY PSU Bond Plus SDL Apr 2026 50:50 Index Fund - Regular Plan - Growth;11.3354;25-Aug-2023</v>
      </c>
      <c r="B9444" s="1"/>
    </row>
    <row r="9445">
      <c r="A9445" s="1" t="str">
        <f>IFERROR(__xludf.DUMMYFUNCTION("""COMPUTED_VALUE"""),"149246;INF754K01MU5;INF754K01MV3;Edelweiss NIFTY PSU Bond Plus SDL Apr 2027 50:50 Index Fund - Direct Plan - IDCW;10.7917;25-Aug-2023")</f>
        <v>149246;INF754K01MU5;INF754K01MV3;Edelweiss NIFTY PSU Bond Plus SDL Apr 2027 50:50 Index Fund - Direct Plan - IDCW;10.7917;25-Aug-2023</v>
      </c>
      <c r="B9445" s="1"/>
    </row>
    <row r="9446">
      <c r="A9446" s="1" t="str">
        <f>IFERROR(__xludf.DUMMYFUNCTION("""COMPUTED_VALUE"""),"149247;INF754K01MT7;-;Edelweiss NIFTY PSU Bond Plus SDL Apr 2027 50:50 Index Fund - Direct Plan Growth;10.793;25-Aug-2023")</f>
        <v>149247;INF754K01MT7;-;Edelweiss NIFTY PSU Bond Plus SDL Apr 2027 50:50 Index Fund - Direct Plan Growth;10.793;25-Aug-2023</v>
      </c>
      <c r="B9446" s="1"/>
    </row>
    <row r="9447">
      <c r="A9447" s="1" t="str">
        <f>IFERROR(__xludf.DUMMYFUNCTION("""COMPUTED_VALUE"""),"149249;INF754K01MP5;-;Edelweiss NIFTY PSU Bond Plus SDL Apr 2027 50:50 Index Fund - Regular Plan - Growth;10.7571;25-Aug-2023")</f>
        <v>149249;INF754K01MP5;-;Edelweiss NIFTY PSU Bond Plus SDL Apr 2027 50:50 Index Fund - Regular Plan - Growth;10.7571;25-Aug-2023</v>
      </c>
      <c r="B9447" s="1"/>
    </row>
    <row r="9448">
      <c r="A9448" s="1" t="str">
        <f>IFERROR(__xludf.DUMMYFUNCTION("""COMPUTED_VALUE"""),"149248;INF754K01MQ3;INF754K01MR1;Edelweiss NIFTY PSU Bond Plus SDL Apr 2027 50:50 Index Fund - Regular Plan - IDCW;10.7576;25-Aug-2023")</f>
        <v>149248;INF754K01MQ3;INF754K01MR1;Edelweiss NIFTY PSU Bond Plus SDL Apr 2027 50:50 Index Fund - Regular Plan - IDCW;10.7576;25-Aug-2023</v>
      </c>
      <c r="B9448" s="1"/>
    </row>
    <row r="9449">
      <c r="A9449" s="1" t="str">
        <f>IFERROR(__xludf.DUMMYFUNCTION("""COMPUTED_VALUE"""),"150892;INF754K01QT8;-;Edelweiss Nifty Smallcap 250 Index Fund - Direct Plan - Growth;11.9321;25-Aug-2023")</f>
        <v>150892;INF754K01QT8;-;Edelweiss Nifty Smallcap 250 Index Fund - Direct Plan - Growth;11.9321;25-Aug-2023</v>
      </c>
      <c r="B9449" s="1"/>
    </row>
    <row r="9450">
      <c r="A9450" s="1" t="str">
        <f>IFERROR(__xludf.DUMMYFUNCTION("""COMPUTED_VALUE"""),"150895;INF754K01QU6;INF754K01QV4;Edelweiss Nifty Smallcap 250 Index Fund - Direct Plan - IDCW;11.9323;25-Aug-2023")</f>
        <v>150895;INF754K01QU6;INF754K01QV4;Edelweiss Nifty Smallcap 250 Index Fund - Direct Plan - IDCW;11.9323;25-Aug-2023</v>
      </c>
      <c r="B9450" s="1"/>
    </row>
    <row r="9451">
      <c r="A9451" s="1" t="str">
        <f>IFERROR(__xludf.DUMMYFUNCTION("""COMPUTED_VALUE"""),"150894;INF754K01QP6;-;Edelweiss Nifty Smallcap 250 Index Fund - Regular Plan - Growth;11.8776;25-Aug-2023")</f>
        <v>150894;INF754K01QP6;-;Edelweiss Nifty Smallcap 250 Index Fund - Regular Plan - Growth;11.8776;25-Aug-2023</v>
      </c>
      <c r="B9451" s="1"/>
    </row>
    <row r="9452">
      <c r="A9452" s="1" t="str">
        <f>IFERROR(__xludf.DUMMYFUNCTION("""COMPUTED_VALUE"""),"150893;INF754K01QQ4;INF754K01QR2;Edelweiss Nifty Smallcap 250 Index Fund - Regular Plan - IDCW;11.8775;25-Aug-2023")</f>
        <v>150893;INF754K01QQ4;INF754K01QR2;Edelweiss Nifty Smallcap 250 Index Fund - Regular Plan - IDCW;11.8775;25-Aug-2023</v>
      </c>
      <c r="B9452" s="1"/>
    </row>
    <row r="9453">
      <c r="A9453" s="1"/>
      <c r="B9453" s="1"/>
    </row>
    <row r="9454">
      <c r="A9454" s="1" t="str">
        <f>IFERROR(__xludf.DUMMYFUNCTION("""COMPUTED_VALUE"""),"Franklin Templeton Mutual Fund")</f>
        <v>Franklin Templeton Mutual Fund</v>
      </c>
      <c r="B9454" s="1"/>
    </row>
    <row r="9455">
      <c r="A9455" s="1"/>
      <c r="B9455" s="1"/>
    </row>
    <row r="9456">
      <c r="A9456" s="1" t="str">
        <f>IFERROR(__xludf.DUMMYFUNCTION("""COMPUTED_VALUE"""),"118580;INF090I01GQ8;INF090I01GR6;Franklin India INDEX FUND- NSE Nifty 50 Index Fund - Direct - IDCW;160.4708;25-Aug-2023")</f>
        <v>118580;INF090I01GQ8;INF090I01GR6;Franklin India INDEX FUND- NSE Nifty 50 Index Fund - Direct - IDCW;160.4708;25-Aug-2023</v>
      </c>
      <c r="B9456" s="1"/>
    </row>
    <row r="9457">
      <c r="A9457" s="1" t="str">
        <f>IFERROR(__xludf.DUMMYFUNCTION("""COMPUTED_VALUE"""),"100484;INF090I01890;-;Franklin India Index Fund- NSE Nifty 50 Index Fund - Growth;153.8469;25-Aug-2023")</f>
        <v>100484;INF090I01890;-;Franklin India Index Fund- NSE Nifty 50 Index Fund - Growth;153.8469;25-Aug-2023</v>
      </c>
      <c r="B9457" s="1"/>
    </row>
    <row r="9458">
      <c r="A9458" s="1" t="str">
        <f>IFERROR(__xludf.DUMMYFUNCTION("""COMPUTED_VALUE"""),"105067;INF090I01874;INF090I01882;Franklin India INDEX FUND- NSE NIFTY 50 INDEX FUND - IDCW;153.8469;25-Aug-2023")</f>
        <v>105067;INF090I01874;INF090I01882;Franklin India INDEX FUND- NSE NIFTY 50 INDEX FUND - IDCW;153.8469;25-Aug-2023</v>
      </c>
      <c r="B9458" s="1"/>
    </row>
    <row r="9459">
      <c r="A9459" s="1" t="str">
        <f>IFERROR(__xludf.DUMMYFUNCTION("""COMPUTED_VALUE"""),"118581;INF090I01GS4;-;Franklin India INDEX FUND- NSE NIFTY 50 INDEX FUND- Direct - Growth;160.4708;25-Aug-2023")</f>
        <v>118581;INF090I01GS4;-;Franklin India INDEX FUND- NSE NIFTY 50 INDEX FUND- Direct - Growth;160.4708;25-Aug-2023</v>
      </c>
      <c r="B9459" s="1"/>
    </row>
    <row r="9460">
      <c r="A9460" s="1"/>
      <c r="B9460" s="1"/>
    </row>
    <row r="9461">
      <c r="A9461" s="1" t="str">
        <f>IFERROR(__xludf.DUMMYFUNCTION("""COMPUTED_VALUE"""),"HDFC Mutual Fund")</f>
        <v>HDFC Mutual Fund</v>
      </c>
      <c r="B9461" s="1"/>
    </row>
    <row r="9462">
      <c r="A9462" s="1"/>
      <c r="B9462" s="1"/>
    </row>
    <row r="9463">
      <c r="A9463" s="1" t="str">
        <f>IFERROR(__xludf.DUMMYFUNCTION("""COMPUTED_VALUE"""),"119063;INF179K01WM1;-;HDFC Index Fund-NIFTY 50 Plan - Direct Plan;183.5959;25-Aug-2023")</f>
        <v>119063;INF179K01WM1;-;HDFC Index Fund-NIFTY 50 Plan - Direct Plan;183.5959;25-Aug-2023</v>
      </c>
      <c r="B9463" s="1"/>
    </row>
    <row r="9464">
      <c r="A9464" s="1" t="str">
        <f>IFERROR(__xludf.DUMMYFUNCTION("""COMPUTED_VALUE"""),"101525;INF179K01KZ8;-;HDFC Index Fund-NIFTY 50 Plan - Growth Plan;180.1025;25-Aug-2023")</f>
        <v>101525;INF179K01KZ8;-;HDFC Index Fund-NIFTY 50 Plan - Growth Plan;180.1025;25-Aug-2023</v>
      </c>
      <c r="B9464" s="1"/>
    </row>
    <row r="9465">
      <c r="A9465" s="1" t="str">
        <f>IFERROR(__xludf.DUMMYFUNCTION("""COMPUTED_VALUE"""),"119065;INF179K01WN9;-;HDFC Index Fund-S&amp;P BSE Sensex Plan - Direct Plan;604.8047;25-Aug-2023")</f>
        <v>119065;INF179K01WN9;-;HDFC Index Fund-S&amp;P BSE Sensex Plan - Direct Plan;604.8047;25-Aug-2023</v>
      </c>
      <c r="B9465" s="1"/>
    </row>
    <row r="9466">
      <c r="A9466" s="1" t="str">
        <f>IFERROR(__xludf.DUMMYFUNCTION("""COMPUTED_VALUE"""),"101281;INF179K01LA9;-;HDFC Index Fund-S&amp;P BSE Sensex Plan - Growth Plan;592.1775;25-Aug-2023")</f>
        <v>101281;INF179K01LA9;-;HDFC Index Fund-S&amp;P BSE Sensex Plan - Growth Plan;592.1775;25-Aug-2023</v>
      </c>
      <c r="B9466" s="1"/>
    </row>
    <row r="9467">
      <c r="A9467" s="1" t="str">
        <f>IFERROR(__xludf.DUMMYFUNCTION("""COMPUTED_VALUE"""),"149870;INF179KC1CA1;-;HDFC Nifty 100 Equal Weight Index Fund - Direct Plan - Growth Option;11.3213;25-Aug-2023")</f>
        <v>149870;INF179KC1CA1;-;HDFC Nifty 100 Equal Weight Index Fund - Direct Plan - Growth Option;11.3213;25-Aug-2023</v>
      </c>
      <c r="B9467" s="1"/>
    </row>
    <row r="9468">
      <c r="A9468" s="1" t="str">
        <f>IFERROR(__xludf.DUMMYFUNCTION("""COMPUTED_VALUE"""),"149871;INF179KC1CB9;-;HDFC Nifty 100 Equal Weight Index Fund - Growth Option;11.2222;25-Aug-2023")</f>
        <v>149871;INF179KC1CB9;-;HDFC Nifty 100 Equal Weight Index Fund - Growth Option;11.2222;25-Aug-2023</v>
      </c>
      <c r="B9468" s="1"/>
    </row>
    <row r="9469">
      <c r="A9469" s="1" t="str">
        <f>IFERROR(__xludf.DUMMYFUNCTION("""COMPUTED_VALUE"""),"149868;INF179KC1BY3;-;HDFC NIFTY 100 Index Fund - Direct Plan - Growth Option;11.2308;25-Aug-2023")</f>
        <v>149868;INF179KC1BY3;-;HDFC NIFTY 100 Index Fund - Direct Plan - Growth Option;11.2308;25-Aug-2023</v>
      </c>
      <c r="B9469" s="1"/>
    </row>
    <row r="9470">
      <c r="A9470" s="1" t="str">
        <f>IFERROR(__xludf.DUMMYFUNCTION("""COMPUTED_VALUE"""),"149869;INF179KC1BZ0;-;HDFC NIFTY 100 Index Fund - Growth Option;11.1281;25-Aug-2023")</f>
        <v>149869;INF179KC1BZ0;-;HDFC NIFTY 100 Index Fund - Growth Option;11.1281;25-Aug-2023</v>
      </c>
      <c r="B9470" s="1"/>
    </row>
    <row r="9471">
      <c r="A9471" s="1" t="str">
        <f>IFERROR(__xludf.DUMMYFUNCTION("""COMPUTED_VALUE"""),"151496;INF179KC1FR8;-;HDFC Nifty G-Sec Apr 2029 Index Fund - Growth Option;10.4171;25-Aug-2023")</f>
        <v>151496;INF179KC1FR8;-;HDFC Nifty G-Sec Apr 2029 Index Fund - Growth Option;10.4171;25-Aug-2023</v>
      </c>
      <c r="B9471" s="1"/>
    </row>
    <row r="9472">
      <c r="A9472" s="1" t="str">
        <f>IFERROR(__xludf.DUMMYFUNCTION("""COMPUTED_VALUE"""),"151495;INF179KC1FQ0;-;HDFC Nifty G-Sec Apr 2029 Index Fund - Growth Option - Direct Plan;10.4251;25-Aug-2023")</f>
        <v>151495;INF179KC1FQ0;-;HDFC Nifty G-Sec Apr 2029 Index Fund - Growth Option - Direct Plan;10.4251;25-Aug-2023</v>
      </c>
      <c r="B9472" s="1"/>
    </row>
    <row r="9473">
      <c r="A9473" s="1" t="str">
        <f>IFERROR(__xludf.DUMMYFUNCTION("""COMPUTED_VALUE"""),"150844;INF179KC1EG4;-;HDFC Nifty G-Sec Dec 2026 Index Fund - Growth Option;10.5672;25-Aug-2023")</f>
        <v>150844;INF179KC1EG4;-;HDFC Nifty G-Sec Dec 2026 Index Fund - Growth Option;10.5672;25-Aug-2023</v>
      </c>
      <c r="B9473" s="1"/>
    </row>
    <row r="9474">
      <c r="A9474" s="1" t="str">
        <f>IFERROR(__xludf.DUMMYFUNCTION("""COMPUTED_VALUE"""),"150845;INF179KC1EE9;-;HDFC Nifty G-Sec Dec 2026 Index Fund - Growth Option - Direct Plan;10.5802;25-Aug-2023")</f>
        <v>150845;INF179KC1EE9;-;HDFC Nifty G-Sec Dec 2026 Index Fund - Growth Option - Direct Plan;10.5802;25-Aug-2023</v>
      </c>
      <c r="B9474" s="1"/>
    </row>
    <row r="9475">
      <c r="A9475" s="1" t="str">
        <f>IFERROR(__xludf.DUMMYFUNCTION("""COMPUTED_VALUE"""),"150846;INF179KC1EI0;-;HDFC Nifty G-Sec July 2031 Index Fund - Growth Option;10.6411;25-Aug-2023")</f>
        <v>150846;INF179KC1EI0;-;HDFC Nifty G-Sec July 2031 Index Fund - Growth Option;10.6411;25-Aug-2023</v>
      </c>
      <c r="B9475" s="1"/>
    </row>
    <row r="9476">
      <c r="A9476" s="1" t="str">
        <f>IFERROR(__xludf.DUMMYFUNCTION("""COMPUTED_VALUE"""),"150847;INF179KC1EH2;-;HDFC Nifty G-Sec July 2031 Index Fund - Growth Option - Direct Plan;10.6564;25-Aug-2023")</f>
        <v>150847;INF179KC1EH2;-;HDFC Nifty G-Sec July 2031 Index Fund - Growth Option - Direct Plan;10.6564;25-Aug-2023</v>
      </c>
      <c r="B9476" s="1"/>
    </row>
    <row r="9477">
      <c r="A9477" s="1" t="str">
        <f>IFERROR(__xludf.DUMMYFUNCTION("""COMPUTED_VALUE"""),"151180;INF179KC1EK6;-;HDFC Nifty G-Sec Jun 2027 Index Fund - Growth Option;10.4806;25-Aug-2023")</f>
        <v>151180;INF179KC1EK6;-;HDFC Nifty G-Sec Jun 2027 Index Fund - Growth Option;10.4806;25-Aug-2023</v>
      </c>
      <c r="B9477" s="1"/>
    </row>
    <row r="9478">
      <c r="A9478" s="1" t="str">
        <f>IFERROR(__xludf.DUMMYFUNCTION("""COMPUTED_VALUE"""),"151181;INF179KC1EJ8;-;HDFC Nifty G-Sec Jun 2027 Index Fund - Growth Option - Direct Plan;10.4927;25-Aug-2023")</f>
        <v>151181;INF179KC1EJ8;-;HDFC Nifty G-Sec Jun 2027 Index Fund - Growth Option - Direct Plan;10.4927;25-Aug-2023</v>
      </c>
      <c r="B9478" s="1"/>
    </row>
    <row r="9479">
      <c r="A9479" s="1" t="str">
        <f>IFERROR(__xludf.DUMMYFUNCTION("""COMPUTED_VALUE"""),"151490;INF179KC1FT4;-;HDFC Nifty G-Sec Jun 2036 Index Fund - Growth Option;10.4906;25-Aug-2023")</f>
        <v>151490;INF179KC1FT4;-;HDFC Nifty G-Sec Jun 2036 Index Fund - Growth Option;10.4906;25-Aug-2023</v>
      </c>
      <c r="B9479" s="1"/>
    </row>
    <row r="9480">
      <c r="A9480" s="1" t="str">
        <f>IFERROR(__xludf.DUMMYFUNCTION("""COMPUTED_VALUE"""),"151489;INF179KC1FS6;-;HDFC Nifty G-Sec Jun 2036 Index Fund - Growth Option - Direct Plan;10.5016;25-Aug-2023")</f>
        <v>151489;INF179KC1FS6;-;HDFC Nifty G-Sec Jun 2036 Index Fund - Growth Option - Direct Plan;10.5016;25-Aug-2023</v>
      </c>
      <c r="B9480" s="1"/>
    </row>
    <row r="9481">
      <c r="A9481" s="1" t="str">
        <f>IFERROR(__xludf.DUMMYFUNCTION("""COMPUTED_VALUE"""),"151182;INF179KC1EM2;-;HDFC Nifty G-Sec Sep 2032 Index Fund - Growth Option;10.5677;25-Aug-2023")</f>
        <v>151182;INF179KC1EM2;-;HDFC Nifty G-Sec Sep 2032 Index Fund - Growth Option;10.5677;25-Aug-2023</v>
      </c>
      <c r="B9481" s="1"/>
    </row>
    <row r="9482">
      <c r="A9482" s="1" t="str">
        <f>IFERROR(__xludf.DUMMYFUNCTION("""COMPUTED_VALUE"""),"151183;INF179KC1EL4;-;HDFC Nifty G-Sec Sep 2032 Index Fund - Growth Option - Direct Plan;10.5799;25-Aug-2023")</f>
        <v>151183;INF179KC1EL4;-;HDFC Nifty G-Sec Sep 2032 Index Fund - Growth Option - Direct Plan;10.5799;25-Aug-2023</v>
      </c>
      <c r="B9482" s="1"/>
    </row>
    <row r="9483">
      <c r="A9483" s="1" t="str">
        <f>IFERROR(__xludf.DUMMYFUNCTION("""COMPUTED_VALUE"""),"151725;INF179KC1GD6;-;HDFC NIFTY Midcap 150 Index Fund - Growth Option;12.2801;25-Aug-2023")</f>
        <v>151725;INF179KC1GD6;-;HDFC NIFTY Midcap 150 Index Fund - Growth Option;12.2801;25-Aug-2023</v>
      </c>
      <c r="B9483" s="1"/>
    </row>
    <row r="9484">
      <c r="A9484" s="1" t="str">
        <f>IFERROR(__xludf.DUMMYFUNCTION("""COMPUTED_VALUE"""),"151724;INF179KC1GC8;-;HDFC NIFTY Midcap 150 Index Fund - Growth Option - Direct Plan;12.3096;25-Aug-2023")</f>
        <v>151724;INF179KC1GC8;-;HDFC NIFTY Midcap 150 Index Fund - Growth Option - Direct Plan;12.3096;25-Aug-2023</v>
      </c>
      <c r="B9484" s="1"/>
    </row>
    <row r="9485">
      <c r="A9485" s="1" t="str">
        <f>IFERROR(__xludf.DUMMYFUNCTION("""COMPUTED_VALUE"""),"149288;INF179KC1BQ9;-;HDFC NIFTY Next 50 Index Fund - Direct Plan - Growth Option;10.3555;25-Aug-2023")</f>
        <v>149288;INF179KC1BQ9;-;HDFC NIFTY Next 50 Index Fund - Direct Plan - Growth Option;10.3555;25-Aug-2023</v>
      </c>
      <c r="B9485" s="1"/>
    </row>
    <row r="9486">
      <c r="A9486" s="1" t="str">
        <f>IFERROR(__xludf.DUMMYFUNCTION("""COMPUTED_VALUE"""),"149287;INF179KC1BR7;-;HDFC NIFTY Next 50 Index Fund - Growth Option;10.2523;25-Aug-2023")</f>
        <v>149287;INF179KC1BR7;-;HDFC NIFTY Next 50 Index Fund - Growth Option;10.2523;25-Aug-2023</v>
      </c>
      <c r="B9486" s="1"/>
    </row>
    <row r="9487">
      <c r="A9487" s="1" t="str">
        <f>IFERROR(__xludf.DUMMYFUNCTION("""COMPUTED_VALUE"""),"151455;INF179KC1FJ5;-;HDFC Nifty SDL Oct 2026 Index Fund - Growth Option;10.4128;25-Aug-2023")</f>
        <v>151455;INF179KC1FJ5;-;HDFC Nifty SDL Oct 2026 Index Fund - Growth Option;10.4128;25-Aug-2023</v>
      </c>
      <c r="B9487" s="1"/>
    </row>
    <row r="9488">
      <c r="A9488" s="1" t="str">
        <f>IFERROR(__xludf.DUMMYFUNCTION("""COMPUTED_VALUE"""),"151456;INF179KC1FI7;-;HDFC Nifty SDL Oct 2026 Index Fund - Growth Option - Direct Plan;10.4234;25-Aug-2023")</f>
        <v>151456;INF179KC1FI7;-;HDFC Nifty SDL Oct 2026 Index Fund - Growth Option - Direct Plan;10.4234;25-Aug-2023</v>
      </c>
      <c r="B9488" s="1"/>
    </row>
    <row r="9489">
      <c r="A9489" s="1" t="str">
        <f>IFERROR(__xludf.DUMMYFUNCTION("""COMPUTED_VALUE"""),"151571;INF179KC1GB0;-;HDFC NIFTY SDL Plus G-Sec Jun 2027 40:60 Index Fund - Growth Option;10.3006;25-Aug-2023")</f>
        <v>151571;INF179KC1GB0;-;HDFC NIFTY SDL Plus G-Sec Jun 2027 40:60 Index Fund - Growth Option;10.3006;25-Aug-2023</v>
      </c>
      <c r="B9489" s="1"/>
    </row>
    <row r="9490">
      <c r="A9490" s="1" t="str">
        <f>IFERROR(__xludf.DUMMYFUNCTION("""COMPUTED_VALUE"""),"151570;INF179KC1GA2;-;HDFC NIFTY SDL Plus G-Sec Jun 2027 40:60 Index Fund - Growth Option - Direct Plan;10.3074;25-Aug-2023")</f>
        <v>151570;INF179KC1GA2;-;HDFC NIFTY SDL Plus G-Sec Jun 2027 40:60 Index Fund - Growth Option - Direct Plan;10.3074;25-Aug-2023</v>
      </c>
      <c r="B9490" s="1"/>
    </row>
    <row r="9491">
      <c r="A9491" s="1" t="str">
        <f>IFERROR(__xludf.DUMMYFUNCTION("""COMPUTED_VALUE"""),"151726;INF179KC1GF1;-;HDFC NIFTY Smallcap 250 Index Fund - Growth Option;12.5745;25-Aug-2023")</f>
        <v>151726;INF179KC1GF1;-;HDFC NIFTY Smallcap 250 Index Fund - Growth Option;12.5745;25-Aug-2023</v>
      </c>
      <c r="B9491" s="1"/>
    </row>
    <row r="9492">
      <c r="A9492" s="1" t="str">
        <f>IFERROR(__xludf.DUMMYFUNCTION("""COMPUTED_VALUE"""),"151727;INF179KC1GE4;-;HDFC NIFTY Smallcap 250 Index Fund - Growth Option - Direct Plan;12.6049;25-Aug-2023")</f>
        <v>151727;INF179KC1GE4;-;HDFC NIFTY Smallcap 250 Index Fund - Growth Option - Direct Plan;12.6049;25-Aug-2023</v>
      </c>
      <c r="B9492" s="1"/>
    </row>
    <row r="9493">
      <c r="A9493" s="1" t="str">
        <f>IFERROR(__xludf.DUMMYFUNCTION("""COMPUTED_VALUE"""),"149107;INF179KC1BM8;-;HDFC NIFTY50 Equal weight Index Fund - Direct Plan - Growth Option;12.6643;25-Aug-2023")</f>
        <v>149107;INF179KC1BM8;-;HDFC NIFTY50 Equal weight Index Fund - Direct Plan - Growth Option;12.6643;25-Aug-2023</v>
      </c>
      <c r="B9493" s="1"/>
    </row>
    <row r="9494">
      <c r="A9494" s="1" t="str">
        <f>IFERROR(__xludf.DUMMYFUNCTION("""COMPUTED_VALUE"""),"149106;INF179KC1BN6;-;HDFC NIFTY50 Equal weight Index Fund - Growth Option;12.5107;25-Aug-2023")</f>
        <v>149106;INF179KC1BN6;-;HDFC NIFTY50 Equal weight Index Fund - Growth Option;12.5107;25-Aug-2023</v>
      </c>
      <c r="B9494" s="1"/>
    </row>
    <row r="9495">
      <c r="A9495" s="1" t="str">
        <f>IFERROR(__xludf.DUMMYFUNCTION("""COMPUTED_VALUE"""),"151729;INF179KC1GH7;-;HDFC S&amp;P BSE 500 Index Fund - Growth Option;11.3332;25-Aug-2023")</f>
        <v>151729;INF179KC1GH7;-;HDFC S&amp;P BSE 500 Index Fund - Growth Option;11.3332;25-Aug-2023</v>
      </c>
      <c r="B9495" s="1"/>
    </row>
    <row r="9496">
      <c r="A9496" s="1" t="str">
        <f>IFERROR(__xludf.DUMMYFUNCTION("""COMPUTED_VALUE"""),"151728;INF179KC1GG9;-;HDFC S&amp;P BSE 500 Index Fund - Growth Option - Direct Plan;11.3615;25-Aug-2023")</f>
        <v>151728;INF179KC1GG9;-;HDFC S&amp;P BSE 500 Index Fund - Growth Option - Direct Plan;11.3615;25-Aug-2023</v>
      </c>
      <c r="B9496" s="1"/>
    </row>
    <row r="9497">
      <c r="A9497" s="1"/>
      <c r="B9497" s="1"/>
    </row>
    <row r="9498">
      <c r="A9498" s="1" t="str">
        <f>IFERROR(__xludf.DUMMYFUNCTION("""COMPUTED_VALUE"""),"HSBC Mutual Fund")</f>
        <v>HSBC Mutual Fund</v>
      </c>
      <c r="B9498" s="1"/>
    </row>
    <row r="9499">
      <c r="A9499" s="1"/>
      <c r="B9499" s="1"/>
    </row>
    <row r="9500">
      <c r="A9500" s="1" t="str">
        <f>IFERROR(__xludf.DUMMYFUNCTION("""COMPUTED_VALUE"""),"149966;INF336L01QH7;-;HSBC CRISIL IBX 50:50 Gilt Plus SDL Apr 2028 Index Fund - Direct - Growth;10.7401;25-Aug-2023")</f>
        <v>149966;INF336L01QH7;-;HSBC CRISIL IBX 50:50 Gilt Plus SDL Apr 2028 Index Fund - Direct - Growth;10.7401;25-Aug-2023</v>
      </c>
      <c r="B9500" s="1"/>
    </row>
    <row r="9501">
      <c r="A9501" s="1" t="str">
        <f>IFERROR(__xludf.DUMMYFUNCTION("""COMPUTED_VALUE"""),"149962;INF336L01QI5;INF336L01QJ3;HSBC CRISIL IBX 50:50 Gilt Plus SDL Apr 2028 Index Fund - Direct - Payout of IDCW;10.7401;25-Aug-2023")</f>
        <v>149962;INF336L01QI5;INF336L01QJ3;HSBC CRISIL IBX 50:50 Gilt Plus SDL Apr 2028 Index Fund - Direct - Payout of IDCW;10.7401;25-Aug-2023</v>
      </c>
      <c r="B9501" s="1"/>
    </row>
    <row r="9502">
      <c r="A9502" s="1" t="str">
        <f>IFERROR(__xludf.DUMMYFUNCTION("""COMPUTED_VALUE"""),"149963;INF336L01QK1;-;HSBC CRISIL IBX 50:50 Gilt Plus SDL Apr 2028 Index Fund - Regular - Growth;10.7096;25-Aug-2023")</f>
        <v>149963;INF336L01QK1;-;HSBC CRISIL IBX 50:50 Gilt Plus SDL Apr 2028 Index Fund - Regular - Growth;10.7096;25-Aug-2023</v>
      </c>
      <c r="B9502" s="1"/>
    </row>
    <row r="9503">
      <c r="A9503" s="1" t="str">
        <f>IFERROR(__xludf.DUMMYFUNCTION("""COMPUTED_VALUE"""),"149964;INF336L01QL9;INF336L01QM7;HSBC CRISIL IBX 50:50 Gilt Plus SDL Apr 2028 Index Fund - Regular - payout of IDCW;10.7096;25-Aug-2023")</f>
        <v>149964;INF336L01QL9;INF336L01QM7;HSBC CRISIL IBX 50:50 Gilt Plus SDL Apr 2028 Index Fund - Regular - payout of IDCW;10.7096;25-Aug-2023</v>
      </c>
      <c r="B9503" s="1"/>
    </row>
    <row r="9504">
      <c r="A9504" s="1" t="str">
        <f>IFERROR(__xludf.DUMMYFUNCTION("""COMPUTED_VALUE"""),"151479;INF336L01QT2;-;HSBC CRISIL IBX Gilt June 2027 Index Fund - Direct - Growth;10.3058;25-Aug-2023")</f>
        <v>151479;INF336L01QT2;-;HSBC CRISIL IBX Gilt June 2027 Index Fund - Direct - Growth;10.3058;25-Aug-2023</v>
      </c>
      <c r="B9504" s="1"/>
    </row>
    <row r="9505">
      <c r="A9505" s="1" t="str">
        <f>IFERROR(__xludf.DUMMYFUNCTION("""COMPUTED_VALUE"""),"151482;INF336L01QU0;INF336L01QV8;HSBC CRISIL IBX Gilt June 2027 Index Fund - Direct - IDCW;10.3058;25-Aug-2023")</f>
        <v>151482;INF336L01QU0;INF336L01QV8;HSBC CRISIL IBX Gilt June 2027 Index Fund - Direct - IDCW;10.3058;25-Aug-2023</v>
      </c>
      <c r="B9505" s="1"/>
    </row>
    <row r="9506">
      <c r="A9506" s="1" t="str">
        <f>IFERROR(__xludf.DUMMYFUNCTION("""COMPUTED_VALUE"""),"151480;INF336L01QW6;-;HSBC CRISIL IBX Gilt June 2027 Index Fund - Regular - Growth;10.2936;25-Aug-2023")</f>
        <v>151480;INF336L01QW6;-;HSBC CRISIL IBX Gilt June 2027 Index Fund - Regular - Growth;10.2936;25-Aug-2023</v>
      </c>
      <c r="B9506" s="1"/>
    </row>
    <row r="9507">
      <c r="A9507" s="1" t="str">
        <f>IFERROR(__xludf.DUMMYFUNCTION("""COMPUTED_VALUE"""),"151481;INF336L01QX4;INF336L01QY2;HSBC CRISIL IBX Gilt June 2027 Index Fund - Regular - IDCW;10.2936;25-Aug-2023")</f>
        <v>151481;INF336L01QX4;INF336L01QY2;HSBC CRISIL IBX Gilt June 2027 Index Fund - Regular - IDCW;10.2936;25-Aug-2023</v>
      </c>
      <c r="B9507" s="1"/>
    </row>
    <row r="9508">
      <c r="A9508" s="1" t="str">
        <f>IFERROR(__xludf.DUMMYFUNCTION("""COMPUTED_VALUE"""),"151157;INF917K01D12;-;HSBC NIFTY 50 INDEX FUND - Direct Growth;22.1989;25-Aug-2023")</f>
        <v>151157;INF917K01D12;-;HSBC NIFTY 50 INDEX FUND - Direct Growth;22.1989;25-Aug-2023</v>
      </c>
      <c r="B9508" s="1"/>
    </row>
    <row r="9509">
      <c r="A9509" s="1" t="str">
        <f>IFERROR(__xludf.DUMMYFUNCTION("""COMPUTED_VALUE"""),"151156;INF917K01C96;INF917K01D04;HSBC NIFTY 50 INDEX FUND - Direct IDCW;22.1988;25-Aug-2023")</f>
        <v>151156;INF917K01C96;INF917K01D04;HSBC NIFTY 50 INDEX FUND - Direct IDCW;22.1988;25-Aug-2023</v>
      </c>
      <c r="B9509" s="1"/>
    </row>
    <row r="9510">
      <c r="A9510" s="1" t="str">
        <f>IFERROR(__xludf.DUMMYFUNCTION("""COMPUTED_VALUE"""),"151158;INF917K01D38;-;HSBC NIFTY 50 INDEX FUND - Regular Growth;21.9243;25-Aug-2023")</f>
        <v>151158;INF917K01D38;-;HSBC NIFTY 50 INDEX FUND - Regular Growth;21.9243;25-Aug-2023</v>
      </c>
      <c r="B9510" s="1"/>
    </row>
    <row r="9511">
      <c r="A9511" s="1" t="str">
        <f>IFERROR(__xludf.DUMMYFUNCTION("""COMPUTED_VALUE"""),"151159;INF917K01D20;INF917K01D46;HSBC NIFTY 50 INDEX FUND - Regular IDCW;21.9242;25-Aug-2023")</f>
        <v>151159;INF917K01D20;INF917K01D46;HSBC NIFTY 50 INDEX FUND - Regular IDCW;21.9242;25-Aug-2023</v>
      </c>
      <c r="B9511" s="1"/>
    </row>
    <row r="9512">
      <c r="A9512" s="1" t="str">
        <f>IFERROR(__xludf.DUMMYFUNCTION("""COMPUTED_VALUE"""),"151160;INF917K01D79;-;HSBC NIFTY NEXT 50 INDEX FUND - Direct Growth;19.2547;25-Aug-2023")</f>
        <v>151160;INF917K01D79;-;HSBC NIFTY NEXT 50 INDEX FUND - Direct Growth;19.2547;25-Aug-2023</v>
      </c>
      <c r="B9512" s="1"/>
    </row>
    <row r="9513">
      <c r="A9513" s="1" t="str">
        <f>IFERROR(__xludf.DUMMYFUNCTION("""COMPUTED_VALUE"""),"151163;INF917K01D53;INF917K01D61;HSBC NIFTY NEXT 50 INDEX FUND - Direct IDCW;19.2546;25-Aug-2023")</f>
        <v>151163;INF917K01D53;INF917K01D61;HSBC NIFTY NEXT 50 INDEX FUND - Direct IDCW;19.2546;25-Aug-2023</v>
      </c>
      <c r="B9513" s="1"/>
    </row>
    <row r="9514">
      <c r="A9514" s="1" t="str">
        <f>IFERROR(__xludf.DUMMYFUNCTION("""COMPUTED_VALUE"""),"151162;INF917K01D95;-;HSBC NIFTY NEXT 50 INDEX FUND - Regular Growth;18.9653;25-Aug-2023")</f>
        <v>151162;INF917K01D95;-;HSBC NIFTY NEXT 50 INDEX FUND - Regular Growth;18.9653;25-Aug-2023</v>
      </c>
      <c r="B9514" s="1"/>
    </row>
    <row r="9515">
      <c r="A9515" s="1" t="str">
        <f>IFERROR(__xludf.DUMMYFUNCTION("""COMPUTED_VALUE"""),"151161;INF917K01D87;INF917K01E03;HSBC NIFTY NEXT 50 INDEX FUND - Regular IDCW;18.9654;25-Aug-2023")</f>
        <v>151161;INF917K01D87;INF917K01E03;HSBC NIFTY NEXT 50 INDEX FUND - Regular IDCW;18.9654;25-Aug-2023</v>
      </c>
      <c r="B9515" s="1"/>
    </row>
    <row r="9516">
      <c r="A9516" s="1"/>
      <c r="B9516" s="1"/>
    </row>
    <row r="9517">
      <c r="A9517" s="1" t="str">
        <f>IFERROR(__xludf.DUMMYFUNCTION("""COMPUTED_VALUE"""),"ICICI Prudential Mutual Fund")</f>
        <v>ICICI Prudential Mutual Fund</v>
      </c>
      <c r="B9517" s="1"/>
    </row>
    <row r="9518">
      <c r="A9518" s="1"/>
      <c r="B9518" s="1"/>
    </row>
    <row r="9519">
      <c r="A9519" s="1" t="str">
        <f>IFERROR(__xludf.DUMMYFUNCTION("""COMPUTED_VALUE"""),"149219;INF109KC1U50;-;ICICI Prudential NASDAQ 100 Index Fund - Direct Plan - Growth;10.7370;25-Aug-2023")</f>
        <v>149219;INF109KC1U50;-;ICICI Prudential NASDAQ 100 Index Fund - Direct Plan - Growth;10.7370;25-Aug-2023</v>
      </c>
      <c r="B9519" s="1"/>
    </row>
    <row r="9520">
      <c r="A9520" s="1" t="str">
        <f>IFERROR(__xludf.DUMMYFUNCTION("""COMPUTED_VALUE"""),"149221;INF109KC1U68;INF109KC1U76;ICICI Prudential NASDAQ 100 Index Fund - Direct Plan - IDCW;10.7361;25-Aug-2023")</f>
        <v>149221;INF109KC1U68;INF109KC1U76;ICICI Prudential NASDAQ 100 Index Fund - Direct Plan - IDCW;10.7361;25-Aug-2023</v>
      </c>
      <c r="B9520" s="1"/>
    </row>
    <row r="9521">
      <c r="A9521" s="1" t="str">
        <f>IFERROR(__xludf.DUMMYFUNCTION("""COMPUTED_VALUE"""),"149218;INF109KC1U27;-;ICICI Prudential NASDAQ 100 Index Fund - Growth;10.6374;25-Aug-2023")</f>
        <v>149218;INF109KC1U27;-;ICICI Prudential NASDAQ 100 Index Fund - Growth;10.6374;25-Aug-2023</v>
      </c>
      <c r="B9521" s="1"/>
    </row>
    <row r="9522">
      <c r="A9522" s="1" t="str">
        <f>IFERROR(__xludf.DUMMYFUNCTION("""COMPUTED_VALUE"""),"149220;INF109KC1U35;INF109KC1U43;ICICI Prudential NASDAQ 100 Index Fund - IDCW;10.6372;25-Aug-2023")</f>
        <v>149220;INF109KC1U35;INF109KC1U43;ICICI Prudential NASDAQ 100 Index Fund - IDCW;10.6372;25-Aug-2023</v>
      </c>
      <c r="B9522" s="1"/>
    </row>
    <row r="9523">
      <c r="A9523" s="1" t="str">
        <f>IFERROR(__xludf.DUMMYFUNCTION("""COMPUTED_VALUE"""),"150452;INF109KC11D8;-;ICICI Prudential Nifty 200 Momentum 30 Index Fund - Direct Plan - Growth;11.9695;25-Aug-2023")</f>
        <v>150452;INF109KC11D8;-;ICICI Prudential Nifty 200 Momentum 30 Index Fund - Direct Plan - Growth;11.9695;25-Aug-2023</v>
      </c>
      <c r="B9523" s="1"/>
    </row>
    <row r="9524">
      <c r="A9524" s="1" t="str">
        <f>IFERROR(__xludf.DUMMYFUNCTION("""COMPUTED_VALUE"""),"150453;INF109KC12D6;INF109KC13D4;ICICI Prudential Nifty 200 Momentum 30 Index Fund - Direct Plan - IDCW;11.9683;25-Aug-2023")</f>
        <v>150453;INF109KC12D6;INF109KC13D4;ICICI Prudential Nifty 200 Momentum 30 Index Fund - Direct Plan - IDCW;11.9683;25-Aug-2023</v>
      </c>
      <c r="B9524" s="1"/>
    </row>
    <row r="9525">
      <c r="A9525" s="1" t="str">
        <f>IFERROR(__xludf.DUMMYFUNCTION("""COMPUTED_VALUE"""),"150454;INF109KC18C5;-;ICICI Prudential Nifty 200 Momentum 30 Index Fund - Growth;11.8870;25-Aug-2023")</f>
        <v>150454;INF109KC18C5;-;ICICI Prudential Nifty 200 Momentum 30 Index Fund - Growth;11.8870;25-Aug-2023</v>
      </c>
      <c r="B9525" s="1"/>
    </row>
    <row r="9526">
      <c r="A9526" s="1" t="str">
        <f>IFERROR(__xludf.DUMMYFUNCTION("""COMPUTED_VALUE"""),"150451;INF109KC19C3;INF109KC10D0;ICICI Prudential Nifty 200 Momentum 30 Index Fund - IDCW;11.8869;25-Aug-2023")</f>
        <v>150451;INF109KC19C3;INF109KC10D0;ICICI Prudential Nifty 200 Momentum 30 Index Fund - IDCW;11.8869;25-Aug-2023</v>
      </c>
      <c r="B9526" s="1"/>
    </row>
    <row r="9527">
      <c r="A9527" s="1" t="str">
        <f>IFERROR(__xludf.DUMMYFUNCTION("""COMPUTED_VALUE"""),"101349;INF109K01PI0;-;ICICI Prudential Nifty 50 Index Fund - Cumulative Option;191.0766;25-Aug-2023")</f>
        <v>101349;INF109K01PI0;-;ICICI Prudential Nifty 50 Index Fund - Cumulative Option;191.0766;25-Aug-2023</v>
      </c>
      <c r="B9527" s="1"/>
    </row>
    <row r="9528">
      <c r="A9528" s="1" t="str">
        <f>IFERROR(__xludf.DUMMYFUNCTION("""COMPUTED_VALUE"""),"120620;INF109K012M7;-;ICICI Prudential Nifty 50 Index Fund - Direct Plan Cumulative Option;198.5184;25-Aug-2023")</f>
        <v>120620;INF109K012M7;-;ICICI Prudential Nifty 50 Index Fund - Direct Plan Cumulative Option;198.5184;25-Aug-2023</v>
      </c>
      <c r="B9528" s="1"/>
    </row>
    <row r="9529">
      <c r="A9529" s="1" t="str">
        <f>IFERROR(__xludf.DUMMYFUNCTION("""COMPUTED_VALUE"""),"135391;INF109KB1NL1;INF109KB1NM9;ICICI Prudential Nifty 50 Index Fund - Direct Plan IDCW Option;26.6964;25-Aug-2023")</f>
        <v>135391;INF109KB1NL1;INF109KB1NM9;ICICI Prudential Nifty 50 Index Fund - Direct Plan IDCW Option;26.6964;25-Aug-2023</v>
      </c>
      <c r="B9529" s="1"/>
    </row>
    <row r="9530">
      <c r="A9530" s="1" t="str">
        <f>IFERROR(__xludf.DUMMYFUNCTION("""COMPUTED_VALUE"""),"135390;INF109KB1NN7;INF109KB1NO5;ICICI Prudential Nifty 50 Index Fund - IDCW Option;25.4561;25-Aug-2023")</f>
        <v>135390;INF109KB1NN7;INF109KB1NO5;ICICI Prudential Nifty 50 Index Fund - IDCW Option;25.4561;25-Aug-2023</v>
      </c>
      <c r="B9530" s="1"/>
    </row>
    <row r="9531">
      <c r="A9531" s="1" t="str">
        <f>IFERROR(__xludf.DUMMYFUNCTION("""COMPUTED_VALUE"""),"150643;-;INF109KC16J4;ICICI Prudential Nifty Auto Index Fund - Direct Plan - Growth;12.2649;25-Aug-2023")</f>
        <v>150643;-;INF109KC16J4;ICICI Prudential Nifty Auto Index Fund - Direct Plan - Growth;12.2649;25-Aug-2023</v>
      </c>
      <c r="B9531" s="1"/>
    </row>
    <row r="9532">
      <c r="A9532" s="1" t="str">
        <f>IFERROR(__xludf.DUMMYFUNCTION("""COMPUTED_VALUE"""),"150644;INF109KC17J2;INF109KC18J0;ICICI Prudential Nifty Auto Index Fund - Direct Plan - IDCW;12.2649;25-Aug-2023")</f>
        <v>150644;INF109KC17J2;INF109KC18J0;ICICI Prudential Nifty Auto Index Fund - Direct Plan - IDCW;12.2649;25-Aug-2023</v>
      </c>
      <c r="B9532" s="1"/>
    </row>
    <row r="9533">
      <c r="A9533" s="1" t="str">
        <f>IFERROR(__xludf.DUMMYFUNCTION("""COMPUTED_VALUE"""),"150645;-;INF109KC13J1;ICICI Prudential Nifty Auto Index Fund - Growth;12.2011;25-Aug-2023")</f>
        <v>150645;-;INF109KC13J1;ICICI Prudential Nifty Auto Index Fund - Growth;12.2011;25-Aug-2023</v>
      </c>
      <c r="B9533" s="1"/>
    </row>
    <row r="9534">
      <c r="A9534" s="1" t="str">
        <f>IFERROR(__xludf.DUMMYFUNCTION("""COMPUTED_VALUE"""),"150646;INF109KC14J9;INF109KC15J6;ICICI Prudential Nifty Auto Index Fund - IDCW;12.2010;25-Aug-2023")</f>
        <v>150646;INF109KC14J9;INF109KC15J6;ICICI Prudential Nifty Auto Index Fund - IDCW;12.2010;25-Aug-2023</v>
      </c>
      <c r="B9534" s="1"/>
    </row>
    <row r="9535">
      <c r="A9535" s="1" t="str">
        <f>IFERROR(__xludf.DUMMYFUNCTION("""COMPUTED_VALUE"""),"149858;INF109KC11A4;-;ICICI Prudential Nifty Bank Index Fund - Direct Plan Growth;12.5818;25-Aug-2023")</f>
        <v>149858;INF109KC11A4;-;ICICI Prudential Nifty Bank Index Fund - Direct Plan Growth;12.5818;25-Aug-2023</v>
      </c>
      <c r="B9535" s="1"/>
    </row>
    <row r="9536">
      <c r="A9536" s="1" t="str">
        <f>IFERROR(__xludf.DUMMYFUNCTION("""COMPUTED_VALUE"""),"149861;INF109KC12A2;INF109KC13A0;ICICI Prudential Nifty Bank Index Fund - Direct Plan IDCW;12.5818;25-Aug-2023")</f>
        <v>149861;INF109KC12A2;INF109KC13A0;ICICI Prudential Nifty Bank Index Fund - Direct Plan IDCW;12.5818;25-Aug-2023</v>
      </c>
      <c r="B9536" s="1"/>
    </row>
    <row r="9537">
      <c r="A9537" s="1" t="str">
        <f>IFERROR(__xludf.DUMMYFUNCTION("""COMPUTED_VALUE"""),"149859;INF109KC1Z89;-;ICICI Prudential Nifty Bank Index Fund - Growth;12.4335;25-Aug-2023")</f>
        <v>149859;INF109KC1Z89;-;ICICI Prudential Nifty Bank Index Fund - Growth;12.4335;25-Aug-2023</v>
      </c>
      <c r="B9537" s="1"/>
    </row>
    <row r="9538">
      <c r="A9538" s="1" t="str">
        <f>IFERROR(__xludf.DUMMYFUNCTION("""COMPUTED_VALUE"""),"149860;INF109KC1Z97;INF109KC10A6;ICICI Prudential Nifty Bank Index Fund - IDCW;12.4334;25-Aug-2023")</f>
        <v>149860;INF109KC1Z97;INF109KC10A6;ICICI Prudential Nifty Bank Index Fund - IDCW;12.4334;25-Aug-2023</v>
      </c>
      <c r="B9538" s="1"/>
    </row>
    <row r="9539">
      <c r="A9539" s="1" t="str">
        <f>IFERROR(__xludf.DUMMYFUNCTION("""COMPUTED_VALUE"""),"150734;INF109KC16K2;INF109KC17K0;ICICI Prudential Nifty G-Sec Dec 2030 Index Fund - Annual IDCW;10.7286;25-Aug-2023")</f>
        <v>150734;INF109KC16K2;INF109KC17K0;ICICI Prudential Nifty G-Sec Dec 2030 Index Fund - Annual IDCW;10.7286;25-Aug-2023</v>
      </c>
      <c r="B9539" s="1"/>
    </row>
    <row r="9540">
      <c r="A9540" s="1" t="str">
        <f>IFERROR(__xludf.DUMMYFUNCTION("""COMPUTED_VALUE"""),"150735;INF109KC19K6;INF109KC10L3;ICICI Prudential Nifty G-Sec Dec 2030 Index Fund - Direct Plan - Annual IDCW;10.7466;25-Aug-2023")</f>
        <v>150735;INF109KC19K6;INF109KC10L3;ICICI Prudential Nifty G-Sec Dec 2030 Index Fund - Direct Plan - Annual IDCW;10.7466;25-Aug-2023</v>
      </c>
      <c r="B9540" s="1"/>
    </row>
    <row r="9541">
      <c r="A9541" s="1" t="str">
        <f>IFERROR(__xludf.DUMMYFUNCTION("""COMPUTED_VALUE"""),"150733;-;INF109KC18K8;ICICI Prudential Nifty G-Sec Dec 2030 Index Fund - Direct Plan - Growth;10.7472;25-Aug-2023")</f>
        <v>150733;-;INF109KC18K8;ICICI Prudential Nifty G-Sec Dec 2030 Index Fund - Direct Plan - Growth;10.7472;25-Aug-2023</v>
      </c>
      <c r="B9541" s="1"/>
    </row>
    <row r="9542">
      <c r="A9542" s="1" t="str">
        <f>IFERROR(__xludf.DUMMYFUNCTION("""COMPUTED_VALUE"""),"150732;-;INF109KC15K4;ICICI Prudential Nifty G-Sec Dec 2030 Index Fund - Growth;10.7285;25-Aug-2023")</f>
        <v>150732;-;INF109KC15K4;ICICI Prudential Nifty G-Sec Dec 2030 Index Fund - Growth;10.7285;25-Aug-2023</v>
      </c>
      <c r="B9542" s="1"/>
    </row>
    <row r="9543">
      <c r="A9543" s="1" t="str">
        <f>IFERROR(__xludf.DUMMYFUNCTION("""COMPUTED_VALUE"""),"150468;-;INF109KC13E2;ICICI Prudential Nifty IT Index Fund - Direct Plan - Growth;10.4355;25-Aug-2023")</f>
        <v>150468;-;INF109KC13E2;ICICI Prudential Nifty IT Index Fund - Direct Plan - Growth;10.4355;25-Aug-2023</v>
      </c>
      <c r="B9543" s="1"/>
    </row>
    <row r="9544">
      <c r="A9544" s="1" t="str">
        <f>IFERROR(__xludf.DUMMYFUNCTION("""COMPUTED_VALUE"""),"150469;INF109KC14E0;INF109KC15E7;ICICI Prudential Nifty IT Index Fund - Direct Plan - IDCW;10.4405;25-Aug-2023")</f>
        <v>150469;INF109KC14E0;INF109KC15E7;ICICI Prudential Nifty IT Index Fund - Direct Plan - IDCW;10.4405;25-Aug-2023</v>
      </c>
      <c r="B9544" s="1"/>
    </row>
    <row r="9545">
      <c r="A9545" s="1" t="str">
        <f>IFERROR(__xludf.DUMMYFUNCTION("""COMPUTED_VALUE"""),"150466;-;INF109KC10E8;ICICI Prudential Nifty IT Index Fund - Growth;10.3707;25-Aug-2023")</f>
        <v>150466;-;INF109KC10E8;ICICI Prudential Nifty IT Index Fund - Growth;10.3707;25-Aug-2023</v>
      </c>
      <c r="B9545" s="1"/>
    </row>
    <row r="9546">
      <c r="A9546" s="1" t="str">
        <f>IFERROR(__xludf.DUMMYFUNCTION("""COMPUTED_VALUE"""),"150467;INF109KC11E6;INF109KC12E4;ICICI Prudential Nifty IT Index Fund - IDCW;10.3707;25-Aug-2023")</f>
        <v>150467;INF109KC11E6;INF109KC12E4;ICICI Prudential Nifty IT Index Fund - IDCW;10.3707;25-Aug-2023</v>
      </c>
      <c r="B9546" s="1"/>
    </row>
    <row r="9547">
      <c r="A9547" s="1" t="str">
        <f>IFERROR(__xludf.DUMMYFUNCTION("""COMPUTED_VALUE"""),"149389;INF109KC1W58;-;ICICI Prudential Nifty Midcap 150 Index Fund - Direct Plan - Growth;12.8749;25-Aug-2023")</f>
        <v>149389;INF109KC1W58;-;ICICI Prudential Nifty Midcap 150 Index Fund - Direct Plan - Growth;12.8749;25-Aug-2023</v>
      </c>
      <c r="B9547" s="1"/>
    </row>
    <row r="9548">
      <c r="A9548" s="1" t="str">
        <f>IFERROR(__xludf.DUMMYFUNCTION("""COMPUTED_VALUE"""),"149391;INF109KC1W66;INF109KC1W74;ICICI Prudential Nifty Midcap 150 Index Fund - Direct Plan - IDCW;12.8749;25-Aug-2023")</f>
        <v>149391;INF109KC1W66;INF109KC1W74;ICICI Prudential Nifty Midcap 150 Index Fund - Direct Plan - IDCW;12.8749;25-Aug-2023</v>
      </c>
      <c r="B9548" s="1"/>
    </row>
    <row r="9549">
      <c r="A9549" s="1" t="str">
        <f>IFERROR(__xludf.DUMMYFUNCTION("""COMPUTED_VALUE"""),"149390;INF109KC1W25;-;ICICI Prudential Nifty Midcap 150 Index Fund - Growth;12.7031;25-Aug-2023")</f>
        <v>149390;INF109KC1W25;-;ICICI Prudential Nifty Midcap 150 Index Fund - Growth;12.7031;25-Aug-2023</v>
      </c>
      <c r="B9549" s="1"/>
    </row>
    <row r="9550">
      <c r="A9550" s="1" t="str">
        <f>IFERROR(__xludf.DUMMYFUNCTION("""COMPUTED_VALUE"""),"149388;INF109KC1W33;INF109KC1W41;ICICI Prudential Nifty Midcap 150 Index Fund - IDCW;12.7030;25-Aug-2023")</f>
        <v>149388;INF109KC1W33;INF109KC1W41;ICICI Prudential Nifty Midcap 150 Index Fund - IDCW;12.7030;25-Aug-2023</v>
      </c>
      <c r="B9550" s="1"/>
    </row>
    <row r="9551">
      <c r="A9551" s="1" t="str">
        <f>IFERROR(__xludf.DUMMYFUNCTION("""COMPUTED_VALUE"""),"120684;INF109K01Y80;-;ICICI Prudential Nifty Next 50 Index Fund - Direct Plan -  Growth;40.6656;25-Aug-2023")</f>
        <v>120684;INF109K01Y80;-;ICICI Prudential Nifty Next 50 Index Fund - Direct Plan -  Growth;40.6656;25-Aug-2023</v>
      </c>
      <c r="B9551" s="1"/>
    </row>
    <row r="9552">
      <c r="A9552" s="1" t="str">
        <f>IFERROR(__xludf.DUMMYFUNCTION("""COMPUTED_VALUE"""),"120683;INF109K01Y64;INF109K01Y72;ICICI Prudential Nifty Next 50 Index Fund - Direct Plan -  IDCW;40.6505;25-Aug-2023")</f>
        <v>120683;INF109K01Y64;INF109K01Y72;ICICI Prudential Nifty Next 50 Index Fund - Direct Plan -  IDCW;40.6505;25-Aug-2023</v>
      </c>
      <c r="B9552" s="1"/>
    </row>
    <row r="9553">
      <c r="A9553" s="1" t="str">
        <f>IFERROR(__xludf.DUMMYFUNCTION("""COMPUTED_VALUE"""),"112957;INF109K01IF1;-;ICICI Prudential Nifty Next 50 Index Fund - Growth;38.8215;25-Aug-2023")</f>
        <v>112957;INF109K01IF1;-;ICICI Prudential Nifty Next 50 Index Fund - Growth;38.8215;25-Aug-2023</v>
      </c>
      <c r="B9553" s="1"/>
    </row>
    <row r="9554">
      <c r="A9554" s="1" t="str">
        <f>IFERROR(__xludf.DUMMYFUNCTION("""COMPUTED_VALUE"""),"112958;INF109K01PR1;INF109K01IE4;ICICI Prudential Nifty Next 50 Index Fund -IDCW;38.8214;25-Aug-2023")</f>
        <v>112958;INF109K01PR1;INF109K01IE4;ICICI Prudential Nifty Next 50 Index Fund -IDCW;38.8214;25-Aug-2023</v>
      </c>
      <c r="B9554" s="1"/>
    </row>
    <row r="9555">
      <c r="A9555" s="1" t="str">
        <f>IFERROR(__xludf.DUMMYFUNCTION("""COMPUTED_VALUE"""),"150930;INF109KC11M9;-;ICICI Prudential Nifty Pharma Index Fund - Direct Plan - Growth;11.6275;25-Aug-2023")</f>
        <v>150930;INF109KC11M9;-;ICICI Prudential Nifty Pharma Index Fund - Direct Plan - Growth;11.6275;25-Aug-2023</v>
      </c>
      <c r="B9555" s="1"/>
    </row>
    <row r="9556">
      <c r="A9556" s="1" t="str">
        <f>IFERROR(__xludf.DUMMYFUNCTION("""COMPUTED_VALUE"""),"150928;INF109KC12M7;INF109KC13M5;ICICI Prudential Nifty Pharma Index Fund - Direct Plan - IDCW;11.6281;25-Aug-2023")</f>
        <v>150928;INF109KC12M7;INF109KC13M5;ICICI Prudential Nifty Pharma Index Fund - Direct Plan - IDCW;11.6281;25-Aug-2023</v>
      </c>
      <c r="B9556" s="1"/>
    </row>
    <row r="9557">
      <c r="A9557" s="1" t="str">
        <f>IFERROR(__xludf.DUMMYFUNCTION("""COMPUTED_VALUE"""),"150929;INF109KC18L6;-;ICICI Prudential Nifty Pharma Index Fund - Growth;11.5712;25-Aug-2023")</f>
        <v>150929;INF109KC18L6;-;ICICI Prudential Nifty Pharma Index Fund - Growth;11.5712;25-Aug-2023</v>
      </c>
      <c r="B9557" s="1"/>
    </row>
    <row r="9558">
      <c r="A9558" s="1" t="str">
        <f>IFERROR(__xludf.DUMMYFUNCTION("""COMPUTED_VALUE"""),"150931;INF109KC19L4;INF109KC10M1;ICICI Prudential Nifty Pharma Index Fund - IDCW;11.5712;25-Aug-2023")</f>
        <v>150931;INF109KC19L4;INF109KC10M1;ICICI Prudential Nifty Pharma Index Fund - IDCW;11.5712;25-Aug-2023</v>
      </c>
      <c r="B9558" s="1"/>
    </row>
    <row r="9559">
      <c r="A9559" s="1" t="str">
        <f>IFERROR(__xludf.DUMMYFUNCTION("""COMPUTED_VALUE"""),"149224;INF109KC1S62;INF109KC1S70;ICICI Prudential Nifty PSU Bond Plus SDL Sep 2027 40:60 Index Fund - Annual - IDCW;10.7162;25-Aug-2023")</f>
        <v>149224;INF109KC1S62;INF109KC1S70;ICICI Prudential Nifty PSU Bond Plus SDL Sep 2027 40:60 Index Fund - Annual - IDCW;10.7162;25-Aug-2023</v>
      </c>
      <c r="B9559" s="1"/>
    </row>
    <row r="9560">
      <c r="A9560" s="1" t="str">
        <f>IFERROR(__xludf.DUMMYFUNCTION("""COMPUTED_VALUE"""),"149227;INF109KC1T46;INF109KC1T53;ICICI Prudential Nifty PSU Bond Plus SDL Sep 2027 40:60 Index Fund - Direct Plan Annual - IDCW;10.7570;25-Aug-2023")</f>
        <v>149227;INF109KC1T46;INF109KC1T53;ICICI Prudential Nifty PSU Bond Plus SDL Sep 2027 40:60 Index Fund - Direct Plan Annual - IDCW;10.7570;25-Aug-2023</v>
      </c>
      <c r="B9560" s="1"/>
    </row>
    <row r="9561">
      <c r="A9561" s="1" t="str">
        <f>IFERROR(__xludf.DUMMYFUNCTION("""COMPUTED_VALUE"""),"149210;INF109KC1S88;-;ICICI Prudential Nifty PSU Bond Plus SDL Sep 2027 40:60 Index Fund - Direct Plan Growth;10.7571;25-Aug-2023")</f>
        <v>149210;INF109KC1S88;-;ICICI Prudential Nifty PSU Bond Plus SDL Sep 2027 40:60 Index Fund - Direct Plan Growth;10.7571;25-Aug-2023</v>
      </c>
      <c r="B9561" s="1"/>
    </row>
    <row r="9562">
      <c r="A9562" s="1" t="str">
        <f>IFERROR(__xludf.DUMMYFUNCTION("""COMPUTED_VALUE"""),"149226;INF109KC1T12;INF109KC1T38;ICICI Prudential Nifty PSU Bond Plus SDL Sep 2027 40:60 Index Fund - Direct Plan Quarterly - IDCW;10.1235;16-Sep-2022")</f>
        <v>149226;INF109KC1T12;INF109KC1T38;ICICI Prudential Nifty PSU Bond Plus SDL Sep 2027 40:60 Index Fund - Direct Plan Quarterly - IDCW;10.1235;16-Sep-2022</v>
      </c>
      <c r="B9562" s="1"/>
    </row>
    <row r="9563">
      <c r="A9563" s="1" t="str">
        <f>IFERROR(__xludf.DUMMYFUNCTION("""COMPUTED_VALUE"""),"149225;INF109KC1T04;INF109KC1S96;ICICI Prudential Nifty PSU Bond Plus SDL Sep 2027 40:60 Index Fund - Direct Plan Weekly - IDCW;9.9460;16-Sep-2022")</f>
        <v>149225;INF109KC1T04;INF109KC1S96;ICICI Prudential Nifty PSU Bond Plus SDL Sep 2027 40:60 Index Fund - Direct Plan Weekly - IDCW;9.9460;16-Sep-2022</v>
      </c>
      <c r="B9563" s="1"/>
    </row>
    <row r="9564">
      <c r="A9564" s="1" t="str">
        <f>IFERROR(__xludf.DUMMYFUNCTION("""COMPUTED_VALUE"""),"149208;INF109KC1S13;-;ICICI Prudential Nifty PSU Bond Plus SDL Sep 2027 40:60 Index Fund - Growth;10.7163;25-Aug-2023")</f>
        <v>149208;INF109KC1S13;-;ICICI Prudential Nifty PSU Bond Plus SDL Sep 2027 40:60 Index Fund - Growth;10.7163;25-Aug-2023</v>
      </c>
      <c r="B9564" s="1"/>
    </row>
    <row r="9565">
      <c r="A9565" s="1" t="str">
        <f>IFERROR(__xludf.DUMMYFUNCTION("""COMPUTED_VALUE"""),"149223;INF109KC1S47;INF109KC1S54;ICICI Prudential Nifty PSU Bond Plus SDL Sep 2027 40:60 Index Fund - Quarterly - IDCW;10.1040;16-Sep-2022")</f>
        <v>149223;INF109KC1S47;INF109KC1S54;ICICI Prudential Nifty PSU Bond Plus SDL Sep 2027 40:60 Index Fund - Quarterly - IDCW;10.1040;16-Sep-2022</v>
      </c>
      <c r="B9565" s="1"/>
    </row>
    <row r="9566">
      <c r="A9566" s="1" t="str">
        <f>IFERROR(__xludf.DUMMYFUNCTION("""COMPUTED_VALUE"""),"149222;INF109KC1S39;INF109KC1S21;ICICI Prudential Nifty PSU Bond Plus SDL Sep 2027 40:60 Index Fund - Weekly - IDCW;9.9457;16-Sep-2022")</f>
        <v>149222;INF109KC1S39;INF109KC1S21;ICICI Prudential Nifty PSU Bond Plus SDL Sep 2027 40:60 Index Fund - Weekly - IDCW;9.9457;16-Sep-2022</v>
      </c>
      <c r="B9566" s="1"/>
    </row>
    <row r="9567">
      <c r="A9567" s="1" t="str">
        <f>IFERROR(__xludf.DUMMYFUNCTION("""COMPUTED_VALUE"""),"150731;INF109KC12L9;INF109KC13L7;ICICI Prudential Nifty SDL Dec 2028 Index Fund - Annual IDCW;10.7458;25-Aug-2023")</f>
        <v>150731;INF109KC12L9;INF109KC13L7;ICICI Prudential Nifty SDL Dec 2028 Index Fund - Annual IDCW;10.7458;25-Aug-2023</v>
      </c>
      <c r="B9567" s="1"/>
    </row>
    <row r="9568">
      <c r="A9568" s="1" t="str">
        <f>IFERROR(__xludf.DUMMYFUNCTION("""COMPUTED_VALUE"""),"150730;INF109KC15L2;INF109KC16L0;ICICI Prudential Nifty SDL Dec 2028 Index Fund - Direct Plan - Annual IDCW;10.7648;25-Aug-2023")</f>
        <v>150730;INF109KC15L2;INF109KC16L0;ICICI Prudential Nifty SDL Dec 2028 Index Fund - Direct Plan - Annual IDCW;10.7648;25-Aug-2023</v>
      </c>
      <c r="B9568" s="1"/>
    </row>
    <row r="9569">
      <c r="A9569" s="1" t="str">
        <f>IFERROR(__xludf.DUMMYFUNCTION("""COMPUTED_VALUE"""),"150729;-;INF109KC14L5;ICICI Prudential Nifty SDL Dec 2028 Index Fund - Direct Plan - Growth;10.7645;25-Aug-2023")</f>
        <v>150729;-;INF109KC14L5;ICICI Prudential Nifty SDL Dec 2028 Index Fund - Direct Plan - Growth;10.7645;25-Aug-2023</v>
      </c>
      <c r="B9569" s="1"/>
    </row>
    <row r="9570">
      <c r="A9570" s="1" t="str">
        <f>IFERROR(__xludf.DUMMYFUNCTION("""COMPUTED_VALUE"""),"150728;-;INF109KC11L1;ICICI Prudential Nifty SDL Dec 2028 Index Fund - Growth;10.7458;25-Aug-2023")</f>
        <v>150728;-;INF109KC11L1;ICICI Prudential Nifty SDL Dec 2028 Index Fund - Growth;10.7458;25-Aug-2023</v>
      </c>
      <c r="B9570" s="1"/>
    </row>
    <row r="9571">
      <c r="A9571" s="1" t="str">
        <f>IFERROR(__xludf.DUMMYFUNCTION("""COMPUTED_VALUE"""),"151209;INF109KC11P2;INF109KC12P0;ICICI Prudential Nifty SDL Sep 2026 Index Fund - Annual IDCW;10.4564;25-Aug-2023")</f>
        <v>151209;INF109KC11P2;INF109KC12P0;ICICI Prudential Nifty SDL Sep 2026 Index Fund - Annual IDCW;10.4564;25-Aug-2023</v>
      </c>
      <c r="B9571" s="1"/>
    </row>
    <row r="9572">
      <c r="A9572" s="1" t="str">
        <f>IFERROR(__xludf.DUMMYFUNCTION("""COMPUTED_VALUE"""),"151210;INF109KC14P6;INF109KC15P3;ICICI Prudential Nifty SDL Sep 2026 Index Fund - Direct Plan - Annual IDCW;10.4706;25-Aug-2023")</f>
        <v>151210;INF109KC14P6;INF109KC15P3;ICICI Prudential Nifty SDL Sep 2026 Index Fund - Direct Plan - Annual IDCW;10.4706;25-Aug-2023</v>
      </c>
      <c r="B9572" s="1"/>
    </row>
    <row r="9573">
      <c r="A9573" s="1" t="str">
        <f>IFERROR(__xludf.DUMMYFUNCTION("""COMPUTED_VALUE"""),"151211;INF109KC13P8;-;ICICI Prudential Nifty SDL Sep 2026 Index Fund - Direct Plan - Growth;10.4706;25-Aug-2023")</f>
        <v>151211;INF109KC13P8;-;ICICI Prudential Nifty SDL Sep 2026 Index Fund - Direct Plan - Growth;10.4706;25-Aug-2023</v>
      </c>
      <c r="B9573" s="1"/>
    </row>
    <row r="9574">
      <c r="A9574" s="1" t="str">
        <f>IFERROR(__xludf.DUMMYFUNCTION("""COMPUTED_VALUE"""),"151208;INF109KC10P4;-;ICICI Prudential Nifty SDL Sep 2026 Index Fund - Growth;10.4565;25-Aug-2023")</f>
        <v>151208;INF109KC10P4;-;ICICI Prudential Nifty SDL Sep 2026 Index Fund - Growth;10.4565;25-Aug-2023</v>
      </c>
      <c r="B9574" s="1"/>
    </row>
    <row r="9575">
      <c r="A9575" s="1" t="str">
        <f>IFERROR(__xludf.DUMMYFUNCTION("""COMPUTED_VALUE"""),"149996;INF109KC12B0;INF109KC13B8;ICICI Prudential Nifty SDL Sep 2027 Index Fund - Annual IDCW;10.6306;25-Aug-2023")</f>
        <v>149996;INF109KC12B0;INF109KC13B8;ICICI Prudential Nifty SDL Sep 2027 Index Fund - Annual IDCW;10.6306;25-Aug-2023</v>
      </c>
      <c r="B9575" s="1"/>
    </row>
    <row r="9576">
      <c r="A9576" s="1" t="str">
        <f>IFERROR(__xludf.DUMMYFUNCTION("""COMPUTED_VALUE"""),"149997;INF109KC15B3;INF109KC16B1;ICICI Prudential Nifty SDL Sep 2027 Index Fund - Direct Plan - Annual IDCW;10.6533;25-Aug-2023")</f>
        <v>149997;INF109KC15B3;INF109KC16B1;ICICI Prudential Nifty SDL Sep 2027 Index Fund - Direct Plan - Annual IDCW;10.6533;25-Aug-2023</v>
      </c>
      <c r="B9576" s="1"/>
    </row>
    <row r="9577">
      <c r="A9577" s="1" t="str">
        <f>IFERROR(__xludf.DUMMYFUNCTION("""COMPUTED_VALUE"""),"149999;INF109KC14B6;-;ICICI Prudential Nifty SDL Sep 2027 Index Fund - Direct Plan - Growth;10.6533;25-Aug-2023")</f>
        <v>149999;INF109KC14B6;-;ICICI Prudential Nifty SDL Sep 2027 Index Fund - Direct Plan - Growth;10.6533;25-Aug-2023</v>
      </c>
      <c r="B9577" s="1"/>
    </row>
    <row r="9578">
      <c r="A9578" s="1" t="str">
        <f>IFERROR(__xludf.DUMMYFUNCTION("""COMPUTED_VALUE"""),"149998;INF109KC11B2;-;ICICI Prudential Nifty SDL Sep 2027 Index Fund - Growth;10.6306;25-Aug-2023")</f>
        <v>149998;INF109KC11B2;-;ICICI Prudential Nifty SDL Sep 2027 Index Fund - Growth;10.6306;25-Aug-2023</v>
      </c>
      <c r="B9578" s="1"/>
    </row>
    <row r="9579">
      <c r="A9579" s="1" t="str">
        <f>IFERROR(__xludf.DUMMYFUNCTION("""COMPUTED_VALUE"""),"149283;INF109KC1V18;-;ICICI Prudential Nifty Smallcap 250 Index Fund - Direct Plan - Growth;11.8751;25-Aug-2023")</f>
        <v>149283;INF109KC1V18;-;ICICI Prudential Nifty Smallcap 250 Index Fund - Direct Plan - Growth;11.8751;25-Aug-2023</v>
      </c>
      <c r="B9579" s="1"/>
    </row>
    <row r="9580">
      <c r="A9580" s="1" t="str">
        <f>IFERROR(__xludf.DUMMYFUNCTION("""COMPUTED_VALUE"""),"149284;INF109KC1V26;INF109KC1V34;ICICI Prudential Nifty Smallcap 250 Index Fund - Direct Plan - IDCW;11.8747;25-Aug-2023")</f>
        <v>149284;INF109KC1V26;INF109KC1V34;ICICI Prudential Nifty Smallcap 250 Index Fund - Direct Plan - IDCW;11.8747;25-Aug-2023</v>
      </c>
      <c r="B9580" s="1"/>
    </row>
    <row r="9581">
      <c r="A9581" s="1" t="str">
        <f>IFERROR(__xludf.DUMMYFUNCTION("""COMPUTED_VALUE"""),"149281;INF109KC1U84;-;ICICI Prudential Nifty Smallcap 250 Index Fund - Growth;11.7249;25-Aug-2023")</f>
        <v>149281;INF109KC1U84;-;ICICI Prudential Nifty Smallcap 250 Index Fund - Growth;11.7249;25-Aug-2023</v>
      </c>
      <c r="B9581" s="1"/>
    </row>
    <row r="9582">
      <c r="A9582" s="1" t="str">
        <f>IFERROR(__xludf.DUMMYFUNCTION("""COMPUTED_VALUE"""),"149282;INF109KC1U92;INF109KC1V00;ICICI Prudential Nifty Smallcap 250 Index Fund - IDCW;11.7254;25-Aug-2023")</f>
        <v>149282;INF109KC1U92;INF109KC1V00;ICICI Prudential Nifty Smallcap 250 Index Fund - IDCW;11.7254;25-Aug-2023</v>
      </c>
      <c r="B9582" s="1"/>
    </row>
    <row r="9583">
      <c r="A9583" s="1" t="str">
        <f>IFERROR(__xludf.DUMMYFUNCTION("""COMPUTED_VALUE"""),"150639;-;INF109KC10J7;ICICI Prudential Nifty50 Equal Weight Index Fund- Direct Plan - Growth;11.6761;25-Aug-2023")</f>
        <v>150639;-;INF109KC10J7;ICICI Prudential Nifty50 Equal Weight Index Fund- Direct Plan - Growth;11.6761;25-Aug-2023</v>
      </c>
      <c r="B9583" s="1"/>
    </row>
    <row r="9584">
      <c r="A9584" s="1" t="str">
        <f>IFERROR(__xludf.DUMMYFUNCTION("""COMPUTED_VALUE"""),"150640;INF109KC11J5;INF109KC12J3;ICICI Prudential Nifty50 Equal Weight Index Fund- Direct Plan - IDCW;11.6761;25-Aug-2023")</f>
        <v>150640;INF109KC11J5;INF109KC12J3;ICICI Prudential Nifty50 Equal Weight Index Fund- Direct Plan - IDCW;11.6761;25-Aug-2023</v>
      </c>
      <c r="B9584" s="1"/>
    </row>
    <row r="9585">
      <c r="A9585" s="1" t="str">
        <f>IFERROR(__xludf.DUMMYFUNCTION("""COMPUTED_VALUE"""),"150637;-;INF109KC17I4;ICICI Prudential Nifty50 Equal Weight Index Fund- Growth;11.6085;25-Aug-2023")</f>
        <v>150637;-;INF109KC17I4;ICICI Prudential Nifty50 Equal Weight Index Fund- Growth;11.6085;25-Aug-2023</v>
      </c>
      <c r="B9585" s="1"/>
    </row>
    <row r="9586">
      <c r="A9586" s="1" t="str">
        <f>IFERROR(__xludf.DUMMYFUNCTION("""COMPUTED_VALUE"""),"150638;INF109KC18I2;INF109KC19I0;ICICI Prudential Nifty50 Equal Weight Index Fund- IDCW;11.6085;25-Aug-2023")</f>
        <v>150638;INF109KC18I2;INF109KC19I0;ICICI Prudential Nifty50 Equal Weight Index Fund- IDCW;11.6085;25-Aug-2023</v>
      </c>
      <c r="B9586" s="1"/>
    </row>
    <row r="9587">
      <c r="A9587" s="1" t="str">
        <f>IFERROR(__xludf.DUMMYFUNCTION("""COMPUTED_VALUE"""),"141839;INF109KB17W7;-;ICICI Prudential S&amp;P BSE Sensex Index Fund - Cumulative Option;20.8566;25-Aug-2023")</f>
        <v>141839;INF109KB17W7;-;ICICI Prudential S&amp;P BSE Sensex Index Fund - Cumulative Option;20.8566;25-Aug-2023</v>
      </c>
      <c r="B9587" s="1"/>
    </row>
    <row r="9588">
      <c r="A9588" s="1" t="str">
        <f>IFERROR(__xludf.DUMMYFUNCTION("""COMPUTED_VALUE"""),"141841;INF109KB10X0;-;ICICI Prudential S&amp;P BSE Sensex Index Fund - Direct Plan - Cumulative Option;21.0966;25-Aug-2023")</f>
        <v>141841;INF109KB10X0;-;ICICI Prudential S&amp;P BSE Sensex Index Fund - Direct Plan - Cumulative Option;21.0966;25-Aug-2023</v>
      </c>
      <c r="B9588" s="1"/>
    </row>
    <row r="9589">
      <c r="A9589" s="1" t="str">
        <f>IFERROR(__xludf.DUMMYFUNCTION("""COMPUTED_VALUE"""),"141842;INF109KB12X6;-;ICICI Prudential S&amp;P BSE Sensex Index Fund - Direct Plan - IDCW Option;21.0965;25-Aug-2023")</f>
        <v>141842;INF109KB12X6;-;ICICI Prudential S&amp;P BSE Sensex Index Fund - Direct Plan - IDCW Option;21.0965;25-Aug-2023</v>
      </c>
      <c r="B9589" s="1"/>
    </row>
    <row r="9590">
      <c r="A9590" s="1" t="str">
        <f>IFERROR(__xludf.DUMMYFUNCTION("""COMPUTED_VALUE"""),"141840;INF109KB19W3;-;ICICI Prudential S&amp;P BSE Sensex Index Fund - IDCW Option;20.8572;25-Aug-2023")</f>
        <v>141840;INF109KB19W3;-;ICICI Prudential S&amp;P BSE Sensex Index Fund - IDCW Option;20.8572;25-Aug-2023</v>
      </c>
      <c r="B9590" s="1"/>
    </row>
    <row r="9591">
      <c r="A9591" s="1"/>
      <c r="B9591" s="1"/>
    </row>
    <row r="9592">
      <c r="A9592" s="1" t="str">
        <f>IFERROR(__xludf.DUMMYFUNCTION("""COMPUTED_VALUE"""),"Invesco Mutual Fund")</f>
        <v>Invesco Mutual Fund</v>
      </c>
      <c r="B9592" s="1"/>
    </row>
    <row r="9593">
      <c r="A9593" s="1"/>
      <c r="B9593" s="1"/>
    </row>
    <row r="9594">
      <c r="A9594" s="1" t="str">
        <f>IFERROR(__xludf.DUMMYFUNCTION("""COMPUTED_VALUE"""),"151593;INF205KA1775;-;Invesco India Nifty G-sec Jul 2027 Index Fund - Direct - Growth;1029.791;25-Aug-2023")</f>
        <v>151593;INF205KA1775;-;Invesco India Nifty G-sec Jul 2027 Index Fund - Direct - Growth;1029.791;25-Aug-2023</v>
      </c>
      <c r="B9594" s="1"/>
    </row>
    <row r="9595">
      <c r="A9595" s="1" t="str">
        <f>IFERROR(__xludf.DUMMYFUNCTION("""COMPUTED_VALUE"""),"151592;INF205KA1783;-;Invesco India Nifty G-sec Jul 2027 Index Fund - Direct - IDCW Payout;1029.7895;25-Aug-2023")</f>
        <v>151592;INF205KA1783;-;Invesco India Nifty G-sec Jul 2027 Index Fund - Direct - IDCW Payout;1029.7895;25-Aug-2023</v>
      </c>
      <c r="B9595" s="1"/>
    </row>
    <row r="9596">
      <c r="A9596" s="1" t="str">
        <f>IFERROR(__xludf.DUMMYFUNCTION("""COMPUTED_VALUE"""),"151590;INF205KA1759;-;Invesco India Nifty G-sec Jul 2027 Index Fund - Regular - Growth;1029.1091;25-Aug-2023")</f>
        <v>151590;INF205KA1759;-;Invesco India Nifty G-sec Jul 2027 Index Fund - Regular - Growth;1029.1091;25-Aug-2023</v>
      </c>
      <c r="B9596" s="1"/>
    </row>
    <row r="9597">
      <c r="A9597" s="1" t="str">
        <f>IFERROR(__xludf.DUMMYFUNCTION("""COMPUTED_VALUE"""),"151591;INF205KA1767;-;Invesco India Nifty G-sec Jul 2027 Index Fund - Regular - IDCW Payout;1029.1178;25-Aug-2023")</f>
        <v>151591;INF205KA1767;-;Invesco India Nifty G-sec Jul 2027 Index Fund - Regular - IDCW Payout;1029.1178;25-Aug-2023</v>
      </c>
      <c r="B9597" s="1"/>
    </row>
    <row r="9598">
      <c r="A9598" s="1" t="str">
        <f>IFERROR(__xludf.DUMMYFUNCTION("""COMPUTED_VALUE"""),"151597;INF205KA1817;-;Invesco India Nifty G-sec Sep 2032 Index Fund - Direct - Growth;1035.0241;25-Aug-2023")</f>
        <v>151597;INF205KA1817;-;Invesco India Nifty G-sec Sep 2032 Index Fund - Direct - Growth;1035.0241;25-Aug-2023</v>
      </c>
      <c r="B9598" s="1"/>
    </row>
    <row r="9599">
      <c r="A9599" s="1" t="str">
        <f>IFERROR(__xludf.DUMMYFUNCTION("""COMPUTED_VALUE"""),"151596;INF205KA1825;-;Invesco India Nifty G-sec Sep 2032 Index Fund - Direct - IDCW Payout;1035.0248;25-Aug-2023")</f>
        <v>151596;INF205KA1825;-;Invesco India Nifty G-sec Sep 2032 Index Fund - Direct - IDCW Payout;1035.0248;25-Aug-2023</v>
      </c>
      <c r="B9599" s="1"/>
    </row>
    <row r="9600">
      <c r="A9600" s="1" t="str">
        <f>IFERROR(__xludf.DUMMYFUNCTION("""COMPUTED_VALUE"""),"151594;INF205KA1791;-;Invesco India Nifty G-sec Sep 2032 Index Fund - Regular - Growth;1034.373;25-Aug-2023")</f>
        <v>151594;INF205KA1791;-;Invesco India Nifty G-sec Sep 2032 Index Fund - Regular - Growth;1034.373;25-Aug-2023</v>
      </c>
      <c r="B9600" s="1"/>
    </row>
    <row r="9601">
      <c r="A9601" s="1" t="str">
        <f>IFERROR(__xludf.DUMMYFUNCTION("""COMPUTED_VALUE"""),"151595;INF205KA1809;-;Invesco India Nifty G-sec Sep 2032 Index Fund - Regular - IDCW Payout;1034.3892;25-Aug-2023")</f>
        <v>151595;INF205KA1809;-;Invesco India Nifty G-sec Sep 2032 Index Fund - Regular - IDCW Payout;1034.3892;25-Aug-2023</v>
      </c>
      <c r="B9601" s="1"/>
    </row>
    <row r="9602">
      <c r="A9602" s="1"/>
      <c r="B9602" s="1"/>
    </row>
    <row r="9603">
      <c r="A9603" s="1" t="str">
        <f>IFERROR(__xludf.DUMMYFUNCTION("""COMPUTED_VALUE"""),"Kotak Mahindra Mutual Fund")</f>
        <v>Kotak Mahindra Mutual Fund</v>
      </c>
      <c r="B9603" s="1"/>
    </row>
    <row r="9604">
      <c r="A9604" s="1"/>
      <c r="B9604" s="1"/>
    </row>
    <row r="9605">
      <c r="A9605" s="1" t="str">
        <f>IFERROR(__xludf.DUMMYFUNCTION("""COMPUTED_VALUE"""),"151781;INF174KA1OB1;-;Kotak Nifty 200 Momentum 30 Index Fund - Direct Plan - Growth Option;10.445;25-Aug-2023")</f>
        <v>151781;INF174KA1OB1;-;Kotak Nifty 200 Momentum 30 Index Fund - Direct Plan - Growth Option;10.445;25-Aug-2023</v>
      </c>
      <c r="B9605" s="1"/>
    </row>
    <row r="9606">
      <c r="A9606" s="1" t="str">
        <f>IFERROR(__xludf.DUMMYFUNCTION("""COMPUTED_VALUE"""),"151782;INF174KA1OC9;INF174KA1OD7;Kotak Nifty 200 Momentum 30 Index Fund - Direct Plan - IDCW Payout;10.445;25-Aug-2023")</f>
        <v>151782;INF174KA1OC9;INF174KA1OD7;Kotak Nifty 200 Momentum 30 Index Fund - Direct Plan - IDCW Payout;10.445;25-Aug-2023</v>
      </c>
      <c r="B9606" s="1"/>
    </row>
    <row r="9607">
      <c r="A9607" s="1" t="str">
        <f>IFERROR(__xludf.DUMMYFUNCTION("""COMPUTED_VALUE"""),"151783;INF174KA1NY5;-;Kotak Nifty 200 Momentum 30 Index Fund - Regular Plan - Growth Option;10.435;25-Aug-2023")</f>
        <v>151783;INF174KA1NY5;-;Kotak Nifty 200 Momentum 30 Index Fund - Regular Plan - Growth Option;10.435;25-Aug-2023</v>
      </c>
      <c r="B9607" s="1"/>
    </row>
    <row r="9608">
      <c r="A9608" s="1" t="str">
        <f>IFERROR(__xludf.DUMMYFUNCTION("""COMPUTED_VALUE"""),"151780;INF174KA1NZ2;INF174KA1OA3;Kotak Nifty 200 Momentum 30 Index Fund - Regular Plan - IDCW Payout;10.435;25-Aug-2023")</f>
        <v>151780;INF174KA1NZ2;INF174KA1OA3;Kotak Nifty 200 Momentum 30 Index Fund - Regular Plan - IDCW Payout;10.435;25-Aug-2023</v>
      </c>
      <c r="B9608" s="1"/>
    </row>
    <row r="9609">
      <c r="A9609" s="1" t="str">
        <f>IFERROR(__xludf.DUMMYFUNCTION("""COMPUTED_VALUE"""),"148978;INF174KA1HA7;-;Kotak Nifty 50 Index Fund - Direct Plan-Growth;12.476;25-Aug-2023")</f>
        <v>148978;INF174KA1HA7;-;Kotak Nifty 50 Index Fund - Direct Plan-Growth;12.476;25-Aug-2023</v>
      </c>
      <c r="B9609" s="1"/>
    </row>
    <row r="9610">
      <c r="A9610" s="1" t="str">
        <f>IFERROR(__xludf.DUMMYFUNCTION("""COMPUTED_VALUE"""),"148976;INF174KA1HB5;-;Kotak Nifty 50 Index Fund - Direct Plan-IDCW Payout;12.476;25-Aug-2023")</f>
        <v>148976;INF174KA1HB5;-;Kotak Nifty 50 Index Fund - Direct Plan-IDCW Payout;12.476;25-Aug-2023</v>
      </c>
      <c r="B9610" s="1"/>
    </row>
    <row r="9611">
      <c r="A9611" s="1" t="str">
        <f>IFERROR(__xludf.DUMMYFUNCTION("""COMPUTED_VALUE"""),"148974;INF174KA1GX1;-;Kotak Nifty 50 Index Fund - Regular Plan-Growth;12.387;25-Aug-2023")</f>
        <v>148974;INF174KA1GX1;-;Kotak Nifty 50 Index Fund - Regular Plan-Growth;12.387;25-Aug-2023</v>
      </c>
      <c r="B9611" s="1"/>
    </row>
    <row r="9612">
      <c r="A9612" s="1" t="str">
        <f>IFERROR(__xludf.DUMMYFUNCTION("""COMPUTED_VALUE"""),"148979;INF174KA1GY9;-;Kotak Nifty 50 Index Fund - Regular Plan-IDCW Payout;12.387;25-Aug-2023")</f>
        <v>148979;INF174KA1GY9;-;Kotak Nifty 50 Index Fund - Regular Plan-IDCW Payout;12.387;25-Aug-2023</v>
      </c>
      <c r="B9612" s="1"/>
    </row>
    <row r="9613">
      <c r="A9613" s="1" t="str">
        <f>IFERROR(__xludf.DUMMYFUNCTION("""COMPUTED_VALUE"""),"151911;INF174KA1OR7;-;Kotak Nifty Financial Services Ex-Bank Index Fund - Direct Plan - Growth option;10.153;25-Aug-2023")</f>
        <v>151911;INF174KA1OR7;-;Kotak Nifty Financial Services Ex-Bank Index Fund - Direct Plan - Growth option;10.153;25-Aug-2023</v>
      </c>
      <c r="B9613" s="1"/>
    </row>
    <row r="9614">
      <c r="A9614" s="1" t="str">
        <f>IFERROR(__xludf.DUMMYFUNCTION("""COMPUTED_VALUE"""),"151912;INF174KA1OS5;INF174KA1OT3;Kotak Nifty Financial Services Ex-Bank Index Fund - Direct Plan - IDCW option;10.153;25-Aug-2023")</f>
        <v>151912;INF174KA1OS5;INF174KA1OT3;Kotak Nifty Financial Services Ex-Bank Index Fund - Direct Plan - IDCW option;10.153;25-Aug-2023</v>
      </c>
      <c r="B9614" s="1"/>
    </row>
    <row r="9615">
      <c r="A9615" s="1" t="str">
        <f>IFERROR(__xludf.DUMMYFUNCTION("""COMPUTED_VALUE"""),"151909;INF174KA1OO4;-;Kotak Nifty Financial Services Ex-Bank Index Fund - Regular Plan - Growth option;10.151;25-Aug-2023")</f>
        <v>151909;INF174KA1OO4;-;Kotak Nifty Financial Services Ex-Bank Index Fund - Regular Plan - Growth option;10.151;25-Aug-2023</v>
      </c>
      <c r="B9615" s="1"/>
    </row>
    <row r="9616">
      <c r="A9616" s="1" t="str">
        <f>IFERROR(__xludf.DUMMYFUNCTION("""COMPUTED_VALUE"""),"151910;INF174KA1OP1;INF174KA1OQ9;Kotak Nifty Financial Services Ex-Bank Index Fund - Regular Plan - IDCW option;10.151;25-Aug-2023")</f>
        <v>151910;INF174KA1OP1;INF174KA1OQ9;Kotak Nifty Financial Services Ex-Bank Index Fund - Regular Plan - IDCW option;10.151;25-Aug-2023</v>
      </c>
      <c r="B9616" s="1"/>
    </row>
    <row r="9617">
      <c r="A9617" s="1" t="str">
        <f>IFERROR(__xludf.DUMMYFUNCTION("""COMPUTED_VALUE"""),"148745;INF174KA1GA9;-;Kotak Nifty Next 50 Index Fund - Direct Plan - Growth Option;12.7392;25-Aug-2023")</f>
        <v>148745;INF174KA1GA9;-;Kotak Nifty Next 50 Index Fund - Direct Plan - Growth Option;12.7392;25-Aug-2023</v>
      </c>
      <c r="B9617" s="1"/>
    </row>
    <row r="9618">
      <c r="A9618" s="1" t="str">
        <f>IFERROR(__xludf.DUMMYFUNCTION("""COMPUTED_VALUE"""),"148746;INF174KA1FZ8;INF174KA1GB7;Kotak Nifty Next 50 Index Fund - Direct Plan -Payout of Income Distribution cum capital withdrawal option;12.7391;25-Aug-2023")</f>
        <v>148746;INF174KA1FZ8;INF174KA1GB7;Kotak Nifty Next 50 Index Fund - Direct Plan -Payout of Income Distribution cum capital withdrawal option;12.7391;25-Aug-2023</v>
      </c>
      <c r="B9618" s="1"/>
    </row>
    <row r="9619">
      <c r="A9619" s="1" t="str">
        <f>IFERROR(__xludf.DUMMYFUNCTION("""COMPUTED_VALUE"""),"148743;INF174KA1FX3;-;Kotak Nifty Next 50 Index Fund - Regular Plan - Growth Option;12.5753;25-Aug-2023")</f>
        <v>148743;INF174KA1FX3;-;Kotak Nifty Next 50 Index Fund - Regular Plan - Growth Option;12.5753;25-Aug-2023</v>
      </c>
      <c r="B9619" s="1"/>
    </row>
    <row r="9620">
      <c r="A9620" s="1" t="str">
        <f>IFERROR(__xludf.DUMMYFUNCTION("""COMPUTED_VALUE"""),"148744;INF174KA1FW5;INF174KA1FY1;Kotak Nifty Next 50 Index Fund - Regular Plan - Payout of Income Distribution cum capital withdrawal option;12.5756;25-Aug-2023")</f>
        <v>148744;INF174KA1FW5;INF174KA1FY1;Kotak Nifty Next 50 Index Fund - Regular Plan - Payout of Income Distribution cum capital withdrawal option;12.5756;25-Aug-2023</v>
      </c>
      <c r="B9620" s="1"/>
    </row>
    <row r="9621">
      <c r="A9621" s="1" t="str">
        <f>IFERROR(__xludf.DUMMYFUNCTION("""COMPUTED_VALUE"""),"149855;INF174KA1IL2;-;Kotak Nifty SDL Apr  2027 Top 12 Equal Weight Index Fund-Direct Plan-Growth;10.6547;25-Aug-2023")</f>
        <v>149855;INF174KA1IL2;-;Kotak Nifty SDL Apr  2027 Top 12 Equal Weight Index Fund-Direct Plan-Growth;10.6547;25-Aug-2023</v>
      </c>
      <c r="B9621" s="1"/>
    </row>
    <row r="9622">
      <c r="A9622" s="1" t="str">
        <f>IFERROR(__xludf.DUMMYFUNCTION("""COMPUTED_VALUE"""),"149852;INF174KA1II8;-;Kotak Nifty SDL Apr  2027 Top 12 Equal Weight Index Fund-Regular Plan- Growth;10.629;25-Aug-2023")</f>
        <v>149852;INF174KA1II8;-;Kotak Nifty SDL Apr  2027 Top 12 Equal Weight Index Fund-Regular Plan- Growth;10.629;25-Aug-2023</v>
      </c>
      <c r="B9622" s="1"/>
    </row>
    <row r="9623">
      <c r="A9623" s="1" t="str">
        <f>IFERROR(__xludf.DUMMYFUNCTION("""COMPUTED_VALUE"""),"149853;INF174KA1IJ6;INF174KA1IK4;Kotak Nifty SDL Apr  2027 Top 12 Equal Weight Index Fund-Regular Plan-IDCW Option;10.6292;25-Aug-2023")</f>
        <v>149853;INF174KA1IJ6;INF174KA1IK4;Kotak Nifty SDL Apr  2027 Top 12 Equal Weight Index Fund-Regular Plan-IDCW Option;10.6292;25-Aug-2023</v>
      </c>
      <c r="B9623" s="1"/>
    </row>
    <row r="9624">
      <c r="A9624" s="1" t="str">
        <f>IFERROR(__xludf.DUMMYFUNCTION("""COMPUTED_VALUE"""),"149854;INF174KA1IM0;INF174KA1IN8;Kotak Nifty SDL Apr 2027 Top 12 Equal Weight Index Fund-Direct Plan-IDCW Option;10.6547;25-Aug-2023")</f>
        <v>149854;INF174KA1IM0;INF174KA1IN8;Kotak Nifty SDL Apr 2027 Top 12 Equal Weight Index Fund-Direct Plan-IDCW Option;10.6547;25-Aug-2023</v>
      </c>
      <c r="B9624" s="1"/>
    </row>
    <row r="9625">
      <c r="A9625" s="1" t="str">
        <f>IFERROR(__xludf.DUMMYFUNCTION("""COMPUTED_VALUE"""),"149865;INF174KA1IR9;-;Kotak Nifty SDL Apr 2032 Top 12 Equal Weight Index Fund-Direct Plan- Growth;10.8781;25-Aug-2023")</f>
        <v>149865;INF174KA1IR9;-;Kotak Nifty SDL Apr 2032 Top 12 Equal Weight Index Fund-Direct Plan- Growth;10.8781;25-Aug-2023</v>
      </c>
      <c r="B9625" s="1"/>
    </row>
    <row r="9626">
      <c r="A9626" s="1" t="str">
        <f>IFERROR(__xludf.DUMMYFUNCTION("""COMPUTED_VALUE"""),"149864;INF174KA1IS7;INF174KA1IT5;Kotak Nifty SDL Apr 2032 Top 12 Equal Weight Index Fund-Direct Plan-IDCW Option;10.8777;25-Aug-2023")</f>
        <v>149864;INF174KA1IS7;INF174KA1IT5;Kotak Nifty SDL Apr 2032 Top 12 Equal Weight Index Fund-Direct Plan-IDCW Option;10.8777;25-Aug-2023</v>
      </c>
      <c r="B9626" s="1"/>
    </row>
    <row r="9627">
      <c r="A9627" s="1" t="str">
        <f>IFERROR(__xludf.DUMMYFUNCTION("""COMPUTED_VALUE"""),"149862;INF174KA1IO6;-;Kotak Nifty SDL Apr 2032 Top 12 Equal Weight Index Fund-Regular Plan-Growth;10.848;25-Aug-2023")</f>
        <v>149862;INF174KA1IO6;-;Kotak Nifty SDL Apr 2032 Top 12 Equal Weight Index Fund-Regular Plan-Growth;10.848;25-Aug-2023</v>
      </c>
      <c r="B9627" s="1"/>
    </row>
    <row r="9628">
      <c r="A9628" s="1" t="str">
        <f>IFERROR(__xludf.DUMMYFUNCTION("""COMPUTED_VALUE"""),"149866;INF174KA1IP3;INF174KA1IQ1;Kotak Nifty SDL Apr 2032 Top 12 Equal Weight Index Fund-Regular Plan-IDCW Option;10.8513;25-Aug-2023")</f>
        <v>149866;INF174KA1IP3;INF174KA1IQ1;Kotak Nifty SDL Apr 2032 Top 12 Equal Weight Index Fund-Regular Plan-IDCW Option;10.8513;25-Aug-2023</v>
      </c>
      <c r="B9628" s="1"/>
    </row>
    <row r="9629">
      <c r="A9629" s="1" t="str">
        <f>IFERROR(__xludf.DUMMYFUNCTION("""COMPUTED_VALUE"""),"151216;INF174KA1KZ8;-;Kotak Nifty SDL Jul 20226 Index Fund Regular Plan Growth;10.4553;25-Aug-2023")</f>
        <v>151216;INF174KA1KZ8;-;Kotak Nifty SDL Jul 20226 Index Fund Regular Plan Growth;10.4553;25-Aug-2023</v>
      </c>
      <c r="B9629" s="1"/>
    </row>
    <row r="9630">
      <c r="A9630" s="1" t="str">
        <f>IFERROR(__xludf.DUMMYFUNCTION("""COMPUTED_VALUE"""),"151217;INF174KA1LA9;INF174KA1LB7;Kotak Nifty SDL Jul 20226 Index Fund Regular Plan IDCW;10.4555;25-Aug-2023")</f>
        <v>151217;INF174KA1LA9;INF174KA1LB7;Kotak Nifty SDL Jul 20226 Index Fund Regular Plan IDCW;10.4555;25-Aug-2023</v>
      </c>
      <c r="B9630" s="1"/>
    </row>
    <row r="9631">
      <c r="A9631" s="1" t="str">
        <f>IFERROR(__xludf.DUMMYFUNCTION("""COMPUTED_VALUE"""),"151218;INF174KA1LC5;-;Kotak Nifty SDL Jul 2026 Index Fund Direct Plan Growth;10.4697;25-Aug-2023")</f>
        <v>151218;INF174KA1LC5;-;Kotak Nifty SDL Jul 2026 Index Fund Direct Plan Growth;10.4697;25-Aug-2023</v>
      </c>
      <c r="B9631" s="1"/>
    </row>
    <row r="9632">
      <c r="A9632" s="1" t="str">
        <f>IFERROR(__xludf.DUMMYFUNCTION("""COMPUTED_VALUE"""),"151219;INF174KA1LD3;INF174KA1LE1;Kotak Nifty SDL Jul 2026 Index Fund Direct Plan IDCW;10.0926;25-Aug-2023")</f>
        <v>151219;INF174KA1LD3;INF174KA1LE1;Kotak Nifty SDL Jul 2026 Index Fund Direct Plan IDCW;10.0926;25-Aug-2023</v>
      </c>
      <c r="B9632" s="1"/>
    </row>
    <row r="9633">
      <c r="A9633" s="1" t="str">
        <f>IFERROR(__xludf.DUMMYFUNCTION("""COMPUTED_VALUE"""),"151608;INF174KA1MV3;-;Kotak Nifty SDL Jul 2028 Index Fund - Direct Plan - Growth;10.3559;25-Aug-2023")</f>
        <v>151608;INF174KA1MV3;-;Kotak Nifty SDL Jul 2028 Index Fund - Direct Plan - Growth;10.3559;25-Aug-2023</v>
      </c>
      <c r="B9633" s="1"/>
    </row>
    <row r="9634">
      <c r="A9634" s="1" t="str">
        <f>IFERROR(__xludf.DUMMYFUNCTION("""COMPUTED_VALUE"""),"151606;INF174KA1MW1;INF174KA1MX9;Kotak Nifty SDL Jul 2028 Index Fund - Direct Plan - IDCW Payout;10.3559;25-Aug-2023")</f>
        <v>151606;INF174KA1MW1;INF174KA1MX9;Kotak Nifty SDL Jul 2028 Index Fund - Direct Plan - IDCW Payout;10.3559;25-Aug-2023</v>
      </c>
      <c r="B9634" s="1"/>
    </row>
    <row r="9635">
      <c r="A9635" s="1" t="str">
        <f>IFERROR(__xludf.DUMMYFUNCTION("""COMPUTED_VALUE"""),"151607;INF174KA1MS9;-;Kotak Nifty SDL Jul 2028 Index Fund - Regular Plan - Growth;10.3454;25-Aug-2023")</f>
        <v>151607;INF174KA1MS9;-;Kotak Nifty SDL Jul 2028 Index Fund - Regular Plan - Growth;10.3454;25-Aug-2023</v>
      </c>
      <c r="B9635" s="1"/>
    </row>
    <row r="9636">
      <c r="A9636" s="1" t="str">
        <f>IFERROR(__xludf.DUMMYFUNCTION("""COMPUTED_VALUE"""),"151605;INF174KA1MT7;INF174KA1MU5;Kotak Nifty SDL Jul 2028 Index Fund - Regular Plan - IDCW Payout;10.3453;25-Aug-2023")</f>
        <v>151605;INF174KA1MT7;INF174KA1MU5;Kotak Nifty SDL Jul 2028 Index Fund - Regular Plan - IDCW Payout;10.3453;25-Aug-2023</v>
      </c>
      <c r="B9636" s="1"/>
    </row>
    <row r="9637">
      <c r="A9637" s="1" t="str">
        <f>IFERROR(__xludf.DUMMYFUNCTION("""COMPUTED_VALUE"""),"151420;INF174KA1MJ8;-;Kotak Nifty SDL Jul 2033 Index Fund Direct Plan Growth Option;10.5311;25-Aug-2023")</f>
        <v>151420;INF174KA1MJ8;-;Kotak Nifty SDL Jul 2033 Index Fund Direct Plan Growth Option;10.5311;25-Aug-2023</v>
      </c>
      <c r="B9637" s="1"/>
    </row>
    <row r="9638">
      <c r="A9638" s="1" t="str">
        <f>IFERROR(__xludf.DUMMYFUNCTION("""COMPUTED_VALUE"""),"151418;INF174KA1MK6;INF174KA1ML4;Kotak Nifty SDL Jul 2033 Index Fund Direct Plan IDCW;10.2227;25-Aug-2023")</f>
        <v>151418;INF174KA1MK6;INF174KA1ML4;Kotak Nifty SDL Jul 2033 Index Fund Direct Plan IDCW;10.2227;25-Aug-2023</v>
      </c>
      <c r="B9638" s="1"/>
    </row>
    <row r="9639">
      <c r="A9639" s="1" t="str">
        <f>IFERROR(__xludf.DUMMYFUNCTION("""COMPUTED_VALUE"""),"151417;INF174KA1MG4;-;Kotak Nifty SDL Jul 2033 Index Fund Regular Plan Growth Option;10.517;25-Aug-2023")</f>
        <v>151417;INF174KA1MG4;-;Kotak Nifty SDL Jul 2033 Index Fund Regular Plan Growth Option;10.517;25-Aug-2023</v>
      </c>
      <c r="B9639" s="1"/>
    </row>
    <row r="9640">
      <c r="A9640" s="1" t="str">
        <f>IFERROR(__xludf.DUMMYFUNCTION("""COMPUTED_VALUE"""),"151419;INF174KA1MH2;INF174KA1MI0;Kotak Nifty SDL Jul 2033 Index Fund Regular Plan IDCW;10.517;25-Aug-2023")</f>
        <v>151419;INF174KA1MH2;INF174KA1MI0;Kotak Nifty SDL Jul 2033 Index Fund Regular Plan IDCW;10.517;25-Aug-2023</v>
      </c>
      <c r="B9640" s="1"/>
    </row>
    <row r="9641">
      <c r="A9641" s="1" t="str">
        <f>IFERROR(__xludf.DUMMYFUNCTION("""COMPUTED_VALUE"""),"150725;INF174KA1JT3;-;Kotak Nifty SDL Plus AAA PSU Bond Jul 2028 60:40 Index Fund Direct Plan - Growth;10.6775;25-Aug-2023")</f>
        <v>150725;INF174KA1JT3;-;Kotak Nifty SDL Plus AAA PSU Bond Jul 2028 60:40 Index Fund Direct Plan - Growth;10.6775;25-Aug-2023</v>
      </c>
      <c r="B9641" s="1"/>
    </row>
    <row r="9642">
      <c r="A9642" s="1" t="str">
        <f>IFERROR(__xludf.DUMMYFUNCTION("""COMPUTED_VALUE"""),"150726;INF174KA1JU1;INF174KA1JV9;Kotak Nifty SDL Plus AAA PSU Bond Jul 2028 60:40 Index Fund Direct Plan - IDCW;10.6776;25-Aug-2023")</f>
        <v>150726;INF174KA1JU1;INF174KA1JV9;Kotak Nifty SDL Plus AAA PSU Bond Jul 2028 60:40 Index Fund Direct Plan - IDCW;10.6776;25-Aug-2023</v>
      </c>
      <c r="B9642" s="1"/>
    </row>
    <row r="9643">
      <c r="A9643" s="1" t="str">
        <f>IFERROR(__xludf.DUMMYFUNCTION("""COMPUTED_VALUE"""),"150723;INF174KA1JQ9;-;Kotak Nifty SDL Plus AAA PSU Bond Jul 2028 60:40 Index Fund Regular Plan - Growth;10.6592;25-Aug-2023")</f>
        <v>150723;INF174KA1JQ9;-;Kotak Nifty SDL Plus AAA PSU Bond Jul 2028 60:40 Index Fund Regular Plan - Growth;10.6592;25-Aug-2023</v>
      </c>
      <c r="B9643" s="1"/>
    </row>
    <row r="9644">
      <c r="A9644" s="1" t="str">
        <f>IFERROR(__xludf.DUMMYFUNCTION("""COMPUTED_VALUE"""),"150724;INF174KA1JR7;INF174KA1JS5;Kotak Nifty SDL Plus AAA PSU Bond Jul 2028 60:40 Index Fund Regular Plan - IDCW;10.6558;25-Aug-2023")</f>
        <v>150724;INF174KA1JR7;INF174KA1JS5;Kotak Nifty SDL Plus AAA PSU Bond Jul 2028 60:40 Index Fund Regular Plan - IDCW;10.6558;25-Aug-2023</v>
      </c>
      <c r="B9644" s="1"/>
    </row>
    <row r="9645">
      <c r="A9645" s="1" t="str">
        <f>IFERROR(__xludf.DUMMYFUNCTION("""COMPUTED_VALUE"""),"151649;INF174KA1NB3;-;Kotak Nifty Smallcap 50 Index Fund - Direct Plan - Growth;12.754;25-Aug-2023")</f>
        <v>151649;INF174KA1NB3;-;Kotak Nifty Smallcap 50 Index Fund - Direct Plan - Growth;12.754;25-Aug-2023</v>
      </c>
      <c r="B9645" s="1"/>
    </row>
    <row r="9646">
      <c r="A9646" s="1" t="str">
        <f>IFERROR(__xludf.DUMMYFUNCTION("""COMPUTED_VALUE"""),"151650;INF174KA1NC1;INF174KA1ND9;Kotak Nifty Smallcap 50 Index Fund - Direct Plan - IDCW;12.761;25-Aug-2023")</f>
        <v>151650;INF174KA1NC1;INF174KA1ND9;Kotak Nifty Smallcap 50 Index Fund - Direct Plan - IDCW;12.761;25-Aug-2023</v>
      </c>
      <c r="B9646" s="1"/>
    </row>
    <row r="9647">
      <c r="A9647" s="1" t="str">
        <f>IFERROR(__xludf.DUMMYFUNCTION("""COMPUTED_VALUE"""),"151647;INF174KA1MY7;-;Kotak Nifty Smallcap 50 Index Fund - Regular Plan - Growth;12.723;25-Aug-2023")</f>
        <v>151647;INF174KA1MY7;-;Kotak Nifty Smallcap 50 Index Fund - Regular Plan - Growth;12.723;25-Aug-2023</v>
      </c>
      <c r="B9647" s="1"/>
    </row>
    <row r="9648">
      <c r="A9648" s="1" t="str">
        <f>IFERROR(__xludf.DUMMYFUNCTION("""COMPUTED_VALUE"""),"151648;INF174KA1MZ4;INF174KA1NA5;Kotak Nifty Smallcap 50 Index Fund - Regular Plan - IDCW;12.723;25-Aug-2023")</f>
        <v>151648;INF174KA1MZ4;INF174KA1NA5;Kotak Nifty Smallcap 50 Index Fund - Regular Plan - IDCW;12.723;25-Aug-2023</v>
      </c>
      <c r="B9648" s="1"/>
    </row>
    <row r="9649">
      <c r="A9649" s="1"/>
      <c r="B9649" s="1"/>
    </row>
    <row r="9650">
      <c r="A9650" s="1" t="str">
        <f>IFERROR(__xludf.DUMMYFUNCTION("""COMPUTED_VALUE"""),"LIC Mutual Fund")</f>
        <v>LIC Mutual Fund</v>
      </c>
      <c r="B9650" s="1"/>
    </row>
    <row r="9651">
      <c r="A9651" s="1"/>
      <c r="B9651" s="1"/>
    </row>
    <row r="9652">
      <c r="A9652" s="1" t="str">
        <f>IFERROR(__xludf.DUMMYFUNCTION("""COMPUTED_VALUE"""),"120307;INF767K01FF2;-;LIC MF Nifty 50 Index Fund-Direct Plan-Growth;113.0265;25-Aug-2023")</f>
        <v>120307;INF767K01FF2;-;LIC MF Nifty 50 Index Fund-Direct Plan-Growth;113.0265;25-Aug-2023</v>
      </c>
      <c r="B9652" s="1"/>
    </row>
    <row r="9653">
      <c r="A9653" s="1" t="str">
        <f>IFERROR(__xludf.DUMMYFUNCTION("""COMPUTED_VALUE"""),"120309;INF767K01FG0;INF767K01FH8;LIC MF Nifty 50 Index Fund-Direct Plan-IDCW;41.6489;25-Aug-2023")</f>
        <v>120309;INF767K01FG0;INF767K01FH8;LIC MF Nifty 50 Index Fund-Direct Plan-IDCW;41.6489;25-Aug-2023</v>
      </c>
      <c r="B9653" s="1"/>
    </row>
    <row r="9654">
      <c r="A9654" s="1" t="str">
        <f>IFERROR(__xludf.DUMMYFUNCTION("""COMPUTED_VALUE"""),"101201;INF767K01162;-;LIC MF Nifty 50 Index Fund-Regular Plan-Growth;106.4652;25-Aug-2023")</f>
        <v>101201;INF767K01162;-;LIC MF Nifty 50 Index Fund-Regular Plan-Growth;106.4652;25-Aug-2023</v>
      </c>
      <c r="B9654" s="1"/>
    </row>
    <row r="9655">
      <c r="A9655" s="1" t="str">
        <f>IFERROR(__xludf.DUMMYFUNCTION("""COMPUTED_VALUE"""),"101200;INF767K01154;INF767K01147;LIC MF Nifty 50 Index Fund-Regular Plan-IDCW;39.2745;25-Aug-2023")</f>
        <v>101200;INF767K01154;INF767K01147;LIC MF Nifty 50 Index Fund-Regular Plan-IDCW;39.2745;25-Aug-2023</v>
      </c>
      <c r="B9655" s="1"/>
    </row>
    <row r="9656">
      <c r="A9656" s="1" t="str">
        <f>IFERROR(__xludf.DUMMYFUNCTION("""COMPUTED_VALUE"""),"151937;INF397L01AW2;-;LIC MF Nifty Next 50 Index Fund-Direct Plan-Growth;35.6982;25-Aug-2023")</f>
        <v>151937;INF397L01AW2;-;LIC MF Nifty Next 50 Index Fund-Direct Plan-Growth;35.6982;25-Aug-2023</v>
      </c>
      <c r="B9656" s="1"/>
    </row>
    <row r="9657">
      <c r="A9657" s="1" t="str">
        <f>IFERROR(__xludf.DUMMYFUNCTION("""COMPUTED_VALUE"""),"151938;INF397L01AY8;INF397L01AX0;LIC MF Nifty Next 50 Index Fund-Direct Plan-IDCW;35.6982;25-Aug-2023")</f>
        <v>151938;INF397L01AY8;INF397L01AX0;LIC MF Nifty Next 50 Index Fund-Direct Plan-IDCW;35.6982;25-Aug-2023</v>
      </c>
      <c r="B9657" s="1"/>
    </row>
    <row r="9658">
      <c r="A9658" s="1" t="str">
        <f>IFERROR(__xludf.DUMMYFUNCTION("""COMPUTED_VALUE"""),"151935;INF397L01174;-;LIC MF Nifty Next 50 Index Fund-Regular Plan-Growth;32.9004;25-Aug-2023")</f>
        <v>151935;INF397L01174;-;LIC MF Nifty Next 50 Index Fund-Regular Plan-Growth;32.9004;25-Aug-2023</v>
      </c>
      <c r="B9658" s="1"/>
    </row>
    <row r="9659">
      <c r="A9659" s="1" t="str">
        <f>IFERROR(__xludf.DUMMYFUNCTION("""COMPUTED_VALUE"""),"151936;INF397L01166;INF397L01182;LIC MF Nifty Next 50 Index Fund-Regular Plan-IDCW;32.9004;25-Aug-2023")</f>
        <v>151936;INF397L01166;INF397L01182;LIC MF Nifty Next 50 Index Fund-Regular Plan-IDCW;32.9004;25-Aug-2023</v>
      </c>
      <c r="B9659" s="1"/>
    </row>
    <row r="9660">
      <c r="A9660" s="1" t="str">
        <f>IFERROR(__xludf.DUMMYFUNCTION("""COMPUTED_VALUE"""),"120308;INF767K01FJ4;-;LIC MF S &amp; P BSE Sensex Index Fund-Direct Plan-Growth;128.5398;25-Aug-2023")</f>
        <v>120308;INF767K01FJ4;-;LIC MF S &amp; P BSE Sensex Index Fund-Direct Plan-Growth;128.5398;25-Aug-2023</v>
      </c>
      <c r="B9660" s="1"/>
    </row>
    <row r="9661">
      <c r="A9661" s="1" t="str">
        <f>IFERROR(__xludf.DUMMYFUNCTION("""COMPUTED_VALUE"""),"120312;INF767K01FI6;INF767K01FK2;LIC MF S &amp; P BSE Sensex Index Fund-Direct Plan-IDCW;43.0966;25-Aug-2023")</f>
        <v>120312;INF767K01FI6;INF767K01FK2;LIC MF S &amp; P BSE Sensex Index Fund-Direct Plan-IDCW;43.0966;25-Aug-2023</v>
      </c>
      <c r="B9661" s="1"/>
    </row>
    <row r="9662">
      <c r="A9662" s="1" t="str">
        <f>IFERROR(__xludf.DUMMYFUNCTION("""COMPUTED_VALUE"""),"101199;INF767K01139;-;LIC MF S &amp; P BSE Sensex Index Fund-Regular Plan-Growth;121.3943;25-Aug-2023")</f>
        <v>101199;INF767K01139;-;LIC MF S &amp; P BSE Sensex Index Fund-Regular Plan-Growth;121.3943;25-Aug-2023</v>
      </c>
      <c r="B9662" s="1"/>
    </row>
    <row r="9663">
      <c r="A9663" s="1" t="str">
        <f>IFERROR(__xludf.DUMMYFUNCTION("""COMPUTED_VALUE"""),"101198;INF767K01121;INF767K01113;LIC MF S &amp; P BSE Sensex Index Fund-Regular Plan-IDCW;41.6088;25-Aug-2023")</f>
        <v>101198;INF767K01121;INF767K01113;LIC MF S &amp; P BSE Sensex Index Fund-Regular Plan-IDCW;41.6088;25-Aug-2023</v>
      </c>
      <c r="B9663" s="1"/>
    </row>
    <row r="9664">
      <c r="A9664" s="1"/>
      <c r="B9664" s="1"/>
    </row>
    <row r="9665">
      <c r="A9665" s="1" t="str">
        <f>IFERROR(__xludf.DUMMYFUNCTION("""COMPUTED_VALUE"""),"Mirae Asset Mutual Fund")</f>
        <v>Mirae Asset Mutual Fund</v>
      </c>
      <c r="B9665" s="1"/>
    </row>
    <row r="9666">
      <c r="A9666" s="1"/>
      <c r="B9666" s="1"/>
    </row>
    <row r="9667">
      <c r="A9667" s="1" t="str">
        <f>IFERROR(__xludf.DUMMYFUNCTION("""COMPUTED_VALUE"""),"150792;INF769K01IX5;-;Mirae Asset CRISIL IBX Gilt Index - April 2033 Index Fund - Direct Plan - Growth;10.8047;25-Aug-2023")</f>
        <v>150792;INF769K01IX5;-;Mirae Asset CRISIL IBX Gilt Index - April 2033 Index Fund - Direct Plan - Growth;10.8047;25-Aug-2023</v>
      </c>
      <c r="B9667" s="1"/>
    </row>
    <row r="9668">
      <c r="A9668" s="1" t="str">
        <f>IFERROR(__xludf.DUMMYFUNCTION("""COMPUTED_VALUE"""),"150789;INF769K01IW7;INF769K01IY3;Mirae Asset CRISIL IBX Gilt Index - April 2033 Index Fund - Direct Plan - IDCW;10.8030;25-Aug-2023")</f>
        <v>150789;INF769K01IW7;INF769K01IY3;Mirae Asset CRISIL IBX Gilt Index - April 2033 Index Fund - Direct Plan - IDCW;10.8030;25-Aug-2023</v>
      </c>
      <c r="B9668" s="1"/>
    </row>
    <row r="9669">
      <c r="A9669" s="1" t="str">
        <f>IFERROR(__xludf.DUMMYFUNCTION("""COMPUTED_VALUE"""),"150790;INF769K01IU1;-;Mirae Asset CRISIL IBX Gilt Index - April 2033 Index Fund - Regular Plan - Growth;10.7728;25-Aug-2023")</f>
        <v>150790;INF769K01IU1;-;Mirae Asset CRISIL IBX Gilt Index - April 2033 Index Fund - Regular Plan - Growth;10.7728;25-Aug-2023</v>
      </c>
      <c r="B9669" s="1"/>
    </row>
    <row r="9670">
      <c r="A9670" s="1" t="str">
        <f>IFERROR(__xludf.DUMMYFUNCTION("""COMPUTED_VALUE"""),"150791;INF769K01IT3;INF769K01IV9;Mirae Asset CRISIL IBX Gilt Index - April 2033 Index Fund - Regular Plan - IDCW;10.7730;25-Aug-2023")</f>
        <v>150791;INF769K01IT3;INF769K01IV9;Mirae Asset CRISIL IBX Gilt Index - April 2033 Index Fund - Regular Plan - IDCW;10.7730;25-Aug-2023</v>
      </c>
      <c r="B9670" s="1"/>
    </row>
    <row r="9671">
      <c r="A9671" s="1" t="str">
        <f>IFERROR(__xludf.DUMMYFUNCTION("""COMPUTED_VALUE"""),"150788;INF769K01JD5;-;Mirae Asset Nifty AAA PSU Bond Plus SDL Apr 2026 50:50 Index Fund - Direct Plan - Growth;10.6159;25-Aug-2023")</f>
        <v>150788;INF769K01JD5;-;Mirae Asset Nifty AAA PSU Bond Plus SDL Apr 2026 50:50 Index Fund - Direct Plan - Growth;10.6159;25-Aug-2023</v>
      </c>
      <c r="B9671" s="1"/>
    </row>
    <row r="9672">
      <c r="A9672" s="1" t="str">
        <f>IFERROR(__xludf.DUMMYFUNCTION("""COMPUTED_VALUE"""),"150787;INF769K01JC7;INF769K01JE3;Mirae Asset Nifty AAA PSU Bond Plus SDL Apr 2026 50:50 Index Fund - Direct Plan - IDCW;10.6160;25-Aug-2023")</f>
        <v>150787;INF769K01JC7;INF769K01JE3;Mirae Asset Nifty AAA PSU Bond Plus SDL Apr 2026 50:50 Index Fund - Direct Plan - IDCW;10.6160;25-Aug-2023</v>
      </c>
      <c r="B9672" s="1"/>
    </row>
    <row r="9673">
      <c r="A9673" s="1" t="str">
        <f>IFERROR(__xludf.DUMMYFUNCTION("""COMPUTED_VALUE"""),"150786;INF769K01JA1;-;Mirae Asset Nifty AAA PSU Bond Plus SDL Apr 2026 50:50 Index Fund - Regular Plan - Growth;10.5912;25-Aug-2023")</f>
        <v>150786;INF769K01JA1;-;Mirae Asset Nifty AAA PSU Bond Plus SDL Apr 2026 50:50 Index Fund - Regular Plan - Growth;10.5912;25-Aug-2023</v>
      </c>
      <c r="B9673" s="1"/>
    </row>
    <row r="9674">
      <c r="A9674" s="1" t="str">
        <f>IFERROR(__xludf.DUMMYFUNCTION("""COMPUTED_VALUE"""),"150785;INF769K01IZ0;INF769K01JB9;Mirae Asset Nifty AAA PSU Bond Plus SDL Apr 2026 50:50 Index Fund - Regular Plan - IDCW;10.5910;25-Aug-2023")</f>
        <v>150785;INF769K01IZ0;INF769K01JB9;Mirae Asset Nifty AAA PSU Bond Plus SDL Apr 2026 50:50 Index Fund - Regular Plan - IDCW;10.5910;25-Aug-2023</v>
      </c>
      <c r="B9674" s="1"/>
    </row>
    <row r="9675">
      <c r="A9675" s="1" t="str">
        <f>IFERROR(__xludf.DUMMYFUNCTION("""COMPUTED_VALUE"""),"150359;INF769K01IG0;INF769K01II6;Mirae Asset Nifty SDL Jun 2027 Index Fund - Direct Plan - IDCW;10.6476;25-Aug-2023")</f>
        <v>150359;INF769K01IG0;INF769K01II6;Mirae Asset Nifty SDL Jun 2027 Index Fund - Direct Plan - IDCW;10.6476;25-Aug-2023</v>
      </c>
      <c r="B9675" s="1"/>
    </row>
    <row r="9676">
      <c r="A9676" s="1" t="str">
        <f>IFERROR(__xludf.DUMMYFUNCTION("""COMPUTED_VALUE"""),"150360;INF769K01IE5;-;Mirae Asset Nifty SDL Jun 2027 Index Fund - Regular Plan - Growth;10.6203;25-Aug-2023")</f>
        <v>150360;INF769K01IE5;-;Mirae Asset Nifty SDL Jun 2027 Index Fund - Regular Plan - Growth;10.6203;25-Aug-2023</v>
      </c>
      <c r="B9676" s="1"/>
    </row>
    <row r="9677">
      <c r="A9677" s="1" t="str">
        <f>IFERROR(__xludf.DUMMYFUNCTION("""COMPUTED_VALUE"""),"150361;INF769K01ID7;INF769K01IF2;Mirae Asset Nifty SDL Jun 2027 Index Fund - Regular Plan - IDCW;10.6209;25-Aug-2023")</f>
        <v>150361;INF769K01ID7;INF769K01IF2;Mirae Asset Nifty SDL Jun 2027 Index Fund - Regular Plan - IDCW;10.6209;25-Aug-2023</v>
      </c>
      <c r="B9677" s="1"/>
    </row>
    <row r="9678">
      <c r="A9678" s="1" t="str">
        <f>IFERROR(__xludf.DUMMYFUNCTION("""COMPUTED_VALUE"""),"150358;INF769K01IH8;-;Mirae Asset Nifty SDL Jun 2027 Index Fund -Direct Plan - Growth;10.6475;25-Aug-2023")</f>
        <v>150358;INF769K01IH8;-;Mirae Asset Nifty SDL Jun 2027 Index Fund -Direct Plan - Growth;10.6475;25-Aug-2023</v>
      </c>
      <c r="B9678" s="1"/>
    </row>
    <row r="9679">
      <c r="A9679" s="1" t="str">
        <f>IFERROR(__xludf.DUMMYFUNCTION("""COMPUTED_VALUE"""),"151691;INF769K01JZ8;-;Mirae Asset Nifty SDL June 2028 Index Fund - Direct Plan - Growth;10.3076;25-Aug-2023")</f>
        <v>151691;INF769K01JZ8;-;Mirae Asset Nifty SDL June 2028 Index Fund - Direct Plan - Growth;10.3076;25-Aug-2023</v>
      </c>
      <c r="B9679" s="1"/>
    </row>
    <row r="9680">
      <c r="A9680" s="1" t="str">
        <f>IFERROR(__xludf.DUMMYFUNCTION("""COMPUTED_VALUE"""),"151692;INF769K01JY1;INF769K01KA9;Mirae Asset Nifty SDL June 2028 Index Fund - Direct Plan - IDCW;10.3076;25-Aug-2023")</f>
        <v>151692;INF769K01JY1;INF769K01KA9;Mirae Asset Nifty SDL June 2028 Index Fund - Direct Plan - IDCW;10.3076;25-Aug-2023</v>
      </c>
      <c r="B9680" s="1"/>
    </row>
    <row r="9681">
      <c r="A9681" s="1" t="str">
        <f>IFERROR(__xludf.DUMMYFUNCTION("""COMPUTED_VALUE"""),"151693;INF769K01JV7;INF769K01JX3;Mirae Asset Nifty SDL June 2028 Index Fund - Regular Plan - IDCW;10.2914;25-Aug-2023")</f>
        <v>151693;INF769K01JV7;INF769K01JX3;Mirae Asset Nifty SDL June 2028 Index Fund - Regular Plan - IDCW;10.2914;25-Aug-2023</v>
      </c>
      <c r="B9681" s="1"/>
    </row>
    <row r="9682">
      <c r="A9682" s="1" t="str">
        <f>IFERROR(__xludf.DUMMYFUNCTION("""COMPUTED_VALUE"""),"151694;INF769K01JW5;-;Mirae Asset Nifty SDL June 2028 Index Fund -Regular Plan - Growth;10.2913;25-Aug-2023")</f>
        <v>151694;INF769K01JW5;-;Mirae Asset Nifty SDL June 2028 Index Fund -Regular Plan - Growth;10.2913;25-Aug-2023</v>
      </c>
      <c r="B9682" s="1"/>
    </row>
    <row r="9683">
      <c r="A9683" s="1"/>
      <c r="B9683" s="1"/>
    </row>
    <row r="9684">
      <c r="A9684" s="1" t="str">
        <f>IFERROR(__xludf.DUMMYFUNCTION("""COMPUTED_VALUE"""),"Motilal Oswal Mutual Fund")</f>
        <v>Motilal Oswal Mutual Fund</v>
      </c>
      <c r="B9684" s="1"/>
    </row>
    <row r="9685">
      <c r="A9685" s="1"/>
      <c r="B9685" s="1"/>
    </row>
    <row r="9686">
      <c r="A9686" s="1" t="str">
        <f>IFERROR(__xludf.DUMMYFUNCTION("""COMPUTED_VALUE"""),"149349;INF247L01AS7;-;Motilal Oswal MSCI EAFE Top 100 Select Index Fund - Direct Plan Growth;10.9545;25-Aug-2023")</f>
        <v>149349;INF247L01AS7;-;Motilal Oswal MSCI EAFE Top 100 Select Index Fund - Direct Plan Growth;10.9545;25-Aug-2023</v>
      </c>
      <c r="B9686" s="1"/>
    </row>
    <row r="9687">
      <c r="A9687" s="1" t="str">
        <f>IFERROR(__xludf.DUMMYFUNCTION("""COMPUTED_VALUE"""),"149350;INF247L01AT5;-;Motilal Oswal MSCI EAFE Top 100 Select Index Fund - Regular Plan Growth;10.8414;25-Aug-2023")</f>
        <v>149350;INF247L01AT5;-;Motilal Oswal MSCI EAFE Top 100 Select Index Fund - Regular Plan Growth;10.8414;25-Aug-2023</v>
      </c>
      <c r="B9687" s="1"/>
    </row>
    <row r="9688">
      <c r="A9688" s="1" t="str">
        <f>IFERROR(__xludf.DUMMYFUNCTION("""COMPUTED_VALUE"""),"149800;INF247L01AV1;-;Motilal Oswal Nifty 200 Momentum 30 Index Fund-Direct Plan;10.9222;25-Aug-2023")</f>
        <v>149800;INF247L01AV1;-;Motilal Oswal Nifty 200 Momentum 30 Index Fund-Direct Plan;10.9222;25-Aug-2023</v>
      </c>
      <c r="B9688" s="1"/>
    </row>
    <row r="9689">
      <c r="A9689" s="1" t="str">
        <f>IFERROR(__xludf.DUMMYFUNCTION("""COMPUTED_VALUE"""),"149799;INF247L01AW9;-;Motilal Oswal Nifty 200 Momentum 30 Index Fund-Regular Plan;10.8112;25-Aug-2023")</f>
        <v>149799;INF247L01AW9;-;Motilal Oswal Nifty 200 Momentum 30 Index Fund-Regular Plan;10.8112;25-Aug-2023</v>
      </c>
      <c r="B9689" s="1"/>
    </row>
    <row r="9690">
      <c r="A9690" s="1" t="str">
        <f>IFERROR(__xludf.DUMMYFUNCTION("""COMPUTED_VALUE"""),"147794;INF247L01AE7;-;Motilal Oswal Nifty 50 Index Fund - Direct plan - Growth;16.3300;25-Aug-2023")</f>
        <v>147794;INF247L01AE7;-;Motilal Oswal Nifty 50 Index Fund - Direct plan - Growth;16.3300;25-Aug-2023</v>
      </c>
      <c r="B9690" s="1"/>
    </row>
    <row r="9691">
      <c r="A9691" s="1" t="str">
        <f>IFERROR(__xludf.DUMMYFUNCTION("""COMPUTED_VALUE"""),"147795;INF247L01AF4;-;Motilal Oswal Nifty 50 Index Fund - Regular plan - Growth;16.0827;25-Aug-2023")</f>
        <v>147795;INF247L01AF4;-;Motilal Oswal Nifty 50 Index Fund - Regular plan - Growth;16.0827;25-Aug-2023</v>
      </c>
      <c r="B9691" s="1"/>
    </row>
    <row r="9692">
      <c r="A9692" s="1" t="str">
        <f>IFERROR(__xludf.DUMMYFUNCTION("""COMPUTED_VALUE"""),"147625;INF247L01957;-;Motilal Oswal Nifty 500 Index Fund - Direct Plan;19.2621;25-Aug-2023")</f>
        <v>147625;INF247L01957;-;Motilal Oswal Nifty 500 Index Fund - Direct Plan;19.2621;25-Aug-2023</v>
      </c>
      <c r="B9692" s="1"/>
    </row>
    <row r="9693">
      <c r="A9693" s="1" t="str">
        <f>IFERROR(__xludf.DUMMYFUNCTION("""COMPUTED_VALUE"""),"147626;INF247L01940;-;Motilal Oswal Nifty 500 Index Fund - Regular Plan;18.7695;25-Aug-2023")</f>
        <v>147626;INF247L01940;-;Motilal Oswal Nifty 500 Index Fund - Regular Plan;18.7695;25-Aug-2023</v>
      </c>
      <c r="B9693" s="1"/>
    </row>
    <row r="9694">
      <c r="A9694" s="1" t="str">
        <f>IFERROR(__xludf.DUMMYFUNCTION("""COMPUTED_VALUE"""),"147619;INF247L01882;-;Motilal Oswal Nifty Bank Index - Regular Plan;15.7773;25-Aug-2023")</f>
        <v>147619;INF247L01882;-;Motilal Oswal Nifty Bank Index - Regular Plan;15.7773;25-Aug-2023</v>
      </c>
      <c r="B9694" s="1"/>
    </row>
    <row r="9695">
      <c r="A9695" s="1" t="str">
        <f>IFERROR(__xludf.DUMMYFUNCTION("""COMPUTED_VALUE"""),"147620;INF247L01890;-;Motilal Oswal Nifty Bank Index Fund - Direct Plan;16.2213;25-Aug-2023")</f>
        <v>147620;INF247L01890;-;Motilal Oswal Nifty Bank Index Fund - Direct Plan;16.2213;25-Aug-2023</v>
      </c>
      <c r="B9695" s="1"/>
    </row>
    <row r="9696">
      <c r="A9696" s="1" t="str">
        <f>IFERROR(__xludf.DUMMYFUNCTION("""COMPUTED_VALUE"""),"151550;INF247L01BP1;-;Motilal Oswal Nifty G-sec May 2029 Index Fund-  Regualr Plan Growth ption;10.4296;25-Aug-2023")</f>
        <v>151550;INF247L01BP1;-;Motilal Oswal Nifty G-sec May 2029 Index Fund-  Regualr Plan Growth ption;10.4296;25-Aug-2023</v>
      </c>
      <c r="B9696" s="1"/>
    </row>
    <row r="9697">
      <c r="A9697" s="1" t="str">
        <f>IFERROR(__xludf.DUMMYFUNCTION("""COMPUTED_VALUE"""),"151551;INF247L01BO4;-;Motilal Oswal Nifty G-sec May 2029 Index Fund- Direct Plan Growth Option;10.4391;25-Aug-2023")</f>
        <v>151551;INF247L01BO4;-;Motilal Oswal Nifty G-sec May 2029 Index Fund- Direct Plan Growth Option;10.4391;25-Aug-2023</v>
      </c>
      <c r="B9697" s="1"/>
    </row>
    <row r="9698">
      <c r="A9698" s="1" t="str">
        <f>IFERROR(__xludf.DUMMYFUNCTION("""COMPUTED_VALUE"""),"151814;INF247L01BQ9;-;Motilal Oswal Nifty Microcap 250 Index Fund- Direct- Growth Option;11.4504;25-Aug-2023")</f>
        <v>151814;INF247L01BQ9;-;Motilal Oswal Nifty Microcap 250 Index Fund- Direct- Growth Option;11.4504;25-Aug-2023</v>
      </c>
      <c r="B9698" s="1"/>
    </row>
    <row r="9699">
      <c r="A9699" s="1" t="str">
        <f>IFERROR(__xludf.DUMMYFUNCTION("""COMPUTED_VALUE"""),"151815;INF247L01BR7;-;Motilal Oswal Nifty Microcap 250 Index Fund- Regular- Growth Option;11.4390;25-Aug-2023")</f>
        <v>151815;INF247L01BR7;-;Motilal Oswal Nifty Microcap 250 Index Fund- Regular- Growth Option;11.4390;25-Aug-2023</v>
      </c>
      <c r="B9699" s="1"/>
    </row>
    <row r="9700">
      <c r="A9700" s="1" t="str">
        <f>IFERROR(__xludf.DUMMYFUNCTION("""COMPUTED_VALUE"""),"147622;INF247L01916;-;Motilal Oswal Nifty Midcap 150 Index Fund - Direct Plan;25.9058;25-Aug-2023")</f>
        <v>147622;INF247L01916;-;Motilal Oswal Nifty Midcap 150 Index Fund - Direct Plan;25.9058;25-Aug-2023</v>
      </c>
      <c r="B9700" s="1"/>
    </row>
    <row r="9701">
      <c r="A9701" s="1" t="str">
        <f>IFERROR(__xludf.DUMMYFUNCTION("""COMPUTED_VALUE"""),"147621;INF247L01908;-;Motilal Oswal Nifty Midcap 150 Index Fund - Regular Plan;25.1648;25-Aug-2023")</f>
        <v>147621;INF247L01908;-;Motilal Oswal Nifty Midcap 150 Index Fund - Regular Plan;25.1648;25-Aug-2023</v>
      </c>
      <c r="B9701" s="1"/>
    </row>
    <row r="9702">
      <c r="A9702" s="1" t="str">
        <f>IFERROR(__xludf.DUMMYFUNCTION("""COMPUTED_VALUE"""),"147796;INF247L01AC1;-;Motilal Oswal Nifty Next 50 Index Fund - Direct plan - Growth;15.6323;25-Aug-2023")</f>
        <v>147796;INF247L01AC1;-;Motilal Oswal Nifty Next 50 Index Fund - Direct plan - Growth;15.6323;25-Aug-2023</v>
      </c>
      <c r="B9702" s="1"/>
    </row>
    <row r="9703">
      <c r="A9703" s="1" t="str">
        <f>IFERROR(__xludf.DUMMYFUNCTION("""COMPUTED_VALUE"""),"147797;INF247L01AD9;-;Motilal Oswal Nifty Next 50 Index Fund - Regular plan - Growth;15.2562;25-Aug-2023")</f>
        <v>147797;INF247L01AD9;-;Motilal Oswal Nifty Next 50 Index Fund - Regular plan - Growth;15.2562;25-Aug-2023</v>
      </c>
      <c r="B9703" s="1"/>
    </row>
    <row r="9704">
      <c r="A9704" s="1" t="str">
        <f>IFERROR(__xludf.DUMMYFUNCTION("""COMPUTED_VALUE"""),"147624;INF247L01924;-;Motilal Oswal Nifty Smallcap 250 Index - Regular Plan;25.0485;25-Aug-2023")</f>
        <v>147624;INF247L01924;-;Motilal Oswal Nifty Smallcap 250 Index - Regular Plan;25.0485;25-Aug-2023</v>
      </c>
      <c r="B9704" s="1"/>
    </row>
    <row r="9705">
      <c r="A9705" s="1" t="str">
        <f>IFERROR(__xludf.DUMMYFUNCTION("""COMPUTED_VALUE"""),"147623;INF247L01932;-;Motilal Oswal Nifty Smallcap 250 Index Fund- Direct Plan;25.7431;25-Aug-2023")</f>
        <v>147623;INF247L01932;-;Motilal Oswal Nifty Smallcap 250 Index Fund- Direct Plan;25.7431;25-Aug-2023</v>
      </c>
      <c r="B9705" s="1"/>
    </row>
    <row r="9706">
      <c r="A9706" s="1" t="str">
        <f>IFERROR(__xludf.DUMMYFUNCTION("""COMPUTED_VALUE"""),"148381;INF247L01AG2;-;Motilal Oswal S&amp;P 500 Index Fund - Direct Plan Growth;16.6823;25-Aug-2023")</f>
        <v>148381;INF247L01AG2;-;Motilal Oswal S&amp;P 500 Index Fund - Direct Plan Growth;16.6823;25-Aug-2023</v>
      </c>
      <c r="B9706" s="1"/>
    </row>
    <row r="9707">
      <c r="A9707" s="1" t="str">
        <f>IFERROR(__xludf.DUMMYFUNCTION("""COMPUTED_VALUE"""),"148382;INF247L01AH0;-;Motilal Oswal S&amp;P 500 Index Fund - Regular Plan Growth;16.3484;25-Aug-2023")</f>
        <v>148382;INF247L01AH0;-;Motilal Oswal S&amp;P 500 Index Fund - Regular Plan Growth;16.3484;25-Aug-2023</v>
      </c>
      <c r="B9707" s="1"/>
    </row>
    <row r="9708">
      <c r="A9708" s="1" t="str">
        <f>IFERROR(__xludf.DUMMYFUNCTION("""COMPUTED_VALUE"""),"150518;INF247L01BF2;-;Motilal Oswal S&amp;P BSE Enhanced Value Index Fund-Direct plan;14.3180;25-Aug-2023")</f>
        <v>150518;INF247L01BF2;-;Motilal Oswal S&amp;P BSE Enhanced Value Index Fund-Direct plan;14.3180;25-Aug-2023</v>
      </c>
      <c r="B9708" s="1"/>
    </row>
    <row r="9709">
      <c r="A9709" s="1" t="str">
        <f>IFERROR(__xludf.DUMMYFUNCTION("""COMPUTED_VALUE"""),"150519;INF247L01BG0;-;Motilal Oswal S&amp;P BSE Enhanced Value Index Fund-Regular plan;14.2244;25-Aug-2023")</f>
        <v>150519;INF247L01BG0;-;Motilal Oswal S&amp;P BSE Enhanced Value Index Fund-Regular plan;14.2244;25-Aug-2023</v>
      </c>
      <c r="B9709" s="1"/>
    </row>
    <row r="9710">
      <c r="A9710" s="1" t="str">
        <f>IFERROR(__xludf.DUMMYFUNCTION("""COMPUTED_VALUE"""),"150443;INF247L01BC9;-;Motilal Oswal S&amp;P BSE Financials ex Bank 30 Index Fund Direct Growth;11.6434;25-Aug-2023")</f>
        <v>150443;INF247L01BC9;-;Motilal Oswal S&amp;P BSE Financials ex Bank 30 Index Fund Direct Growth;11.6434;25-Aug-2023</v>
      </c>
      <c r="B9710" s="1"/>
    </row>
    <row r="9711">
      <c r="A9711" s="1" t="str">
        <f>IFERROR(__xludf.DUMMYFUNCTION("""COMPUTED_VALUE"""),"150444;INF247L01BD7;-;Motilal Oswal S&amp;P BSE Financials ex Bank 30 Index Fund Regular Growth;11.5560;25-Aug-2023")</f>
        <v>150444;INF247L01BD7;-;Motilal Oswal S&amp;P BSE Financials ex Bank 30 Index Fund Regular Growth;11.5560;25-Aug-2023</v>
      </c>
      <c r="B9711" s="1"/>
    </row>
    <row r="9712">
      <c r="A9712" s="1" t="str">
        <f>IFERROR(__xludf.DUMMYFUNCTION("""COMPUTED_VALUE"""),"149919;INF247L01AY5;-;Motilal Oswal S&amp;P BSE Low Volatility Index Fund-Direct plan;12.5523;25-Aug-2023")</f>
        <v>149919;INF247L01AY5;-;Motilal Oswal S&amp;P BSE Low Volatility Index Fund-Direct plan;12.5523;25-Aug-2023</v>
      </c>
      <c r="B9712" s="1"/>
    </row>
    <row r="9713">
      <c r="A9713" s="1" t="str">
        <f>IFERROR(__xludf.DUMMYFUNCTION("""COMPUTED_VALUE"""),"149920;INF247L01AZ2;-;Motilal Oswal S&amp;P BSE Low Volatility Index Fund-Regular plan;12.4452;25-Aug-2023")</f>
        <v>149920;INF247L01AZ2;-;Motilal Oswal S&amp;P BSE Low Volatility Index Fund-Regular plan;12.4452;25-Aug-2023</v>
      </c>
      <c r="B9713" s="1"/>
    </row>
    <row r="9714">
      <c r="A9714" s="1" t="str">
        <f>IFERROR(__xludf.DUMMYFUNCTION("""COMPUTED_VALUE"""),"150522;INF247L01BJ4;-;Motilal Oswal S&amp;P BSE Quality Index Fund-Regular plan;11.6647;25-Aug-2023")</f>
        <v>150522;INF247L01BJ4;-;Motilal Oswal S&amp;P BSE Quality Index Fund-Regular plan;11.6647;25-Aug-2023</v>
      </c>
      <c r="B9714" s="1"/>
    </row>
    <row r="9715">
      <c r="A9715" s="1" t="str">
        <f>IFERROR(__xludf.DUMMYFUNCTION("""COMPUTED_VALUE"""),"150521;INF247L01BI6;-;Motilal Oswal SP BSE Quality Index Fund-Direct plan;11.7415;25-Aug-2023")</f>
        <v>150521;INF247L01BI6;-;Motilal Oswal SP BSE Quality Index Fund-Direct plan;11.7415;25-Aug-2023</v>
      </c>
      <c r="B9715" s="1"/>
    </row>
    <row r="9716">
      <c r="A9716" s="1"/>
      <c r="B9716" s="1"/>
    </row>
    <row r="9717">
      <c r="A9717" s="1" t="str">
        <f>IFERROR(__xludf.DUMMYFUNCTION("""COMPUTED_VALUE"""),"Navi Mutual Fund")</f>
        <v>Navi Mutual Fund</v>
      </c>
      <c r="B9717" s="1"/>
    </row>
    <row r="9718">
      <c r="A9718" s="1"/>
      <c r="B9718" s="1"/>
    </row>
    <row r="9719">
      <c r="A9719" s="1" t="str">
        <f>IFERROR(__xludf.DUMMYFUNCTION("""COMPUTED_VALUE"""),"149039;INF959L01FP2;-;Navi Nifty 50 Index Fund-Direct Plan-Growth;12.3588;25-Aug-2023")</f>
        <v>149039;INF959L01FP2;-;Navi Nifty 50 Index Fund-Direct Plan-Growth;12.3588;25-Aug-2023</v>
      </c>
      <c r="B9719" s="1"/>
    </row>
    <row r="9720">
      <c r="A9720" s="1" t="str">
        <f>IFERROR(__xludf.DUMMYFUNCTION("""COMPUTED_VALUE"""),"149040;INF959L01FQ0;-;Navi Nifty 50 Index Fund-Regular Plan-Growth;12.3052;25-Aug-2023")</f>
        <v>149040;INF959L01FQ0;-;Navi Nifty 50 Index Fund-Regular Plan-Growth;12.3052;25-Aug-2023</v>
      </c>
      <c r="B9720" s="1"/>
    </row>
    <row r="9721">
      <c r="A9721" s="1" t="str">
        <f>IFERROR(__xludf.DUMMYFUNCTION("""COMPUTED_VALUE"""),"149804;INF959L01FT4;-;Navi Nifty Bank Index Fund- Direct Plan- Growth;11.4948;25-Aug-2023")</f>
        <v>149804;INF959L01FT4;-;Navi Nifty Bank Index Fund- Direct Plan- Growth;11.4948;25-Aug-2023</v>
      </c>
      <c r="B9721" s="1"/>
    </row>
    <row r="9722">
      <c r="A9722" s="1" t="str">
        <f>IFERROR(__xludf.DUMMYFUNCTION("""COMPUTED_VALUE"""),"149805;INF959L01FU2;-;Navi Nifty Bank Index Fund- Regular Plan- Growth;11.3682;25-Aug-2023")</f>
        <v>149805;INF959L01FU2;-;Navi Nifty Bank Index Fund- Regular Plan- Growth;11.3682;25-Aug-2023</v>
      </c>
      <c r="B9722" s="1"/>
    </row>
    <row r="9723">
      <c r="A9723" s="1" t="str">
        <f>IFERROR(__xludf.DUMMYFUNCTION("""COMPUTED_VALUE"""),"150515;-;-;Navi Nifty India Manufacturing Index Fund- Direct Plan- Growth;11.5929;25-Aug-2023")</f>
        <v>150515;-;-;Navi Nifty India Manufacturing Index Fund- Direct Plan- Growth;11.5929;25-Aug-2023</v>
      </c>
      <c r="B9723" s="1"/>
    </row>
    <row r="9724">
      <c r="A9724" s="1" t="str">
        <f>IFERROR(__xludf.DUMMYFUNCTION("""COMPUTED_VALUE"""),"150516;-;-;Navi Nifty India Manufacturing Index Fund- Regular Plan- Growth;11.493;25-Aug-2023")</f>
        <v>150516;-;-;Navi Nifty India Manufacturing Index Fund- Regular Plan- Growth;11.493;25-Aug-2023</v>
      </c>
      <c r="B9724" s="1"/>
    </row>
    <row r="9725">
      <c r="A9725" s="1" t="str">
        <f>IFERROR(__xludf.DUMMYFUNCTION("""COMPUTED_VALUE"""),"149892;INF959L01FX6;-;Navi Nifty Midcap 150 Index Fund Direct Plan- Growth;13.6452;25-Aug-2023")</f>
        <v>149892;INF959L01FX6;-;Navi Nifty Midcap 150 Index Fund Direct Plan- Growth;13.6452;25-Aug-2023</v>
      </c>
      <c r="B9725" s="1"/>
    </row>
    <row r="9726">
      <c r="A9726" s="1" t="str">
        <f>IFERROR(__xludf.DUMMYFUNCTION("""COMPUTED_VALUE"""),"149893;INF959L01FY4;-;Navi Nifty Midcap 150 Index Fund Regular Plan- Growth;13.4586;25-Aug-2023")</f>
        <v>149893;INF959L01FY4;-;Navi Nifty Midcap 150 Index Fund Regular Plan- Growth;13.4586;25-Aug-2023</v>
      </c>
      <c r="B9726" s="1"/>
    </row>
    <row r="9727">
      <c r="A9727" s="1" t="str">
        <f>IFERROR(__xludf.DUMMYFUNCTION("""COMPUTED_VALUE"""),"149447;INF959L01FR8;-;Navi Nifty Next 50 Index Fund- Direct Plan- Growth;10.3922;25-Aug-2023")</f>
        <v>149447;INF959L01FR8;-;Navi Nifty Next 50 Index Fund- Direct Plan- Growth;10.3922;25-Aug-2023</v>
      </c>
      <c r="B9727" s="1"/>
    </row>
    <row r="9728">
      <c r="A9728" s="1" t="str">
        <f>IFERROR(__xludf.DUMMYFUNCTION("""COMPUTED_VALUE"""),"149448;INF959L01FS6;-;Navi Nifty Next 50 Index Fund- Regular Plan- Growth;10.3068;25-Aug-2023")</f>
        <v>149448;INF959L01FS6;-;Navi Nifty Next 50 Index Fund- Regular Plan- Growth;10.3068;25-Aug-2023</v>
      </c>
      <c r="B9728" s="1"/>
    </row>
    <row r="9729">
      <c r="A9729" s="1"/>
      <c r="B9729" s="1"/>
    </row>
    <row r="9730">
      <c r="A9730" s="1" t="str">
        <f>IFERROR(__xludf.DUMMYFUNCTION("""COMPUTED_VALUE"""),"Nippon India Mutual Fund")</f>
        <v>Nippon India Mutual Fund</v>
      </c>
      <c r="B9730" s="1"/>
    </row>
    <row r="9731">
      <c r="A9731" s="1"/>
      <c r="B9731" s="1"/>
    </row>
    <row r="9732">
      <c r="A9732" s="1" t="str">
        <f>IFERROR(__xludf.DUMMYFUNCTION("""COMPUTED_VALUE"""),"113300;INF204K01II4;INF204K01IL8;NIPPON INDIA INDEX FUND - NIFTY 50 PLAN - ANNUAL - IDCW Option;25.3940;25-Aug-2023")</f>
        <v>113300;INF204K01II4;INF204K01IL8;NIPPON INDIA INDEX FUND - NIFTY 50 PLAN - ANNUAL - IDCW Option;25.3940;25-Aug-2023</v>
      </c>
      <c r="B9732" s="1"/>
    </row>
    <row r="9733">
      <c r="A9733" s="1" t="str">
        <f>IFERROR(__xludf.DUMMYFUNCTION("""COMPUTED_VALUE"""),"118743;INF204K01H10;INF204K01H28;NIPPON INDIA INDEX FUND - NIFTY 50 PLAN - DIRECT Plan - ANNUAL - IDCW Option;27.5775;25-Aug-2023")</f>
        <v>118743;INF204K01H10;INF204K01H28;NIPPON INDIA INDEX FUND - NIFTY 50 PLAN - DIRECT Plan - ANNUAL - IDCW Option;27.5775;25-Aug-2023</v>
      </c>
      <c r="B9733" s="1"/>
    </row>
    <row r="9734">
      <c r="A9734" s="1" t="str">
        <f>IFERROR(__xludf.DUMMYFUNCTION("""COMPUTED_VALUE"""),"118745;INF204K01H44;INF204K01H51;NIPPON INDIA INDEX FUND - NIFTY 50 PLAN - DIRECT Plan - HALF YEARLY - IDCW Option;27.5386;25-Aug-2023")</f>
        <v>118745;INF204K01H44;INF204K01H51;NIPPON INDIA INDEX FUND - NIFTY 50 PLAN - DIRECT Plan - HALF YEARLY - IDCW Option;27.5386;25-Aug-2023</v>
      </c>
      <c r="B9734" s="1"/>
    </row>
    <row r="9735">
      <c r="A9735" s="1" t="str">
        <f>IFERROR(__xludf.DUMMYFUNCTION("""COMPUTED_VALUE"""),"118740;INF204K01H69;INF204K01H77;NIPPON INDIA INDEX FUND - NIFTY 50 PLAN - DIRECT Plan - QUARTERLY - IDCW Option;27.5333;25-Aug-2023")</f>
        <v>118740;INF204K01H69;INF204K01H77;NIPPON INDIA INDEX FUND - NIFTY 50 PLAN - DIRECT Plan - QUARTERLY - IDCW Option;27.5333;25-Aug-2023</v>
      </c>
      <c r="B9735" s="1"/>
    </row>
    <row r="9736">
      <c r="A9736" s="1" t="str">
        <f>IFERROR(__xludf.DUMMYFUNCTION("""COMPUTED_VALUE"""),"118742;INF204K01H02;-;Nippon India Index Fund - Nifty 50 Plan - Direct Plan Growth Plan - Bonus Option;34.5642;25-Aug-2023")</f>
        <v>118742;INF204K01H02;-;Nippon India Index Fund - Nifty 50 Plan - Direct Plan Growth Plan - Bonus Option;34.5642;25-Aug-2023</v>
      </c>
      <c r="B9736" s="1"/>
    </row>
    <row r="9737">
      <c r="A9737" s="1" t="str">
        <f>IFERROR(__xludf.DUMMYFUNCTION("""COMPUTED_VALUE"""),"118741;INF204K01H36;-;Nippon India Index Fund - Nifty 50 Plan - Direct Plan Growth Plan - Growth Option;34.5642;25-Aug-2023")</f>
        <v>118741;INF204K01H36;-;Nippon India Index Fund - Nifty 50 Plan - Direct Plan Growth Plan - Growth Option;34.5642;25-Aug-2023</v>
      </c>
      <c r="B9737" s="1"/>
    </row>
    <row r="9738">
      <c r="A9738" s="1" t="str">
        <f>IFERROR(__xludf.DUMMYFUNCTION("""COMPUTED_VALUE"""),"113297;INF204K01IF0;-;Nippon India Index Fund - Nifty 50 Plan - Growth Plan - Bonus Option;32.3126;25-Aug-2023")</f>
        <v>113297;INF204K01IF0;-;Nippon India Index Fund - Nifty 50 Plan - Growth Plan - Bonus Option;32.3126;25-Aug-2023</v>
      </c>
      <c r="B9738" s="1"/>
    </row>
    <row r="9739">
      <c r="A9739" s="1" t="str">
        <f>IFERROR(__xludf.DUMMYFUNCTION("""COMPUTED_VALUE"""),"113296;INF204K01IE3;-;Nippon India Index Fund - Nifty 50 Plan - Growth Plan - Growth Option;32.3126;25-Aug-2023")</f>
        <v>113296;INF204K01IE3;-;Nippon India Index Fund - Nifty 50 Plan - Growth Plan - Growth Option;32.3126;25-Aug-2023</v>
      </c>
      <c r="B9739" s="1"/>
    </row>
    <row r="9740">
      <c r="A9740" s="1" t="str">
        <f>IFERROR(__xludf.DUMMYFUNCTION("""COMPUTED_VALUE"""),"113299;INF204K01IH6;INF204K01IK0;NIPPON INDIA INDEX FUND - NIFTY 50 PLAN - HALF YEARLY - IDCW Option;25.4817;25-Aug-2023")</f>
        <v>113299;INF204K01IH6;INF204K01IK0;NIPPON INDIA INDEX FUND - NIFTY 50 PLAN - HALF YEARLY - IDCW Option;25.4817;25-Aug-2023</v>
      </c>
      <c r="B9740" s="1"/>
    </row>
    <row r="9741">
      <c r="A9741" s="1" t="str">
        <f>IFERROR(__xludf.DUMMYFUNCTION("""COMPUTED_VALUE"""),"113298;INF204K01IG8;INF204K01IJ2;NIPPON INDIA INDEX FUND - NIFTY 50 PLAN - QUARTERLY - IDCW Option;25.4816;25-Aug-2023")</f>
        <v>113298;INF204K01IG8;INF204K01IJ2;NIPPON INDIA INDEX FUND - NIFTY 50 PLAN - QUARTERLY - IDCW Option;25.4816;25-Aug-2023</v>
      </c>
      <c r="B9741" s="1"/>
    </row>
    <row r="9742">
      <c r="A9742" s="1" t="str">
        <f>IFERROR(__xludf.DUMMYFUNCTION("""COMPUTED_VALUE"""),"113295;INF204K01IQ7;INF204K01IT1;NIPPON INDIA INDEX FUND - S&amp;P BSE SENSEX PLAN - ANNUAL - IDCW Option;25.7026;25-Aug-2023")</f>
        <v>113295;INF204K01IQ7;INF204K01IT1;NIPPON INDIA INDEX FUND - S&amp;P BSE SENSEX PLAN - ANNUAL - IDCW Option;25.7026;25-Aug-2023</v>
      </c>
      <c r="B9742" s="1"/>
    </row>
    <row r="9743">
      <c r="A9743" s="1" t="str">
        <f>IFERROR(__xludf.DUMMYFUNCTION("""COMPUTED_VALUE"""),"118786;INF204K01K64;INF204K01K72;NIPPON INDIA INDEX FUND - S&amp;P BSE SENSEX PLAN - DIRECT Plan - ANNUAL - IDCW Option;27.3337;25-Aug-2023")</f>
        <v>118786;INF204K01K64;INF204K01K72;NIPPON INDIA INDEX FUND - S&amp;P BSE SENSEX PLAN - DIRECT Plan - ANNUAL - IDCW Option;27.3337;25-Aug-2023</v>
      </c>
      <c r="B9743" s="1"/>
    </row>
    <row r="9744">
      <c r="A9744" s="1" t="str">
        <f>IFERROR(__xludf.DUMMYFUNCTION("""COMPUTED_VALUE"""),"118788;INF204K01K98;INF204K01L06;NIPPON INDIA INDEX FUND - S&amp;P BSE SENSEX PLAN - DIRECT Plan - HALF YEARLY - IDCW Option;27.2978;25-Aug-2023")</f>
        <v>118788;INF204K01K98;INF204K01L06;NIPPON INDIA INDEX FUND - S&amp;P BSE SENSEX PLAN - DIRECT Plan - HALF YEARLY - IDCW Option;27.2978;25-Aug-2023</v>
      </c>
      <c r="B9744" s="1"/>
    </row>
    <row r="9745">
      <c r="A9745" s="1" t="str">
        <f>IFERROR(__xludf.DUMMYFUNCTION("""COMPUTED_VALUE"""),"118790;INF204K01L14;INF204K01L22;NIPPON INDIA INDEX FUND - S&amp;P BSE SENSEX PLAN - DIRECT Plan - QUARTERLY - IDCW Option;27.3356;25-Aug-2023")</f>
        <v>118790;INF204K01L14;INF204K01L22;NIPPON INDIA INDEX FUND - S&amp;P BSE SENSEX PLAN - DIRECT Plan - QUARTERLY - IDCW Option;27.3356;25-Aug-2023</v>
      </c>
      <c r="B9745" s="1"/>
    </row>
    <row r="9746">
      <c r="A9746" s="1" t="str">
        <f>IFERROR(__xludf.DUMMYFUNCTION("""COMPUTED_VALUE"""),"118785;INF204K01K56;-;Nippon India Index Fund - S&amp;P BSE Sensex Plan - Direct Plan Growth Plan - Bonus Option;34.3627;25-Aug-2023")</f>
        <v>118785;INF204K01K56;-;Nippon India Index Fund - S&amp;P BSE Sensex Plan - Direct Plan Growth Plan - Bonus Option;34.3627;25-Aug-2023</v>
      </c>
      <c r="B9746" s="1"/>
    </row>
    <row r="9747">
      <c r="A9747" s="1" t="str">
        <f>IFERROR(__xludf.DUMMYFUNCTION("""COMPUTED_VALUE"""),"118791;INF204K01K80;-;Nippon India Index Fund - S&amp;P BSE Sensex Plan - Direct Plan Growth Plan - Growth Option;34.3627;25-Aug-2023")</f>
        <v>118791;INF204K01K80;-;Nippon India Index Fund - S&amp;P BSE Sensex Plan - Direct Plan Growth Plan - Growth Option;34.3627;25-Aug-2023</v>
      </c>
      <c r="B9747" s="1"/>
    </row>
    <row r="9748">
      <c r="A9748" s="1" t="str">
        <f>IFERROR(__xludf.DUMMYFUNCTION("""COMPUTED_VALUE"""),"113270;INF204K01IN4;-;Nippon India Index Fund - S&amp;P BSE Sensex Plan - Growth Plan - Bonus Option;32.6091;25-Aug-2023")</f>
        <v>113270;INF204K01IN4;-;Nippon India Index Fund - S&amp;P BSE Sensex Plan - Growth Plan - Bonus Option;32.6091;25-Aug-2023</v>
      </c>
      <c r="B9748" s="1"/>
    </row>
    <row r="9749">
      <c r="A9749" s="1" t="str">
        <f>IFERROR(__xludf.DUMMYFUNCTION("""COMPUTED_VALUE"""),"113269;INF204K01IM6;-;Nippon India Index Fund - S&amp;P BSE Sensex Plan - Growth Plan - Growth Option;32.6091;25-Aug-2023")</f>
        <v>113269;INF204K01IM6;-;Nippon India Index Fund - S&amp;P BSE Sensex Plan - Growth Plan - Growth Option;32.6091;25-Aug-2023</v>
      </c>
      <c r="B9749" s="1"/>
    </row>
    <row r="9750">
      <c r="A9750" s="1" t="str">
        <f>IFERROR(__xludf.DUMMYFUNCTION("""COMPUTED_VALUE"""),"113294;INF204K01IP9;INF204K01IS3;NIPPON INDIA INDEX FUND - S&amp;P BSE SENSEX PLAN - HALF YEARLY - IDCW Option;25.7128;25-Aug-2023")</f>
        <v>113294;INF204K01IP9;INF204K01IS3;NIPPON INDIA INDEX FUND - S&amp;P BSE SENSEX PLAN - HALF YEARLY - IDCW Option;25.7128;25-Aug-2023</v>
      </c>
      <c r="B9750" s="1"/>
    </row>
    <row r="9751">
      <c r="A9751" s="1" t="str">
        <f>IFERROR(__xludf.DUMMYFUNCTION("""COMPUTED_VALUE"""),"113271;INF204K01IO2;INF204K01IR5;NIPPON INDIA INDEX FUND - S&amp;P BSE SENSEX PLAN - QUARTERLY - IDCW Option;25.7053;25-Aug-2023")</f>
        <v>113271;INF204K01IO2;INF204K01IR5;NIPPON INDIA INDEX FUND - S&amp;P BSE SENSEX PLAN - QUARTERLY - IDCW Option;25.7053;25-Aug-2023</v>
      </c>
      <c r="B9751" s="1"/>
    </row>
    <row r="9752">
      <c r="A9752" s="1" t="str">
        <f>IFERROR(__xludf.DUMMYFUNCTION("""COMPUTED_VALUE"""),"148721;INF204KB12Z0;-;Nippon India Nifty 50 Value 20 Index Fund - Direct Plan - Growth Option;14.2975;25-Aug-2023")</f>
        <v>148721;INF204KB12Z0;-;Nippon India Nifty 50 Value 20 Index Fund - Direct Plan - Growth Option;14.2975;25-Aug-2023</v>
      </c>
      <c r="B9752" s="1"/>
    </row>
    <row r="9753">
      <c r="A9753" s="1" t="str">
        <f>IFERROR(__xludf.DUMMYFUNCTION("""COMPUTED_VALUE"""),"148722;INF204KB13Z8;INF204KB14Z6;NIPPON INDIA NIFTY 50 VALUE 20 INDEX FUND - DIRECT Plan - IDCW Option;14.2975;25-Aug-2023")</f>
        <v>148722;INF204KB13Z8;INF204KB14Z6;NIPPON INDIA NIFTY 50 VALUE 20 INDEX FUND - DIRECT Plan - IDCW Option;14.2975;25-Aug-2023</v>
      </c>
      <c r="B9753" s="1"/>
    </row>
    <row r="9754">
      <c r="A9754" s="1" t="str">
        <f>IFERROR(__xludf.DUMMYFUNCTION("""COMPUTED_VALUE"""),"148720;INF204KB10Z4;INF204KB11Z2;NIPPON INDIA NIFTY 50 VALUE 20 INDEX FUND - IDCW Option;14.0794;25-Aug-2023")</f>
        <v>148720;INF204KB10Z4;INF204KB11Z2;NIPPON INDIA NIFTY 50 VALUE 20 INDEX FUND - IDCW Option;14.0794;25-Aug-2023</v>
      </c>
      <c r="B9754" s="1"/>
    </row>
    <row r="9755">
      <c r="A9755" s="1" t="str">
        <f>IFERROR(__xludf.DUMMYFUNCTION("""COMPUTED_VALUE"""),"148719;INF204KB19Y8;-;Nippon India Nifty 50 Value 20 Index Fund - Regular Plan - Growth Option;14.0794;25-Aug-2023")</f>
        <v>148719;INF204KB19Y8;-;Nippon India Nifty 50 Value 20 Index Fund - Regular Plan - Growth Option;14.0794;25-Aug-2023</v>
      </c>
      <c r="B9755" s="1"/>
    </row>
    <row r="9756">
      <c r="A9756" s="1" t="str">
        <f>IFERROR(__xludf.DUMMYFUNCTION("""COMPUTED_VALUE"""),"150012;INF204KC1527;-;Nippon India Nifty AAA CPSE Bond Plus SDL - Apr 2027 Maturity 60:40 Index Fund - Direct Plan - Growth Option;10.5970;25-Aug-2023")</f>
        <v>150012;INF204KC1527;-;Nippon India Nifty AAA CPSE Bond Plus SDL - Apr 2027 Maturity 60:40 Index Fund - Direct Plan - Growth Option;10.5970;25-Aug-2023</v>
      </c>
      <c r="B9756" s="1"/>
    </row>
    <row r="9757">
      <c r="A9757" s="1" t="str">
        <f>IFERROR(__xludf.DUMMYFUNCTION("""COMPUTED_VALUE"""),"150008;INF204KC1535;-;Nippon India Nifty AAA CPSE Bond Plus SDL - Apr 2027 Maturity 60:40 Index Fund - Direct Plan - IDCW Option;10.3147;25-Aug-2023")</f>
        <v>150008;INF204KC1535;-;Nippon India Nifty AAA CPSE Bond Plus SDL - Apr 2027 Maturity 60:40 Index Fund - Direct Plan - IDCW Option;10.3147;25-Aug-2023</v>
      </c>
      <c r="B9757" s="1"/>
    </row>
    <row r="9758">
      <c r="A9758" s="1" t="str">
        <f>IFERROR(__xludf.DUMMYFUNCTION("""COMPUTED_VALUE"""),"150011;INF204KC1493;-;Nippon India Nifty AAA CPSE Bond Plus SDL - Apr 2027 Maturity 60:40 Index Fund - Regular Plan - Growth Option;10.5664;25-Aug-2023")</f>
        <v>150011;INF204KC1493;-;Nippon India Nifty AAA CPSE Bond Plus SDL - Apr 2027 Maturity 60:40 Index Fund - Regular Plan - Growth Option;10.5664;25-Aug-2023</v>
      </c>
      <c r="B9758" s="1"/>
    </row>
    <row r="9759">
      <c r="A9759" s="1" t="str">
        <f>IFERROR(__xludf.DUMMYFUNCTION("""COMPUTED_VALUE"""),"150009;-;INF204KC1519;Nippon India Nifty AAA CPSE Bond Plus SDL - Apr 2027 Maturity 60:40 Index Fund - Regular Plan - IDCW Option;10.3053;25-Aug-2023")</f>
        <v>150009;-;INF204KC1519;Nippon India Nifty AAA CPSE Bond Plus SDL - Apr 2027 Maturity 60:40 Index Fund - Regular Plan - IDCW Option;10.3053;25-Aug-2023</v>
      </c>
      <c r="B9759" s="1"/>
    </row>
    <row r="9760">
      <c r="A9760" s="1" t="str">
        <f>IFERROR(__xludf.DUMMYFUNCTION("""COMPUTED_VALUE"""),"150754;INF204KC1683;-;Nippon India Nifty AAA PSU Bond Plus SDL - Sep 2026 Maturity 50:50 Index Fund-Direct Plan-Growth Option;10.6146;25-Aug-2023")</f>
        <v>150754;INF204KC1683;-;Nippon India Nifty AAA PSU Bond Plus SDL - Sep 2026 Maturity 50:50 Index Fund-Direct Plan-Growth Option;10.6146;25-Aug-2023</v>
      </c>
      <c r="B9760" s="1"/>
    </row>
    <row r="9761">
      <c r="A9761" s="1" t="str">
        <f>IFERROR(__xludf.DUMMYFUNCTION("""COMPUTED_VALUE"""),"150753;INF204KC1691;-;Nippon India Nifty AAA PSU Bond Plus SDL - Sep 2026 Maturity 50:50 Index Fund-Direct Plan-IDCW Option;10.6146;25-Aug-2023")</f>
        <v>150753;INF204KC1691;-;Nippon India Nifty AAA PSU Bond Plus SDL - Sep 2026 Maturity 50:50 Index Fund-Direct Plan-IDCW Option;10.6146;25-Aug-2023</v>
      </c>
      <c r="B9761" s="1"/>
    </row>
    <row r="9762">
      <c r="A9762" s="1" t="str">
        <f>IFERROR(__xludf.DUMMYFUNCTION("""COMPUTED_VALUE"""),"150752;INF204KC1659;-;Nippon India Nifty AAA PSU Bond Plus SDL - Sep 2026 Maturity 50:50 Index Fund-Regular Plan-Growth Option;10.5971;25-Aug-2023")</f>
        <v>150752;INF204KC1659;-;Nippon India Nifty AAA PSU Bond Plus SDL - Sep 2026 Maturity 50:50 Index Fund-Regular Plan-Growth Option;10.5971;25-Aug-2023</v>
      </c>
      <c r="B9762" s="1"/>
    </row>
    <row r="9763">
      <c r="A9763" s="1" t="str">
        <f>IFERROR(__xludf.DUMMYFUNCTION("""COMPUTED_VALUE"""),"150755;INF204KC1667;-;Nippon India Nifty AAA PSU Bond Plus SDL - Sep 2026 Maturity 50:50 Index Fund-Regular Plan-IDCW Option;10.5971;25-Aug-2023")</f>
        <v>150755;INF204KC1667;-;Nippon India Nifty AAA PSU Bond Plus SDL - Sep 2026 Maturity 50:50 Index Fund-Regular Plan-IDCW Option;10.5971;25-Aug-2023</v>
      </c>
      <c r="B9763" s="1"/>
    </row>
    <row r="9764">
      <c r="A9764" s="1" t="str">
        <f>IFERROR(__xludf.DUMMYFUNCTION("""COMPUTED_VALUE"""),"150487;INF204KC1584;-;Nippon India Nifty Alpha Low Volatility 30 Index Fund - Direct Plan - Growth Option;11.5263;25-Aug-2023")</f>
        <v>150487;INF204KC1584;-;Nippon India Nifty Alpha Low Volatility 30 Index Fund - Direct Plan - Growth Option;11.5263;25-Aug-2023</v>
      </c>
      <c r="B9764" s="1"/>
    </row>
    <row r="9765">
      <c r="A9765" s="1" t="str">
        <f>IFERROR(__xludf.DUMMYFUNCTION("""COMPUTED_VALUE"""),"150488;INF204KC1592;-;Nippon India Nifty Alpha Low Volatility 30 Index Fund - Direct Plan - IDCW Option;11.5263;25-Aug-2023")</f>
        <v>150488;INF204KC1592;-;Nippon India Nifty Alpha Low Volatility 30 Index Fund - Direct Plan - IDCW Option;11.5263;25-Aug-2023</v>
      </c>
      <c r="B9765" s="1"/>
    </row>
    <row r="9766">
      <c r="A9766" s="1" t="str">
        <f>IFERROR(__xludf.DUMMYFUNCTION("""COMPUTED_VALUE"""),"150490;INF204KC1550;-;Nippon India Nifty Alpha Low Volatility 30 Index Fund - Regular Plan - Growth Option;11.4435;25-Aug-2023")</f>
        <v>150490;INF204KC1550;-;Nippon India Nifty Alpha Low Volatility 30 Index Fund - Regular Plan - Growth Option;11.4435;25-Aug-2023</v>
      </c>
      <c r="B9766" s="1"/>
    </row>
    <row r="9767">
      <c r="A9767" s="1" t="str">
        <f>IFERROR(__xludf.DUMMYFUNCTION("""COMPUTED_VALUE"""),"150491;INF204KC1568;-;Nippon India Nifty Alpha Low Volatility 30 Index Fund - Regular Plan - IDCW Option;11.4435;25-Aug-2023")</f>
        <v>150491;INF204KC1568;-;Nippon India Nifty Alpha Low Volatility 30 Index Fund - Regular Plan - IDCW Option;11.4435;25-Aug-2023</v>
      </c>
      <c r="B9767" s="1"/>
    </row>
    <row r="9768">
      <c r="A9768" s="1" t="str">
        <f>IFERROR(__xludf.DUMMYFUNCTION("""COMPUTED_VALUE"""),"150920;INF204KC1AC0;-;Nippon India Nifty G-Sec Jun 2036 Maturity Index Fund-Direct Plan-Growth Option;10.5872;25-Aug-2023")</f>
        <v>150920;INF204KC1AC0;-;Nippon India Nifty G-Sec Jun 2036 Maturity Index Fund-Direct Plan-Growth Option;10.5872;25-Aug-2023</v>
      </c>
      <c r="B9768" s="1"/>
    </row>
    <row r="9769">
      <c r="A9769" s="1" t="str">
        <f>IFERROR(__xludf.DUMMYFUNCTION("""COMPUTED_VALUE"""),"150921;INF204KC1AD8;INF204KC1AE6;Nippon India Nifty G-Sec Jun 2036 Maturity Index fund-Direct Plan-IDCW Option;10.5872;25-Aug-2023")</f>
        <v>150921;INF204KC1AD8;INF204KC1AE6;Nippon India Nifty G-Sec Jun 2036 Maturity Index fund-Direct Plan-IDCW Option;10.5872;25-Aug-2023</v>
      </c>
      <c r="B9769" s="1"/>
    </row>
    <row r="9770">
      <c r="A9770" s="1" t="str">
        <f>IFERROR(__xludf.DUMMYFUNCTION("""COMPUTED_VALUE"""),"150923;INF204KC1998;-;Nippon India Nifty G-Sec Jun 2036 Maturity Index Fund-Regular Plan-Growth Option;10.5704;25-Aug-2023")</f>
        <v>150923;INF204KC1998;-;Nippon India Nifty G-Sec Jun 2036 Maturity Index Fund-Regular Plan-Growth Option;10.5704;25-Aug-2023</v>
      </c>
      <c r="B9770" s="1"/>
    </row>
    <row r="9771">
      <c r="A9771" s="1" t="str">
        <f>IFERROR(__xludf.DUMMYFUNCTION("""COMPUTED_VALUE"""),"150922;INF204KC1AA4;INF204KC1AB2;Nippon India Nifty G-Sec Jun 2036 Maturity Index Fund-Regular Plan-IDCW Option;10.5704;25-Aug-2023")</f>
        <v>150922;INF204KC1AA4;INF204KC1AB2;Nippon India Nifty G-Sec Jun 2036 Maturity Index Fund-Regular Plan-IDCW Option;10.5704;25-Aug-2023</v>
      </c>
      <c r="B9771" s="1"/>
    </row>
    <row r="9772">
      <c r="A9772" s="1" t="str">
        <f>IFERROR(__xludf.DUMMYFUNCTION("""COMPUTED_VALUE"""),"151440;INF204KC1AO5;-;Nippon India Nifty G-Sec Oct 2028 Maturity Index Fund-Direct Plan-Growth Option;10.4279;25-Aug-2023")</f>
        <v>151440;INF204KC1AO5;-;Nippon India Nifty G-Sec Oct 2028 Maturity Index Fund-Direct Plan-Growth Option;10.4279;25-Aug-2023</v>
      </c>
      <c r="B9772" s="1"/>
    </row>
    <row r="9773">
      <c r="A9773" s="1" t="str">
        <f>IFERROR(__xludf.DUMMYFUNCTION("""COMPUTED_VALUE"""),"151442;INF204KC1AP2;-;Nippon India Nifty G-Sec Oct 2028 Maturity Index Fund-Direct Plan-IDCW Option;10.4279;25-Aug-2023")</f>
        <v>151442;INF204KC1AP2;-;Nippon India Nifty G-Sec Oct 2028 Maturity Index Fund-Direct Plan-IDCW Option;10.4279;25-Aug-2023</v>
      </c>
      <c r="B9773" s="1"/>
    </row>
    <row r="9774">
      <c r="A9774" s="1" t="str">
        <f>IFERROR(__xludf.DUMMYFUNCTION("""COMPUTED_VALUE"""),"151439;INF204KC1AL1;-;Nippon India Nifty G-Sec Oct 2028 Maturity Index Fund-Regular Plan-Growth Option;10.4163;25-Aug-2023")</f>
        <v>151439;INF204KC1AL1;-;Nippon India Nifty G-Sec Oct 2028 Maturity Index Fund-Regular Plan-Growth Option;10.4163;25-Aug-2023</v>
      </c>
      <c r="B9774" s="1"/>
    </row>
    <row r="9775">
      <c r="A9775" s="1" t="str">
        <f>IFERROR(__xludf.DUMMYFUNCTION("""COMPUTED_VALUE"""),"151441;INF204KC1AM9;-;Nippon India Nifty G-Sec Oct 2028 Maturity Index Fund-Regular Plan-IDCW Option;10.4163;25-Aug-2023")</f>
        <v>151441;INF204KC1AM9;-;Nippon India Nifty G-Sec Oct 2028 Maturity Index Fund-Regular Plan-IDCW Option;10.4163;25-Aug-2023</v>
      </c>
      <c r="B9775" s="1"/>
    </row>
    <row r="9776">
      <c r="A9776" s="1" t="str">
        <f>IFERROR(__xludf.DUMMYFUNCTION("""COMPUTED_VALUE"""),"150906;INF204KC1881;-;Nippon India Nifty G-Sec Sep 2027 Maturity Index Fund-Direct Plan-Growth Option;10.4666;25-Aug-2023")</f>
        <v>150906;INF204KC1881;-;Nippon India Nifty G-Sec Sep 2027 Maturity Index Fund-Direct Plan-Growth Option;10.4666;25-Aug-2023</v>
      </c>
      <c r="B9776" s="1"/>
    </row>
    <row r="9777">
      <c r="A9777" s="1" t="str">
        <f>IFERROR(__xludf.DUMMYFUNCTION("""COMPUTED_VALUE"""),"150907;INF204KC1899;INF204KC1907;Nippon India Nifty G-Sec Sep 2027 Maturity Index Fund-Direct Plan-IDCW Option;10.4666;25-Aug-2023")</f>
        <v>150907;INF204KC1899;INF204KC1907;Nippon India Nifty G-Sec Sep 2027 Maturity Index Fund-Direct Plan-IDCW Option;10.4666;25-Aug-2023</v>
      </c>
      <c r="B9777" s="1"/>
    </row>
    <row r="9778">
      <c r="A9778" s="1" t="str">
        <f>IFERROR(__xludf.DUMMYFUNCTION("""COMPUTED_VALUE"""),"150904;INF204KC1857;-;Nippon India Nifty G-Sec Sep 2027 Maturity Index Fund-Regular Plan-Growth Option;10.4514;25-Aug-2023")</f>
        <v>150904;INF204KC1857;-;Nippon India Nifty G-Sec Sep 2027 Maturity Index Fund-Regular Plan-Growth Option;10.4514;25-Aug-2023</v>
      </c>
      <c r="B9778" s="1"/>
    </row>
    <row r="9779">
      <c r="A9779" s="1" t="str">
        <f>IFERROR(__xludf.DUMMYFUNCTION("""COMPUTED_VALUE"""),"150905;INF204KC1865;INF204KC1873;Nippon India Nifty G-Sec Sep 2027 Maturity Index Fund-Regular Plan-IDCW Option;10.4514;25-Aug-2023")</f>
        <v>150905;INF204KC1865;INF204KC1873;Nippon India Nifty G-Sec Sep 2027 Maturity Index Fund-Regular Plan-IDCW Option;10.4514;25-Aug-2023</v>
      </c>
      <c r="B9779" s="1"/>
    </row>
    <row r="9780">
      <c r="A9780" s="1" t="str">
        <f>IFERROR(__xludf.DUMMYFUNCTION("""COMPUTED_VALUE"""),"148726;INF204KB18Z7;-;Nippon India Nifty Midcap 150 Index Fund - Direct Plan - Growth Option;16.6385;25-Aug-2023")</f>
        <v>148726;INF204KB18Z7;-;Nippon India Nifty Midcap 150 Index Fund - Direct Plan - Growth Option;16.6385;25-Aug-2023</v>
      </c>
      <c r="B9780" s="1"/>
    </row>
    <row r="9781">
      <c r="A9781" s="1" t="str">
        <f>IFERROR(__xludf.DUMMYFUNCTION("""COMPUTED_VALUE"""),"148725;INF204KB19Z5;INF204KC1014;NIPPON INDIA NIFTY MIDCAP 150 INDEX FUND - DIRECT Plan - IDCW Option;16.6385;25-Aug-2023")</f>
        <v>148725;INF204KB19Z5;INF204KC1014;NIPPON INDIA NIFTY MIDCAP 150 INDEX FUND - DIRECT Plan - IDCW Option;16.6385;25-Aug-2023</v>
      </c>
      <c r="B9781" s="1"/>
    </row>
    <row r="9782">
      <c r="A9782" s="1" t="str">
        <f>IFERROR(__xludf.DUMMYFUNCTION("""COMPUTED_VALUE"""),"148724;INF204KB16Z1;INF204KB17Z9;NIPPON INDIA NIFTY MIDCAP 150 INDEX FUND - IDCW Option;16.3923;25-Aug-2023")</f>
        <v>148724;INF204KB16Z1;INF204KB17Z9;NIPPON INDIA NIFTY MIDCAP 150 INDEX FUND - IDCW Option;16.3923;25-Aug-2023</v>
      </c>
      <c r="B9782" s="1"/>
    </row>
    <row r="9783">
      <c r="A9783" s="1" t="str">
        <f>IFERROR(__xludf.DUMMYFUNCTION("""COMPUTED_VALUE"""),"148723;INF204KB15Z3;-;Nippon India Nifty Midcap 150 Index Fund - Regular Plan - Growth Option;16.3923;25-Aug-2023")</f>
        <v>148723;INF204KB15Z3;-;Nippon India Nifty Midcap 150 Index Fund - Regular Plan - Growth Option;16.3923;25-Aug-2023</v>
      </c>
      <c r="B9783" s="1"/>
    </row>
    <row r="9784">
      <c r="A9784" s="1" t="str">
        <f>IFERROR(__xludf.DUMMYFUNCTION("""COMPUTED_VALUE"""),"150824;INF204KC1741;-;Nippon India Nifty SDL Plus G-Sec - Jun 2028 Maturity 70:30 Index Fund-Direct Plan-Growth Option;10.5600;25-Aug-2023")</f>
        <v>150824;INF204KC1741;-;Nippon India Nifty SDL Plus G-Sec - Jun 2028 Maturity 70:30 Index Fund-Direct Plan-Growth Option;10.5600;25-Aug-2023</v>
      </c>
      <c r="B9784" s="1"/>
    </row>
    <row r="9785">
      <c r="A9785" s="1" t="str">
        <f>IFERROR(__xludf.DUMMYFUNCTION("""COMPUTED_VALUE"""),"150826;INF204KC1758;INF204KC1766;Nippon India Nifty SDL Plus G-Sec - Jun 2028 Maturity 70:30 Index Fund-Direct Plan-IDCW Option;10.5600;25-Aug-2023")</f>
        <v>150826;INF204KC1758;INF204KC1766;Nippon India Nifty SDL Plus G-Sec - Jun 2028 Maturity 70:30 Index Fund-Direct Plan-IDCW Option;10.5600;25-Aug-2023</v>
      </c>
      <c r="B9785" s="1"/>
    </row>
    <row r="9786">
      <c r="A9786" s="1" t="str">
        <f>IFERROR(__xludf.DUMMYFUNCTION("""COMPUTED_VALUE"""),"150827;INF204KC1725;INF204KC1733;Nippon India Nifty SDL Plus G-Sec - Jun 2028 Maturity 70:30 Index Fund-Regular Plan IDCW Option;10.5421;25-Aug-2023")</f>
        <v>150827;INF204KC1725;INF204KC1733;Nippon India Nifty SDL Plus G-Sec - Jun 2028 Maturity 70:30 Index Fund-Regular Plan IDCW Option;10.5421;25-Aug-2023</v>
      </c>
      <c r="B9786" s="1"/>
    </row>
    <row r="9787">
      <c r="A9787" s="1" t="str">
        <f>IFERROR(__xludf.DUMMYFUNCTION("""COMPUTED_VALUE"""),"150825;INF204KC1717;-;Nippon India Nifty SDL Plus G-Sec - Jun 2028 Maturity 70:30 Index Fund-Regular Plan-Growth Option;10.5421;25-Aug-2023")</f>
        <v>150825;INF204KC1717;-;Nippon India Nifty SDL Plus G-Sec - Jun 2028 Maturity 70:30 Index Fund-Regular Plan-Growth Option;10.5421;25-Aug-2023</v>
      </c>
      <c r="B9787" s="1"/>
    </row>
    <row r="9788">
      <c r="A9788" s="1" t="str">
        <f>IFERROR(__xludf.DUMMYFUNCTION("""COMPUTED_VALUE"""),"151389;-;INF204KC1AH9;Nippon India Nifty SDL Plus G-Sec - Jun 2029 Maturity 70:30 Index Fund-Regular Plan-IDCW Option;10.4033;25-Aug-2023")</f>
        <v>151389;-;INF204KC1AH9;Nippon India Nifty SDL Plus G-Sec - Jun 2029 Maturity 70:30 Index Fund-Regular Plan-IDCW Option;10.4033;25-Aug-2023</v>
      </c>
      <c r="B9788" s="1"/>
    </row>
    <row r="9789">
      <c r="A9789" s="1" t="str">
        <f>IFERROR(__xludf.DUMMYFUNCTION("""COMPUTED_VALUE"""),"151390;INF204KC1AI7;-;Nippon India Nifty SDL Plus G-Sec-Jun 2029 Maturity 70:30 Index Fund-Direct Plan-Growth Option;10.4155;25-Aug-2023")</f>
        <v>151390;INF204KC1AI7;-;Nippon India Nifty SDL Plus G-Sec-Jun 2029 Maturity 70:30 Index Fund-Direct Plan-Growth Option;10.4155;25-Aug-2023</v>
      </c>
      <c r="B9789" s="1"/>
    </row>
    <row r="9790">
      <c r="A9790" s="1" t="str">
        <f>IFERROR(__xludf.DUMMYFUNCTION("""COMPUTED_VALUE"""),"151391;INF204KC1AJ5;-;Nippon India Nifty SDL Plus G-Sec-Jun 2029 Maturity 70:30 Index Fund-Direct Plan-IDCW Option;10.4155;25-Aug-2023")</f>
        <v>151391;INF204KC1AJ5;-;Nippon India Nifty SDL Plus G-Sec-Jun 2029 Maturity 70:30 Index Fund-Direct Plan-IDCW Option;10.4155;25-Aug-2023</v>
      </c>
      <c r="B9790" s="1"/>
    </row>
    <row r="9791">
      <c r="A9791" s="1" t="str">
        <f>IFERROR(__xludf.DUMMYFUNCTION("""COMPUTED_VALUE"""),"151392;-;INF204KC1AK3;Nippon India Nifty SDL Plus G-Sec-Jun 2029 Maturity 70:30 Index Fund-Regular Plan-Growth Option;10.4033;25-Aug-2023")</f>
        <v>151392;-;INF204KC1AK3;Nippon India Nifty SDL Plus G-Sec-Jun 2029 Maturity 70:30 Index Fund-Regular Plan-Growth Option;10.4033;25-Aug-2023</v>
      </c>
      <c r="B9791" s="1"/>
    </row>
    <row r="9792">
      <c r="A9792" s="1" t="str">
        <f>IFERROR(__xludf.DUMMYFUNCTION("""COMPUTED_VALUE"""),"148519;INF204KB15W0;-;Nippon India Nifty Smallcap 250 Index Fund - Direct Plan - Growth Option;23.0418;25-Aug-2023")</f>
        <v>148519;INF204KB15W0;-;Nippon India Nifty Smallcap 250 Index Fund - Direct Plan - Growth Option;23.0418;25-Aug-2023</v>
      </c>
      <c r="B9792" s="1"/>
    </row>
    <row r="9793">
      <c r="A9793" s="1" t="str">
        <f>IFERROR(__xludf.DUMMYFUNCTION("""COMPUTED_VALUE"""),"148521;INF204KB16W8;INF204KB17W6;NIPPON INDIA NIFTY SMALLCAP 250 INDEX FUND - DIRECT Plan - IDCW Option;23.0418;25-Aug-2023")</f>
        <v>148521;INF204KB16W8;INF204KB17W6;NIPPON INDIA NIFTY SMALLCAP 250 INDEX FUND - DIRECT Plan - IDCW Option;23.0418;25-Aug-2023</v>
      </c>
      <c r="B9793" s="1"/>
    </row>
    <row r="9794">
      <c r="A9794" s="1" t="str">
        <f>IFERROR(__xludf.DUMMYFUNCTION("""COMPUTED_VALUE"""),"148520;INF204KB13W5;INF204KB14W3;NIPPON INDIA NIFTY SMALLCAP 250 INDEX FUND - IDCW Option;22.5579;25-Aug-2023")</f>
        <v>148520;INF204KB13W5;INF204KB14W3;NIPPON INDIA NIFTY SMALLCAP 250 INDEX FUND - IDCW Option;22.5579;25-Aug-2023</v>
      </c>
      <c r="B9794" s="1"/>
    </row>
    <row r="9795">
      <c r="A9795" s="1" t="str">
        <f>IFERROR(__xludf.DUMMYFUNCTION("""COMPUTED_VALUE"""),"148518;INF204KB12W7;-;Nippon India Nifty Smallcap 250 Index Fund - Regular Plan - Growth Option;22.5579;25-Aug-2023")</f>
        <v>148518;INF204KB12W7;-;Nippon India Nifty Smallcap 250 Index Fund - Regular Plan - Growth Option;22.5579;25-Aug-2023</v>
      </c>
      <c r="B9795" s="1"/>
    </row>
    <row r="9796">
      <c r="A9796" s="1"/>
      <c r="B9796" s="1"/>
    </row>
    <row r="9797">
      <c r="A9797" s="1" t="str">
        <f>IFERROR(__xludf.DUMMYFUNCTION("""COMPUTED_VALUE"""),"PGIM India Mutual Fund")</f>
        <v>PGIM India Mutual Fund</v>
      </c>
      <c r="B9797" s="1"/>
    </row>
    <row r="9798">
      <c r="A9798" s="1"/>
      <c r="B9798" s="1"/>
    </row>
    <row r="9799">
      <c r="A9799" s="1" t="str">
        <f>IFERROR(__xludf.DUMMYFUNCTION("""COMPUTED_VALUE"""),"151407;INF663L01X21;-;PGIM India CRISIL IBX Gilt Index - Apr 2028 Fund - Direct Plan")</f>
        <v>151407;INF663L01X21;-;PGIM India CRISIL IBX Gilt Index - Apr 2028 Fund - Direct Plan</v>
      </c>
      <c r="B9799" s="1" t="str">
        <f>IFERROR(__xludf.DUMMYFUNCTION("""COMPUTED_VALUE"""),"Growth Option;10.4274;25-Aug-2023")</f>
        <v>Growth Option;10.4274;25-Aug-2023</v>
      </c>
    </row>
    <row r="9800">
      <c r="A9800" s="1" t="str">
        <f>IFERROR(__xludf.DUMMYFUNCTION("""COMPUTED_VALUE"""),"151406;INF663L01X39;INF663L01X47;PGIM India CRISIL IBX Gilt Index - Apr 2028 Fund - Direct Plan")</f>
        <v>151406;INF663L01X39;INF663L01X47;PGIM India CRISIL IBX Gilt Index - Apr 2028 Fund - Direct Plan</v>
      </c>
      <c r="B9800" s="1" t="str">
        <f>IFERROR(__xludf.DUMMYFUNCTION("""COMPUTED_VALUE"""),"IDCW Option;10.4274;25-Aug-2023")</f>
        <v>IDCW Option;10.4274;25-Aug-2023</v>
      </c>
    </row>
    <row r="9801">
      <c r="A9801" s="1" t="str">
        <f>IFERROR(__xludf.DUMMYFUNCTION("""COMPUTED_VALUE"""),"151404;INF663L01X54;-;PGIM India CRISIL IBX Gilt Index - Apr 2028 Fund - Regular Plan")</f>
        <v>151404;INF663L01X54;-;PGIM India CRISIL IBX Gilt Index - Apr 2028 Fund - Regular Plan</v>
      </c>
      <c r="B9801" s="1" t="str">
        <f>IFERROR(__xludf.DUMMYFUNCTION("""COMPUTED_VALUE"""),"Growth Option;10.4151;25-Aug-2023")</f>
        <v>Growth Option;10.4151;25-Aug-2023</v>
      </c>
    </row>
    <row r="9802">
      <c r="A9802" s="1" t="str">
        <f>IFERROR(__xludf.DUMMYFUNCTION("""COMPUTED_VALUE"""),"151405;INF663L01X62;INF663L01X70;PGIM India CRISIL IBX Gilt Index - Apr 2028 Fund - Regular Plan")</f>
        <v>151405;INF663L01X62;INF663L01X70;PGIM India CRISIL IBX Gilt Index - Apr 2028 Fund - Regular Plan</v>
      </c>
      <c r="B9802" s="1" t="str">
        <f>IFERROR(__xludf.DUMMYFUNCTION("""COMPUTED_VALUE"""),"IDCW Option;10.4151;25-Aug-2023")</f>
        <v>IDCW Option;10.4151;25-Aug-2023</v>
      </c>
    </row>
    <row r="9803">
      <c r="A9803" s="1"/>
      <c r="B9803" s="1"/>
    </row>
    <row r="9804">
      <c r="A9804" s="1" t="str">
        <f>IFERROR(__xludf.DUMMYFUNCTION("""COMPUTED_VALUE"""),"SBI Mutual Fund")</f>
        <v>SBI Mutual Fund</v>
      </c>
      <c r="B9804" s="1"/>
    </row>
    <row r="9805">
      <c r="A9805" s="1"/>
      <c r="B9805" s="1"/>
    </row>
    <row r="9806">
      <c r="A9806" s="1" t="str">
        <f>IFERROR(__xludf.DUMMYFUNCTION("""COMPUTED_VALUE"""),"149474;INF200KA13D5;-;SBI CPSE Bond Plus SDL Sep 2026 50:50 Index Fund - Direct Plan - Growth;10.7035;25-Aug-2023")</f>
        <v>149474;INF200KA13D5;-;SBI CPSE Bond Plus SDL Sep 2026 50:50 Index Fund - Direct Plan - Growth;10.7035;25-Aug-2023</v>
      </c>
      <c r="B9806" s="1"/>
    </row>
    <row r="9807">
      <c r="A9807" s="1" t="str">
        <f>IFERROR(__xludf.DUMMYFUNCTION("""COMPUTED_VALUE"""),"149475;INF200KA14D3;INF200KA15D0;SBI CPSE Bond Plus SDL Sep 2026 50:50 Index Fund - Direct Plan - Income Distribution cum Capital Withdrawal Option (IDCW);10.7498;25-Aug-2023")</f>
        <v>149475;INF200KA14D3;INF200KA15D0;SBI CPSE Bond Plus SDL Sep 2026 50:50 Index Fund - Direct Plan - Income Distribution cum Capital Withdrawal Option (IDCW);10.7498;25-Aug-2023</v>
      </c>
      <c r="B9807" s="1"/>
    </row>
    <row r="9808">
      <c r="A9808" s="1" t="str">
        <f>IFERROR(__xludf.DUMMYFUNCTION("""COMPUTED_VALUE"""),"149472;INF200KA10D1;-;SBI CPSE Bond Plus SDL Sep 2026 50:50 Index Fund - Regular Plan - Growth;10.6696;25-Aug-2023")</f>
        <v>149472;INF200KA10D1;-;SBI CPSE Bond Plus SDL Sep 2026 50:50 Index Fund - Regular Plan - Growth;10.6696;25-Aug-2023</v>
      </c>
      <c r="B9808" s="1"/>
    </row>
    <row r="9809">
      <c r="A9809" s="1" t="str">
        <f>IFERROR(__xludf.DUMMYFUNCTION("""COMPUTED_VALUE"""),"149473;INF200KA11D9;INF200KA12D7;SBI CPSE Bond Plus SDL Sep 2026 50:50 Index Fund - Regular Plan - Income Distribution cum Capital Withdrawal Option (IDCW);10.6698;25-Aug-2023")</f>
        <v>149473;INF200KA11D9;INF200KA12D7;SBI CPSE Bond Plus SDL Sep 2026 50:50 Index Fund - Regular Plan - Income Distribution cum Capital Withdrawal Option (IDCW);10.6698;25-Aug-2023</v>
      </c>
      <c r="B9809" s="1"/>
    </row>
    <row r="9810">
      <c r="A9810" s="1" t="str">
        <f>IFERROR(__xludf.DUMMYFUNCTION("""COMPUTED_VALUE"""),"150706;INF200KA18Q6;-;SBI CRISIL IBX Gilt Index - April 2029 Fund - Direct Plan - Growth;10.7198;25-Aug-2023")</f>
        <v>150706;INF200KA18Q6;-;SBI CRISIL IBX Gilt Index - April 2029 Fund - Direct Plan - Growth;10.7198;25-Aug-2023</v>
      </c>
      <c r="B9810" s="1"/>
    </row>
    <row r="9811">
      <c r="A9811" s="1" t="str">
        <f>IFERROR(__xludf.DUMMYFUNCTION("""COMPUTED_VALUE"""),"150708;INF200KA19Q4;INF200KA10R1;SBI CRISIL IBX Gilt Index - April 2029 Fund - Direct Plan - Income Distribution cum Capital Withdrawal Option (IDCW);10.7199;25-Aug-2023")</f>
        <v>150708;INF200KA19Q4;INF200KA10R1;SBI CRISIL IBX Gilt Index - April 2029 Fund - Direct Plan - Income Distribution cum Capital Withdrawal Option (IDCW);10.7199;25-Aug-2023</v>
      </c>
      <c r="B9811" s="1"/>
    </row>
    <row r="9812">
      <c r="A9812" s="1" t="str">
        <f>IFERROR(__xludf.DUMMYFUNCTION("""COMPUTED_VALUE"""),"150707;INF200KA15Q2;-;SBI CRISIL IBX Gilt Index - April 2029 Fund - Regular Plan - Growth;10.6968;25-Aug-2023")</f>
        <v>150707;INF200KA15Q2;-;SBI CRISIL IBX Gilt Index - April 2029 Fund - Regular Plan - Growth;10.6968;25-Aug-2023</v>
      </c>
      <c r="B9812" s="1"/>
    </row>
    <row r="9813">
      <c r="A9813" s="1" t="str">
        <f>IFERROR(__xludf.DUMMYFUNCTION("""COMPUTED_VALUE"""),"150709;INF200KA16Q0;INF200KA17Q8;SBI CRISIL IBX Gilt Index - April 2029 Fund - Regular Plan - Income Distribution cum Capital Withdrawal Option (IDCW);10.6976;25-Aug-2023")</f>
        <v>150709;INF200KA16Q0;INF200KA17Q8;SBI CRISIL IBX Gilt Index - April 2029 Fund - Regular Plan - Income Distribution cum Capital Withdrawal Option (IDCW);10.6976;25-Aug-2023</v>
      </c>
      <c r="B9813" s="1"/>
    </row>
    <row r="9814">
      <c r="A9814" s="1" t="str">
        <f>IFERROR(__xludf.DUMMYFUNCTION("""COMPUTED_VALUE"""),"150681;INF200KA12Q9;-;SBI |CRISIL IBX Gilt Index - June 2036 Fund - Direct Plan - Growth;10.8427;25-Aug-2023")</f>
        <v>150681;INF200KA12Q9;-;SBI |CRISIL IBX Gilt Index - June 2036 Fund - Direct Plan - Growth;10.8427;25-Aug-2023</v>
      </c>
      <c r="B9814" s="1"/>
    </row>
    <row r="9815">
      <c r="A9815" s="1" t="str">
        <f>IFERROR(__xludf.DUMMYFUNCTION("""COMPUTED_VALUE"""),"150682;INF200KA13Q7;INF200KA14Q5;SBI CRISIL IBX Gilt Index - June 2036 Fund - Direct Plan - Income Distribution cum Capital Withdrawal Option (IDCW);10.8427;25-Aug-2023")</f>
        <v>150682;INF200KA13Q7;INF200KA14Q5;SBI CRISIL IBX Gilt Index - June 2036 Fund - Direct Plan - Income Distribution cum Capital Withdrawal Option (IDCW);10.8427;25-Aug-2023</v>
      </c>
      <c r="B9815" s="1"/>
    </row>
    <row r="9816">
      <c r="A9816" s="1" t="str">
        <f>IFERROR(__xludf.DUMMYFUNCTION("""COMPUTED_VALUE"""),"150683;INF200KA19P6;-;SBI CRISIL IBX Gilt Index - June 2036 Fund - Regular Plan - Growth;10.8173;25-Aug-2023")</f>
        <v>150683;INF200KA19P6;-;SBI CRISIL IBX Gilt Index - June 2036 Fund - Regular Plan - Growth;10.8173;25-Aug-2023</v>
      </c>
      <c r="B9816" s="1"/>
    </row>
    <row r="9817">
      <c r="A9817" s="1" t="str">
        <f>IFERROR(__xludf.DUMMYFUNCTION("""COMPUTED_VALUE"""),"150680;INF200KA10Q3;INF200KA11Q1;SBI CRISIL IBX Gilt Index - June 2036 Fund - Regular Plan - Income Distribution cum Capital Withdrawal Option (IDCW);10.8177;25-Aug-2023")</f>
        <v>150680;INF200KA10Q3;INF200KA11Q1;SBI CRISIL IBX Gilt Index - June 2036 Fund - Regular Plan - Income Distribution cum Capital Withdrawal Option (IDCW);10.8177;25-Aug-2023</v>
      </c>
      <c r="B9817" s="1"/>
    </row>
    <row r="9818">
      <c r="A9818" s="1" t="str">
        <f>IFERROR(__xludf.DUMMYFUNCTION("""COMPUTED_VALUE"""),"150711;INF200KA14R3;-;SBI CRISIL IBX SDL Index - September 2027 Fund - Direct Plan - Growth;10.6599;25-Aug-2023")</f>
        <v>150711;INF200KA14R3;-;SBI CRISIL IBX SDL Index - September 2027 Fund - Direct Plan - Growth;10.6599;25-Aug-2023</v>
      </c>
      <c r="B9818" s="1"/>
    </row>
    <row r="9819">
      <c r="A9819" s="1" t="str">
        <f>IFERROR(__xludf.DUMMYFUNCTION("""COMPUTED_VALUE"""),"150713;INF200KA15R0;INF200KA16R8;SBI CRISIL IBX SDL Index - September 2027 Fund - Direct Plan - Income Distribution cum Capital Withdrawal Option (IDCW);10.6602;25-Aug-2023")</f>
        <v>150713;INF200KA15R0;INF200KA16R8;SBI CRISIL IBX SDL Index - September 2027 Fund - Direct Plan - Income Distribution cum Capital Withdrawal Option (IDCW);10.6602;25-Aug-2023</v>
      </c>
      <c r="B9819" s="1"/>
    </row>
    <row r="9820">
      <c r="A9820" s="1" t="str">
        <f>IFERROR(__xludf.DUMMYFUNCTION("""COMPUTED_VALUE"""),"150712;INF200KA11R9;-;SBI CRISIL IBX SDL Index - September 2027 Fund - Regular Plan - Growth;10.6409;25-Aug-2023")</f>
        <v>150712;INF200KA11R9;-;SBI CRISIL IBX SDL Index - September 2027 Fund - Regular Plan - Growth;10.6409;25-Aug-2023</v>
      </c>
      <c r="B9820" s="1"/>
    </row>
    <row r="9821">
      <c r="A9821" s="1" t="str">
        <f>IFERROR(__xludf.DUMMYFUNCTION("""COMPUTED_VALUE"""),"150710;INF200KA12R7;INF200KA13R5;SBI CRISIL IBX SDL Index - September 2027 Fund - Regular Plan - Income Distribution cum Capital Withdrawal Option (IDCW);10.6410;25-Aug-2023")</f>
        <v>150710;INF200KA12R7;INF200KA13R5;SBI CRISIL IBX SDL Index - September 2027 Fund - Regular Plan - Income Distribution cum Capital Withdrawal Option (IDCW);10.6410;25-Aug-2023</v>
      </c>
      <c r="B9821" s="1"/>
    </row>
    <row r="9822">
      <c r="A9822" s="1" t="str">
        <f>IFERROR(__xludf.DUMMYFUNCTION("""COMPUTED_VALUE"""),"119827;INF200K01TE8;-;SBI NIFTY INDEX FUND - DIRECT PLAN - GROWTH;175.4624;25-Aug-2023")</f>
        <v>119827;INF200K01TE8;-;SBI NIFTY INDEX FUND - DIRECT PLAN - GROWTH;175.4624;25-Aug-2023</v>
      </c>
      <c r="B9822" s="1"/>
    </row>
    <row r="9823">
      <c r="A9823" s="1" t="str">
        <f>IFERROR(__xludf.DUMMYFUNCTION("""COMPUTED_VALUE"""),"119826;INF200K01TC2;INF200K01TD0;SBI Nifty Index Fund - Direct Plan - Income Distribution cum Capital Withdrawal Option (IDCW);90.1241;25-Aug-2023")</f>
        <v>119826;INF200K01TC2;INF200K01TD0;SBI Nifty Index Fund - Direct Plan - Income Distribution cum Capital Withdrawal Option (IDCW);90.1241;25-Aug-2023</v>
      </c>
      <c r="B9823" s="1"/>
    </row>
    <row r="9824">
      <c r="A9824" s="1" t="str">
        <f>IFERROR(__xludf.DUMMYFUNCTION("""COMPUTED_VALUE"""),"102272;INF200K01537;-;SBI NIFTY INDEX FUND - REGULAR PLAN - GROWTH;168.1499;25-Aug-2023")</f>
        <v>102272;INF200K01537;-;SBI NIFTY INDEX FUND - REGULAR PLAN - GROWTH;168.1499;25-Aug-2023</v>
      </c>
      <c r="B9824" s="1"/>
    </row>
    <row r="9825">
      <c r="A9825" s="1" t="str">
        <f>IFERROR(__xludf.DUMMYFUNCTION("""COMPUTED_VALUE"""),"102273;INF200K01545;INF200K01552;SBI Nifty Index Fund - Regular Plan - Income Distribution cum Capital Withdrawal Option (IDCW);86.2711;25-Aug-2023")</f>
        <v>102273;INF200K01545;INF200K01552;SBI Nifty Index Fund - Regular Plan - Income Distribution cum Capital Withdrawal Option (IDCW);86.2711;25-Aug-2023</v>
      </c>
      <c r="B9825" s="1"/>
    </row>
    <row r="9826">
      <c r="A9826" s="1" t="str">
        <f>IFERROR(__xludf.DUMMYFUNCTION("""COMPUTED_VALUE"""),"150673;INF200KA10P5;-;SBI Nifty Midcap 150 Index Fund - Direct Plan - Growth;12.5256;25-Aug-2023")</f>
        <v>150673;INF200KA10P5;-;SBI Nifty Midcap 150 Index Fund - Direct Plan - Growth;12.5256;25-Aug-2023</v>
      </c>
      <c r="B9826" s="1"/>
    </row>
    <row r="9827">
      <c r="A9827" s="1" t="str">
        <f>IFERROR(__xludf.DUMMYFUNCTION("""COMPUTED_VALUE"""),"150675;INF200KA11P3;INF200KA12P1;SBI Nifty Midcap 150 Index Fund - Direct Plan - Income Distribution cum Capital Withdrawal Option (IDCW);12.5256;25-Aug-2023")</f>
        <v>150675;INF200KA11P3;INF200KA12P1;SBI Nifty Midcap 150 Index Fund - Direct Plan - Income Distribution cum Capital Withdrawal Option (IDCW);12.5256;25-Aug-2023</v>
      </c>
      <c r="B9827" s="1"/>
    </row>
    <row r="9828">
      <c r="A9828" s="1" t="str">
        <f>IFERROR(__xludf.DUMMYFUNCTION("""COMPUTED_VALUE"""),"150672;INF200KA17O3;-;SBI Nifty Midcap 150 Index Fund - Regular Plan - Growth;12.4600;25-Aug-2023")</f>
        <v>150672;INF200KA17O3;-;SBI Nifty Midcap 150 Index Fund - Regular Plan - Growth;12.4600;25-Aug-2023</v>
      </c>
      <c r="B9828" s="1"/>
    </row>
    <row r="9829">
      <c r="A9829" s="1" t="str">
        <f>IFERROR(__xludf.DUMMYFUNCTION("""COMPUTED_VALUE"""),"150674;INF200KA18O1;INF200KA19O9;SBI Nifty Midcap 150 Index Fund - Regular Plan - Income Distribution cum Capital Withdrawal Option (IDCW);12.4601;25-Aug-2023")</f>
        <v>150674;INF200KA18O1;INF200KA19O9;SBI Nifty Midcap 150 Index Fund - Regular Plan - Income Distribution cum Capital Withdrawal Option (IDCW);12.4601;25-Aug-2023</v>
      </c>
      <c r="B9829" s="1"/>
    </row>
    <row r="9830">
      <c r="A9830" s="1" t="str">
        <f>IFERROR(__xludf.DUMMYFUNCTION("""COMPUTED_VALUE"""),"148945;INF200KA1W00;-;SBI Nifty Next 50 Index Fund - Direct Plan - Growth;12.0748;25-Aug-2023")</f>
        <v>148945;INF200KA1W00;-;SBI Nifty Next 50 Index Fund - Direct Plan - Growth;12.0748;25-Aug-2023</v>
      </c>
      <c r="B9830" s="1"/>
    </row>
    <row r="9831">
      <c r="A9831" s="1" t="str">
        <f>IFERROR(__xludf.DUMMYFUNCTION("""COMPUTED_VALUE"""),"148946;INF200KA1W18;INF200KA1W26;SBI Nifty Next 50 Index Fund - Direct Plan - Income Distribution cum Capital Withdrawal Option (IDCW);12.0746;25-Aug-2023")</f>
        <v>148946;INF200KA1W18;INF200KA1W26;SBI Nifty Next 50 Index Fund - Direct Plan - Income Distribution cum Capital Withdrawal Option (IDCW);12.0746;25-Aug-2023</v>
      </c>
      <c r="B9831" s="1"/>
    </row>
    <row r="9832">
      <c r="A9832" s="1" t="str">
        <f>IFERROR(__xludf.DUMMYFUNCTION("""COMPUTED_VALUE"""),"148943;INF200KA1V76;-;SBI Nifty Next 50 Index Fund - Regular Plan - Growth;11.9383;25-Aug-2023")</f>
        <v>148943;INF200KA1V76;-;SBI Nifty Next 50 Index Fund - Regular Plan - Growth;11.9383;25-Aug-2023</v>
      </c>
      <c r="B9832" s="1"/>
    </row>
    <row r="9833">
      <c r="A9833" s="1" t="str">
        <f>IFERROR(__xludf.DUMMYFUNCTION("""COMPUTED_VALUE"""),"148944;INF200KA1V84;INF200KA1V92;SBI Nifty Next 50 Index Fund - Regular Plan - Income Distribution cum Capital Withdrawal Option (IDCW);11.9386;25-Aug-2023")</f>
        <v>148944;INF200KA1V84;INF200KA1V92;SBI Nifty Next 50 Index Fund - Regular Plan - Income Distribution cum Capital Withdrawal Option (IDCW);11.9386;25-Aug-2023</v>
      </c>
      <c r="B9833" s="1"/>
    </row>
    <row r="9834">
      <c r="A9834" s="1" t="str">
        <f>IFERROR(__xludf.DUMMYFUNCTION("""COMPUTED_VALUE"""),"150677;INF200KA16P2;-;SBI Nifty Smallcap 250 Index Fund - Direct Plan - Growth;12.6091;25-Aug-2023")</f>
        <v>150677;INF200KA16P2;-;SBI Nifty Smallcap 250 Index Fund - Direct Plan - Growth;12.6091;25-Aug-2023</v>
      </c>
      <c r="B9834" s="1"/>
    </row>
    <row r="9835">
      <c r="A9835" s="1" t="str">
        <f>IFERROR(__xludf.DUMMYFUNCTION("""COMPUTED_VALUE"""),"150678;INF200KA17P0;INF200KA18P8;SBI Nifty Smallcap 250 Index Fund - Direct Plan - Income Distribution cum Capital Withdrawal Option (IDCW);12.6092;25-Aug-2023")</f>
        <v>150678;INF200KA17P0;INF200KA18P8;SBI Nifty Smallcap 250 Index Fund - Direct Plan - Income Distribution cum Capital Withdrawal Option (IDCW);12.6092;25-Aug-2023</v>
      </c>
      <c r="B9835" s="1"/>
    </row>
    <row r="9836">
      <c r="A9836" s="1" t="str">
        <f>IFERROR(__xludf.DUMMYFUNCTION("""COMPUTED_VALUE"""),"150676;INF200KA13P9;-;SBI Nifty Smallcap 250 Index Fund - Regular Plan - Growth;12.5430;25-Aug-2023")</f>
        <v>150676;INF200KA13P9;-;SBI Nifty Smallcap 250 Index Fund - Regular Plan - Growth;12.5430;25-Aug-2023</v>
      </c>
      <c r="B9836" s="1"/>
    </row>
    <row r="9837">
      <c r="A9837" s="1" t="str">
        <f>IFERROR(__xludf.DUMMYFUNCTION("""COMPUTED_VALUE"""),"150679;INF200KA14P7;INF200KA15P4;SBI Nifty Smallcap 250 Index Fund - Regular Plan - Income Distribution cum Capital Withdrawal Option (IDCW);12.5431;25-Aug-2023")</f>
        <v>150679;INF200KA14P7;INF200KA15P4;SBI Nifty Smallcap 250 Index Fund - Regular Plan - Income Distribution cum Capital Withdrawal Option (IDCW);12.5431;25-Aug-2023</v>
      </c>
      <c r="B9837" s="1"/>
    </row>
    <row r="9838">
      <c r="A9838" s="1" t="str">
        <f>IFERROR(__xludf.DUMMYFUNCTION("""COMPUTED_VALUE"""),"151769;INF200KA16Y4;-;SBI S&amp;P BSE Sensex Index Fund - Direct Plan - Growth;10.4415;25-Aug-2023")</f>
        <v>151769;INF200KA16Y4;-;SBI S&amp;P BSE Sensex Index Fund - Direct Plan - Growth;10.4415;25-Aug-2023</v>
      </c>
      <c r="B9838" s="1"/>
    </row>
    <row r="9839">
      <c r="A9839" s="1" t="str">
        <f>IFERROR(__xludf.DUMMYFUNCTION("""COMPUTED_VALUE"""),"151770;INF200KA17Y2;INF200KA18Y0;SBI S&amp;P BSE Sensex Index Fund - Direct Plan - IDCW;10.4415;25-Aug-2023")</f>
        <v>151770;INF200KA17Y2;INF200KA18Y0;SBI S&amp;P BSE Sensex Index Fund - Direct Plan - IDCW;10.4415;25-Aug-2023</v>
      </c>
      <c r="B9839" s="1"/>
    </row>
    <row r="9840">
      <c r="A9840" s="1" t="str">
        <f>IFERROR(__xludf.DUMMYFUNCTION("""COMPUTED_VALUE"""),"151765;INF200KA13Y1;-;SBI S&amp;P BSE Sensex Index Fund - Regular Plan - Growth;10.4350;25-Aug-2023")</f>
        <v>151765;INF200KA13Y1;-;SBI S&amp;P BSE Sensex Index Fund - Regular Plan - Growth;10.4350;25-Aug-2023</v>
      </c>
      <c r="B9840" s="1"/>
    </row>
    <row r="9841">
      <c r="A9841" s="1" t="str">
        <f>IFERROR(__xludf.DUMMYFUNCTION("""COMPUTED_VALUE"""),"151766;INF200KA14Y9;INF200KA15Y6;SBI S&amp;P BSE Sensex Index Fund - Regular Plan - IDCW;10.4350;25-Aug-2023")</f>
        <v>151766;INF200KA14Y9;INF200KA15Y6;SBI S&amp;P BSE Sensex Index Fund - Regular Plan - IDCW;10.4350;25-Aug-2023</v>
      </c>
      <c r="B9841" s="1"/>
    </row>
    <row r="9842">
      <c r="A9842" s="1"/>
      <c r="B9842" s="1"/>
    </row>
    <row r="9843">
      <c r="A9843" s="1" t="str">
        <f>IFERROR(__xludf.DUMMYFUNCTION("""COMPUTED_VALUE"""),"Sundaram Mutual Fund")</f>
        <v>Sundaram Mutual Fund</v>
      </c>
      <c r="B9843" s="1"/>
    </row>
    <row r="9844">
      <c r="A9844" s="1"/>
      <c r="B9844" s="1"/>
    </row>
    <row r="9845">
      <c r="A9845" s="1" t="str">
        <f>IFERROR(__xludf.DUMMYFUNCTION("""COMPUTED_VALUE"""),"149483;INF173K01EZ4;-;Sundaram Nifty 100 Equal Weight Fund (Formerly Known as Principal Nifty 100 Equal Weight Fund) - Direct Plan - Growth Option;125.8399;25-Aug-2023")</f>
        <v>149483;INF173K01EZ4;-;Sundaram Nifty 100 Equal Weight Fund (Formerly Known as Principal Nifty 100 Equal Weight Fund) - Direct Plan - Growth Option;125.8399;25-Aug-2023</v>
      </c>
      <c r="B9845" s="1"/>
    </row>
    <row r="9846">
      <c r="A9846" s="1" t="str">
        <f>IFERROR(__xludf.DUMMYFUNCTION("""COMPUTED_VALUE"""),"149482;INF173K01EW1;INF173K01EX9;Sundaram Nifty 100 Equal Weight Fund (Formerly Known as Principal Nifty 100 Equal Weight Fund)- Direct Plan - Income Distribution CUM Capital Withdrawal Option;68.7540;25-Aug-2023")</f>
        <v>149482;INF173K01EW1;INF173K01EX9;Sundaram Nifty 100 Equal Weight Fund (Formerly Known as Principal Nifty 100 Equal Weight Fund)- Direct Plan - Income Distribution CUM Capital Withdrawal Option;68.7540;25-Aug-2023</v>
      </c>
      <c r="B9846" s="1"/>
    </row>
    <row r="9847">
      <c r="A9847" s="1" t="str">
        <f>IFERROR(__xludf.DUMMYFUNCTION("""COMPUTED_VALUE"""),"149481;INF173K01AG2;-;Sundaram Nifty 100 Equal Weight Fund (Formerly Known as Principal Nifty 100 Equal Weight Fund)-Growth;120.5556;25-Aug-2023")</f>
        <v>149481;INF173K01AG2;-;Sundaram Nifty 100 Equal Weight Fund (Formerly Known as Principal Nifty 100 Equal Weight Fund)-Growth;120.5556;25-Aug-2023</v>
      </c>
      <c r="B9847" s="1"/>
    </row>
    <row r="9848">
      <c r="A9848" s="1" t="str">
        <f>IFERROR(__xludf.DUMMYFUNCTION("""COMPUTED_VALUE"""),"149480;INF173K01AH0;INF173K01AI8;Sundaram Nifty 100 Equal Weight Fund (Formerly Known as Principal Nifty 100 Equal Weight Fund-Income Distribution CUM Capital Withdrawal;65.8703;25-Aug-2023")</f>
        <v>149480;INF173K01AH0;INF173K01AI8;Sundaram Nifty 100 Equal Weight Fund (Formerly Known as Principal Nifty 100 Equal Weight Fund-Income Distribution CUM Capital Withdrawal;65.8703;25-Aug-2023</v>
      </c>
      <c r="B9848" s="1"/>
    </row>
    <row r="9849">
      <c r="A9849" s="1"/>
      <c r="B9849" s="1"/>
    </row>
    <row r="9850">
      <c r="A9850" s="1" t="str">
        <f>IFERROR(__xludf.DUMMYFUNCTION("""COMPUTED_VALUE"""),"Tata Mutual Fund")</f>
        <v>Tata Mutual Fund</v>
      </c>
      <c r="B9850" s="1"/>
    </row>
    <row r="9851">
      <c r="A9851" s="1"/>
      <c r="B9851" s="1"/>
    </row>
    <row r="9852">
      <c r="A9852" s="1" t="str">
        <f>IFERROR(__xludf.DUMMYFUNCTION("""COMPUTED_VALUE"""),"150692;INF277KA1554;-;TATA CRISIL-IBX GILT INDEX - APRIL 2026 INDEX FUND - DIRECT PLAN - GROWTH;10.6680;25-Aug-2023")</f>
        <v>150692;INF277KA1554;-;TATA CRISIL-IBX GILT INDEX - APRIL 2026 INDEX FUND - DIRECT PLAN - GROWTH;10.6680;25-Aug-2023</v>
      </c>
      <c r="B9852" s="1"/>
    </row>
    <row r="9853">
      <c r="A9853" s="1" t="str">
        <f>IFERROR(__xludf.DUMMYFUNCTION("""COMPUTED_VALUE"""),"150693;INF277KA1570;-;TATA CRISIL-IBX GILT INDEX - APRIL 2026 INDEX FUND - DIRECT PLAN - IDCW PAYOUT;10.6680;25-Aug-2023")</f>
        <v>150693;INF277KA1570;-;TATA CRISIL-IBX GILT INDEX - APRIL 2026 INDEX FUND - DIRECT PLAN - IDCW PAYOUT;10.6680;25-Aug-2023</v>
      </c>
      <c r="B9853" s="1"/>
    </row>
    <row r="9854">
      <c r="A9854" s="1" t="str">
        <f>IFERROR(__xludf.DUMMYFUNCTION("""COMPUTED_VALUE"""),"150697;-;INF277KA1562;TATA CRISIL-IBX GILT INDEX - APRIL 2026 INDEX FUND - DIRECT PLAN - IDCW REINVESTMENT;10.6680;25-Aug-2023")</f>
        <v>150697;-;INF277KA1562;TATA CRISIL-IBX GILT INDEX - APRIL 2026 INDEX FUND - DIRECT PLAN - IDCW REINVESTMENT;10.6680;25-Aug-2023</v>
      </c>
      <c r="B9854" s="1"/>
    </row>
    <row r="9855">
      <c r="A9855" s="1" t="str">
        <f>IFERROR(__xludf.DUMMYFUNCTION("""COMPUTED_VALUE"""),"150694;INF277KA1588;-;TATA CRISIL-IBX GILT INDEX - APRIL 2026 INDEX FUND - REGULAR PLAN - GROWTH;10.6395;25-Aug-2023")</f>
        <v>150694;INF277KA1588;-;TATA CRISIL-IBX GILT INDEX - APRIL 2026 INDEX FUND - REGULAR PLAN - GROWTH;10.6395;25-Aug-2023</v>
      </c>
      <c r="B9855" s="1"/>
    </row>
    <row r="9856">
      <c r="A9856" s="1" t="str">
        <f>IFERROR(__xludf.DUMMYFUNCTION("""COMPUTED_VALUE"""),"150695;INF277KA1604;-;TATA CRISIL-IBX GILT INDEX - APRIL 2026 INDEX FUND - REGULAR PLAN - IDCW PAYOUT;10.6395;25-Aug-2023")</f>
        <v>150695;INF277KA1604;-;TATA CRISIL-IBX GILT INDEX - APRIL 2026 INDEX FUND - REGULAR PLAN - IDCW PAYOUT;10.6395;25-Aug-2023</v>
      </c>
      <c r="B9856" s="1"/>
    </row>
    <row r="9857">
      <c r="A9857" s="1" t="str">
        <f>IFERROR(__xludf.DUMMYFUNCTION("""COMPUTED_VALUE"""),"150696;-;INF277KA1596;TATA CRISIL-IBX GILT INDEX - APRIL 2026 INDEX FUND - REGULAR PLAN - IDCW REINVESTMENT;10.6395;25-Aug-2023")</f>
        <v>150696;-;INF277KA1596;TATA CRISIL-IBX GILT INDEX - APRIL 2026 INDEX FUND - REGULAR PLAN - IDCW REINVESTMENT;10.6395;25-Aug-2023</v>
      </c>
      <c r="B9857" s="1"/>
    </row>
    <row r="9858">
      <c r="A9858" s="1" t="str">
        <f>IFERROR(__xludf.DUMMYFUNCTION("""COMPUTED_VALUE"""),"119288;INF277K01PJ3;-;Tata Nifty 50 Index Fund -Direct Plan;127.8638;25-Aug-2023")</f>
        <v>119288;INF277K01PJ3;-;Tata Nifty 50 Index Fund -Direct Plan;127.8638;25-Aug-2023</v>
      </c>
      <c r="B9858" s="1"/>
    </row>
    <row r="9859">
      <c r="A9859" s="1" t="str">
        <f>IFERROR(__xludf.DUMMYFUNCTION("""COMPUTED_VALUE"""),"101659;INF277K01741;-;Tata Nifty 50 Index Fund -Regular Plan;118.6183;25-Aug-2023")</f>
        <v>101659;INF277K01741;-;Tata Nifty 50 Index Fund -Regular Plan;118.6183;25-Aug-2023</v>
      </c>
      <c r="B9859" s="1"/>
    </row>
    <row r="9860">
      <c r="A9860" s="1" t="str">
        <f>IFERROR(__xludf.DUMMYFUNCTION("""COMPUTED_VALUE"""),"151301;INF277KA1794;-;Tata Nifty G Sec Dec 2026 Index Fund-Direct Plan-Growth;10.4124;25-Aug-2023")</f>
        <v>151301;INF277KA1794;-;Tata Nifty G Sec Dec 2026 Index Fund-Direct Plan-Growth;10.4124;25-Aug-2023</v>
      </c>
      <c r="B9860" s="1"/>
    </row>
    <row r="9861">
      <c r="A9861" s="1" t="str">
        <f>IFERROR(__xludf.DUMMYFUNCTION("""COMPUTED_VALUE"""),"151302;INF277KA1810;-;Tata Nifty G Sec Dec 2026 Index Fund-Direct Plan-IDCW Payout;10.4124;25-Aug-2023")</f>
        <v>151302;INF277KA1810;-;Tata Nifty G Sec Dec 2026 Index Fund-Direct Plan-IDCW Payout;10.4124;25-Aug-2023</v>
      </c>
      <c r="B9861" s="1"/>
    </row>
    <row r="9862">
      <c r="A9862" s="1" t="str">
        <f>IFERROR(__xludf.DUMMYFUNCTION("""COMPUTED_VALUE"""),"151305;-;INF277KA1802;Tata Nifty G Sec Dec 2026 Index Fund-Direct Plan-IDCW Reinvestment;10.4124;25-Aug-2023")</f>
        <v>151305;-;INF277KA1802;Tata Nifty G Sec Dec 2026 Index Fund-Direct Plan-IDCW Reinvestment;10.4124;25-Aug-2023</v>
      </c>
      <c r="B9862" s="1"/>
    </row>
    <row r="9863">
      <c r="A9863" s="1" t="str">
        <f>IFERROR(__xludf.DUMMYFUNCTION("""COMPUTED_VALUE"""),"151306;INF277KA1828;-;Tata Nifty G Sec Dec 2026 Index Fund-Regular Plan-Growth;10.3851;25-Aug-2023")</f>
        <v>151306;INF277KA1828;-;Tata Nifty G Sec Dec 2026 Index Fund-Regular Plan-Growth;10.3851;25-Aug-2023</v>
      </c>
      <c r="B9863" s="1"/>
    </row>
    <row r="9864">
      <c r="A9864" s="1" t="str">
        <f>IFERROR(__xludf.DUMMYFUNCTION("""COMPUTED_VALUE"""),"151304;INF277KA1844;-;Tata Nifty G Sec Dec 2026 Index Fund-Regular Plan-IDCW Payout;10.3851;25-Aug-2023")</f>
        <v>151304;INF277KA1844;-;Tata Nifty G Sec Dec 2026 Index Fund-Regular Plan-IDCW Payout;10.3851;25-Aug-2023</v>
      </c>
      <c r="B9864" s="1"/>
    </row>
    <row r="9865">
      <c r="A9865" s="1" t="str">
        <f>IFERROR(__xludf.DUMMYFUNCTION("""COMPUTED_VALUE"""),"151303;-;INF277KA1836;Tata Nifty G SEc Dec 2026 Index Fund-Regular Plan-IDCW Reinvestment;10.3851;25-Aug-2023")</f>
        <v>151303;-;INF277KA1836;Tata Nifty G SEc Dec 2026 Index Fund-Regular Plan-IDCW Reinvestment;10.3851;25-Aug-2023</v>
      </c>
      <c r="B9865" s="1"/>
    </row>
    <row r="9866">
      <c r="A9866" s="1" t="str">
        <f>IFERROR(__xludf.DUMMYFUNCTION("""COMPUTED_VALUE"""),"151273;INF277KA1737;-;Tata Nifty G-Sec Dec 2029 Index Fund - Direct Plan - Growth;10.4617;25-Aug-2023")</f>
        <v>151273;INF277KA1737;-;Tata Nifty G-Sec Dec 2029 Index Fund - Direct Plan - Growth;10.4617;25-Aug-2023</v>
      </c>
      <c r="B9866" s="1"/>
    </row>
    <row r="9867">
      <c r="A9867" s="1" t="str">
        <f>IFERROR(__xludf.DUMMYFUNCTION("""COMPUTED_VALUE"""),"151274;INF277KA1752;-;Tata Nifty G-Sec Dec 2029 Index Fund - Direct Plan - IDCW Payout;10.4617;25-Aug-2023")</f>
        <v>151274;INF277KA1752;-;Tata Nifty G-Sec Dec 2029 Index Fund - Direct Plan - IDCW Payout;10.4617;25-Aug-2023</v>
      </c>
      <c r="B9867" s="1"/>
    </row>
    <row r="9868">
      <c r="A9868" s="1" t="str">
        <f>IFERROR(__xludf.DUMMYFUNCTION("""COMPUTED_VALUE"""),"151278;-;INF277KA1745;Tata Nifty G-Sec Dec 2029 Index Fund - Direct Plan - IDCW Reinvestment;10.4617;25-Aug-2023")</f>
        <v>151278;-;INF277KA1745;Tata Nifty G-Sec Dec 2029 Index Fund - Direct Plan - IDCW Reinvestment;10.4617;25-Aug-2023</v>
      </c>
      <c r="B9868" s="1"/>
    </row>
    <row r="9869">
      <c r="A9869" s="1" t="str">
        <f>IFERROR(__xludf.DUMMYFUNCTION("""COMPUTED_VALUE"""),"151275;INF277KA1760;-;Tata Nifty G-Sec Dec 2029 Index Fund - Regular Plan - Growth;10.4339;25-Aug-2023")</f>
        <v>151275;INF277KA1760;-;Tata Nifty G-Sec Dec 2029 Index Fund - Regular Plan - Growth;10.4339;25-Aug-2023</v>
      </c>
      <c r="B9869" s="1"/>
    </row>
    <row r="9870">
      <c r="A9870" s="1" t="str">
        <f>IFERROR(__xludf.DUMMYFUNCTION("""COMPUTED_VALUE"""),"151277;INF277KA1786;-;Tata Nifty G-Sec Dec 2029 Index Fund - Regular Plan - IDCW Payout;10.4339;25-Aug-2023")</f>
        <v>151277;INF277KA1786;-;Tata Nifty G-Sec Dec 2029 Index Fund - Regular Plan - IDCW Payout;10.4339;25-Aug-2023</v>
      </c>
      <c r="B9870" s="1"/>
    </row>
    <row r="9871">
      <c r="A9871" s="1" t="str">
        <f>IFERROR(__xludf.DUMMYFUNCTION("""COMPUTED_VALUE"""),"151276;-;INF277KA1778;Tata Nifty G-Sec Dec 2029 Index Fund - Regular Plan - IDCW Reinvestment;10.4339;25-Aug-2023")</f>
        <v>151276;-;INF277KA1778;Tata Nifty G-Sec Dec 2029 Index Fund - Regular Plan - IDCW Reinvestment;10.4339;25-Aug-2023</v>
      </c>
      <c r="B9871" s="1"/>
    </row>
    <row r="9872">
      <c r="A9872" s="1" t="str">
        <f>IFERROR(__xludf.DUMMYFUNCTION("""COMPUTED_VALUE"""),"150738;INF277KA1612;-;Tata Nifty Midcap 150 Momentum 50 Index Fund - Growth - Direct Plan;11.8002;25-Aug-2023")</f>
        <v>150738;INF277KA1612;-;Tata Nifty Midcap 150 Momentum 50 Index Fund - Growth - Direct Plan;11.8002;25-Aug-2023</v>
      </c>
      <c r="B9872" s="1"/>
    </row>
    <row r="9873">
      <c r="A9873" s="1" t="str">
        <f>IFERROR(__xludf.DUMMYFUNCTION("""COMPUTED_VALUE"""),"150741;INF277KA1646;-;Tata Nifty Midcap 150 Momentum 50 Index Fund - Growth - Regular Plan;11.7095;25-Aug-2023")</f>
        <v>150741;INF277KA1646;-;Tata Nifty Midcap 150 Momentum 50 Index Fund - Growth - Regular Plan;11.7095;25-Aug-2023</v>
      </c>
      <c r="B9873" s="1"/>
    </row>
    <row r="9874">
      <c r="A9874" s="1" t="str">
        <f>IFERROR(__xludf.DUMMYFUNCTION("""COMPUTED_VALUE"""),"150740;INF277KA1638;-;Tata Nifty Midcap 150 Momentum 50 Index Fund - IDCW Payout - Direct Plan;11.8002;25-Aug-2023")</f>
        <v>150740;INF277KA1638;-;Tata Nifty Midcap 150 Momentum 50 Index Fund - IDCW Payout - Direct Plan;11.8002;25-Aug-2023</v>
      </c>
      <c r="B9874" s="1"/>
    </row>
    <row r="9875">
      <c r="A9875" s="1" t="str">
        <f>IFERROR(__xludf.DUMMYFUNCTION("""COMPUTED_VALUE"""),"150742;INF277KA1661;-;Tata Nifty Midcap 150 Momentum 50 Index Fund - IDCW Payout - Regular Plan;11.7095;25-Aug-2023")</f>
        <v>150742;INF277KA1661;-;Tata Nifty Midcap 150 Momentum 50 Index Fund - IDCW Payout - Regular Plan;11.7095;25-Aug-2023</v>
      </c>
      <c r="B9875" s="1"/>
    </row>
    <row r="9876">
      <c r="A9876" s="1" t="str">
        <f>IFERROR(__xludf.DUMMYFUNCTION("""COMPUTED_VALUE"""),"150739;-;INF277KA1620;Tata Nifty Midcap 150 Momentum 50 Index Fund - IDCW Reinvestment - Direct Plan;11.8002;25-Aug-2023")</f>
        <v>150739;-;INF277KA1620;Tata Nifty Midcap 150 Momentum 50 Index Fund - IDCW Reinvestment - Direct Plan;11.8002;25-Aug-2023</v>
      </c>
      <c r="B9876" s="1"/>
    </row>
    <row r="9877">
      <c r="A9877" s="1" t="str">
        <f>IFERROR(__xludf.DUMMYFUNCTION("""COMPUTED_VALUE"""),"150743;-;INF277KA1653;Tata Nifty Midcap 150 Momentum 50 Index Fund - IDCW Reinvestment - Regular Plan;11.7095;25-Aug-2023")</f>
        <v>150743;-;INF277KA1653;Tata Nifty Midcap 150 Momentum 50 Index Fund - IDCW Reinvestment - Regular Plan;11.7095;25-Aug-2023</v>
      </c>
      <c r="B9877" s="1"/>
    </row>
    <row r="9878">
      <c r="A9878" s="1" t="str">
        <f>IFERROR(__xludf.DUMMYFUNCTION("""COMPUTED_VALUE"""),"150331;INF277KA1414;-;Tata Nifty SDL Plus AAA PSU Bond Dec 6040 Index Fund -Regular Plan-IDCW Payout;10.7109;25-Aug-2023")</f>
        <v>150331;INF277KA1414;-;Tata Nifty SDL Plus AAA PSU Bond Dec 6040 Index Fund -Regular Plan-IDCW Payout;10.7109;25-Aug-2023</v>
      </c>
      <c r="B9878" s="1"/>
    </row>
    <row r="9879">
      <c r="A9879" s="1" t="str">
        <f>IFERROR(__xludf.DUMMYFUNCTION("""COMPUTED_VALUE"""),"150326;INF277KA1372;-;Tata Nifty SDL Plus AAA PSU Bond Dec 6040 Index Fund- Direct Plan-Growth;10.7585;25-Aug-2023")</f>
        <v>150326;INF277KA1372;-;Tata Nifty SDL Plus AAA PSU Bond Dec 6040 Index Fund- Direct Plan-Growth;10.7585;25-Aug-2023</v>
      </c>
      <c r="B9879" s="1"/>
    </row>
    <row r="9880">
      <c r="A9880" s="1" t="str">
        <f>IFERROR(__xludf.DUMMYFUNCTION("""COMPUTED_VALUE"""),"150328;-;INF277KA1398;Tata Nifty SDL Plus AAA PSU Bond Dec 6040 Index Fund-Direct Plan- IDCW Reinvestment;10.7585;25-Aug-2023")</f>
        <v>150328;-;INF277KA1398;Tata Nifty SDL Plus AAA PSU Bond Dec 6040 Index Fund-Direct Plan- IDCW Reinvestment;10.7585;25-Aug-2023</v>
      </c>
      <c r="B9880" s="1"/>
    </row>
    <row r="9881">
      <c r="A9881" s="1" t="str">
        <f>IFERROR(__xludf.DUMMYFUNCTION("""COMPUTED_VALUE"""),"150327;INF277KA1380;-;Tata Nifty SDL Plus AAA PSU Bond Dec 6040 Index Fund-Direct Plan-IDCW Payout;10.7585;25-Aug-2023")</f>
        <v>150327;INF277KA1380;-;Tata Nifty SDL Plus AAA PSU Bond Dec 6040 Index Fund-Direct Plan-IDCW Payout;10.7585;25-Aug-2023</v>
      </c>
      <c r="B9881" s="1"/>
    </row>
    <row r="9882">
      <c r="A9882" s="1" t="str">
        <f>IFERROR(__xludf.DUMMYFUNCTION("""COMPUTED_VALUE"""),"150330;INF277KA1406;-;Tata Nifty SDL Plus AAA PSU Bond Dec 6040 Index Fund-Regular Plan -Growth;10.7109;25-Aug-2023")</f>
        <v>150330;INF277KA1406;-;Tata Nifty SDL Plus AAA PSU Bond Dec 6040 Index Fund-Regular Plan -Growth;10.7109;25-Aug-2023</v>
      </c>
      <c r="B9882" s="1"/>
    </row>
    <row r="9883">
      <c r="A9883" s="1" t="str">
        <f>IFERROR(__xludf.DUMMYFUNCTION("""COMPUTED_VALUE"""),"150329;-;INF277KA1422;Tata Nifty SDL Plus AAA PSU Bond Dec 6040 Index Fund-Regular Plan- IDCW Reinvestment;10.7109;25-Aug-2023")</f>
        <v>150329;-;INF277KA1422;Tata Nifty SDL Plus AAA PSU Bond Dec 6040 Index Fund-Regular Plan- IDCW Reinvestment;10.7109;25-Aug-2023</v>
      </c>
      <c r="B9883" s="1"/>
    </row>
    <row r="9884">
      <c r="A9884" s="1" t="str">
        <f>IFERROR(__xludf.DUMMYFUNCTION("""COMPUTED_VALUE"""),"119287;INF277K01PK1;-;Tata S&amp;P BSE Sensex Index Fund - Direct Plan;169.7224;25-Aug-2023")</f>
        <v>119287;INF277K01PK1;-;Tata S&amp;P BSE Sensex Index Fund - Direct Plan;169.7224;25-Aug-2023</v>
      </c>
      <c r="B9884" s="1"/>
    </row>
    <row r="9885">
      <c r="A9885" s="1" t="str">
        <f>IFERROR(__xludf.DUMMYFUNCTION("""COMPUTED_VALUE"""),"101746;INF277K01758;-;Tata S&amp;P BSE Sensex Index Fund -Regular Plan;161.2987;25-Aug-2023")</f>
        <v>101746;INF277K01758;-;Tata S&amp;P BSE Sensex Index Fund -Regular Plan;161.2987;25-Aug-2023</v>
      </c>
      <c r="B9885" s="1"/>
    </row>
    <row r="9886">
      <c r="A9886" s="1"/>
      <c r="B9886" s="1"/>
    </row>
    <row r="9887">
      <c r="A9887" s="1" t="str">
        <f>IFERROR(__xludf.DUMMYFUNCTION("""COMPUTED_VALUE"""),"Taurus Mutual Fund")</f>
        <v>Taurus Mutual Fund</v>
      </c>
      <c r="B9887" s="1"/>
    </row>
    <row r="9888">
      <c r="A9888" s="1"/>
      <c r="B9888" s="1"/>
    </row>
    <row r="9889">
      <c r="A9889" s="1" t="str">
        <f>IFERROR(__xludf.DUMMYFUNCTION("""COMPUTED_VALUE"""),"118881;INF044D01CQ5;-;Taurus Nifty 50 Index Fund - Direct Plan - Growth;38.9949;25-Aug-2023")</f>
        <v>118881;INF044D01CQ5;-;Taurus Nifty 50 Index Fund - Direct Plan - Growth;38.9949;25-Aug-2023</v>
      </c>
      <c r="B9889" s="1"/>
    </row>
    <row r="9890">
      <c r="A9890" s="1" t="str">
        <f>IFERROR(__xludf.DUMMYFUNCTION("""COMPUTED_VALUE"""),"118882;INF044D01CR3;INF044D01CS1;Taurus Nifty 50 Index Fund - Direct Plan - Payout of Income Distribution cum Capital Withdrawal option;36.4947;25-Aug-2023")</f>
        <v>118882;INF044D01CR3;INF044D01CS1;Taurus Nifty 50 Index Fund - Direct Plan - Payout of Income Distribution cum Capital Withdrawal option;36.4947;25-Aug-2023</v>
      </c>
      <c r="B9890" s="1"/>
    </row>
    <row r="9891">
      <c r="A9891" s="1" t="str">
        <f>IFERROR(__xludf.DUMMYFUNCTION("""COMPUTED_VALUE"""),"112948;INF044D01948;-;Taurus Nifty 50 Index Fund - Regular Plan - Growth;36.7663;25-Aug-2023")</f>
        <v>112948;INF044D01948;-;Taurus Nifty 50 Index Fund - Regular Plan - Growth;36.7663;25-Aug-2023</v>
      </c>
      <c r="B9891" s="1"/>
    </row>
    <row r="9892">
      <c r="A9892" s="1" t="str">
        <f>IFERROR(__xludf.DUMMYFUNCTION("""COMPUTED_VALUE"""),"112949;INF044D01914;INF044D01922;Taurus Nifty 50 Index Fund - Regular Plan - Payout of Income Distribution cum Capital Withdrawal option;23.4346;25-Aug-2023")</f>
        <v>112949;INF044D01914;INF044D01922;Taurus Nifty 50 Index Fund - Regular Plan - Payout of Income Distribution cum Capital Withdrawal option;23.4346;25-Aug-2023</v>
      </c>
      <c r="B9892" s="1"/>
    </row>
    <row r="9893">
      <c r="A9893" s="1"/>
      <c r="B9893" s="1"/>
    </row>
    <row r="9894">
      <c r="A9894" s="1" t="str">
        <f>IFERROR(__xludf.DUMMYFUNCTION("""COMPUTED_VALUE"""),"UTI Mutual Fund")</f>
        <v>UTI Mutual Fund</v>
      </c>
      <c r="B9894" s="1"/>
    </row>
    <row r="9895">
      <c r="A9895" s="1"/>
      <c r="B9895" s="1"/>
    </row>
    <row r="9896">
      <c r="A9896" s="1" t="str">
        <f>IFERROR(__xludf.DUMMYFUNCTION("""COMPUTED_VALUE"""),"143341;INF789FC12T1;-;UTI Nifty Next 50 Index Fund - Direct Plan - Growth Option;16.1456;25-Aug-2023")</f>
        <v>143341;INF789FC12T1;-;UTI Nifty Next 50 Index Fund - Direct Plan - Growth Option;16.1456;25-Aug-2023</v>
      </c>
      <c r="B9896" s="1"/>
    </row>
    <row r="9897">
      <c r="A9897" s="1" t="str">
        <f>IFERROR(__xludf.DUMMYFUNCTION("""COMPUTED_VALUE"""),"143340;INF789FC11T3;-;UTI Nifty Next 50 Index Fund - Regular Plan - Growth Option;15.7101;25-Aug-2023")</f>
        <v>143340;INF789FC11T3;-;UTI Nifty Next 50 Index Fund - Regular Plan - Growth Option;15.7101;25-Aug-2023</v>
      </c>
      <c r="B9897" s="1"/>
    </row>
    <row r="9898">
      <c r="A9898" s="1" t="str">
        <f>IFERROR(__xludf.DUMMYFUNCTION("""COMPUTED_VALUE"""),"151185;INF789F1AWX3;-;UTI CRISIL SDL Maturity April 2033 Index Fund - Direct Plan - Growth Option;10.5657;25-Aug-2023")</f>
        <v>151185;INF789F1AWX3;-;UTI CRISIL SDL Maturity April 2033 Index Fund - Direct Plan - Growth Option;10.5657;25-Aug-2023</v>
      </c>
      <c r="B9898" s="1"/>
    </row>
    <row r="9899">
      <c r="A9899" s="1" t="str">
        <f>IFERROR(__xludf.DUMMYFUNCTION("""COMPUTED_VALUE"""),"151184;INF789F1AWW5;-;UTI CRISIL SDL Maturity April 2033 Index Fund - Regular Plan - Growth Option;10.5469;25-Aug-2023")</f>
        <v>151184;INF789F1AWW5;-;UTI CRISIL SDL Maturity April 2033 Index Fund - Regular Plan - Growth Option;10.5469;25-Aug-2023</v>
      </c>
      <c r="B9899" s="1"/>
    </row>
    <row r="9900">
      <c r="A9900" s="1" t="str">
        <f>IFERROR(__xludf.DUMMYFUNCTION("""COMPUTED_VALUE"""),"151239;INF789F1AWZ8;-;UTI CRISIL SDL Maturity June 2027 Index Fund - Direct Plan - Growth Option;10.4391;25-Aug-2023")</f>
        <v>151239;INF789F1AWZ8;-;UTI CRISIL SDL Maturity June 2027 Index Fund - Direct Plan - Growth Option;10.4391;25-Aug-2023</v>
      </c>
      <c r="B9900" s="1"/>
    </row>
    <row r="9901">
      <c r="A9901" s="1" t="str">
        <f>IFERROR(__xludf.DUMMYFUNCTION("""COMPUTED_VALUE"""),"151238;INF789F1AWY1;-;UTI CRISIL SDL Maturity June 2027 Index Fund - Regular Plan - Growth Option;10.4225;25-Aug-2023")</f>
        <v>151238;INF789F1AWY1;-;UTI CRISIL SDL Maturity June 2027 Index Fund - Regular Plan - Growth Option;10.4225;25-Aug-2023</v>
      </c>
      <c r="B9901" s="1"/>
    </row>
    <row r="9902">
      <c r="A9902" s="1" t="str">
        <f>IFERROR(__xludf.DUMMYFUNCTION("""COMPUTED_VALUE"""),"148703;INF789F1AUT5;-;UTI Nifty 200 Momentum 30 Index Fund - Direct Plan - Growth Option;15.0544;25-Aug-2023")</f>
        <v>148703;INF789F1AUT5;-;UTI Nifty 200 Momentum 30 Index Fund - Direct Plan - Growth Option;15.0544;25-Aug-2023</v>
      </c>
      <c r="B9902" s="1"/>
    </row>
    <row r="9903">
      <c r="A9903" s="1" t="str">
        <f>IFERROR(__xludf.DUMMYFUNCTION("""COMPUTED_VALUE"""),"148704;INF789F1AUS7;-;UTI Nifty 200 Momentum 30 Index Fund - Regular Plan - Growth Option;14.8668;25-Aug-2023")</f>
        <v>148704;INF789F1AUS7;-;UTI Nifty 200 Momentum 30 Index Fund - Regular Plan - Growth Option;14.8668;25-Aug-2023</v>
      </c>
      <c r="B9903" s="1"/>
    </row>
    <row r="9904">
      <c r="A9904" s="1" t="str">
        <f>IFERROR(__xludf.DUMMYFUNCTION("""COMPUTED_VALUE"""),"120717;INF789F01WY2;INF789F01WZ9;UTI Nifty 50 Index Fund - Direct Plan - IDCW;66.4448;25-Aug-2023")</f>
        <v>120717;INF789F01WY2;INF789F01WZ9;UTI Nifty 50 Index Fund - Direct Plan - IDCW;66.4448;25-Aug-2023</v>
      </c>
      <c r="B9904" s="1"/>
    </row>
    <row r="9905">
      <c r="A9905" s="1" t="str">
        <f>IFERROR(__xludf.DUMMYFUNCTION("""COMPUTED_VALUE"""),"120716;INF789F01XA0;-;UTI Nifty 50 Index Fund - Growth Option- Direct;131.8835;25-Aug-2023")</f>
        <v>120716;INF789F01XA0;-;UTI Nifty 50 Index Fund - Growth Option- Direct;131.8835;25-Aug-2023</v>
      </c>
      <c r="B9905" s="1"/>
    </row>
    <row r="9906">
      <c r="A9906" s="1" t="str">
        <f>IFERROR(__xludf.DUMMYFUNCTION("""COMPUTED_VALUE"""),"100822;INF789F01JN2;-;UTI Nifty 50 Index Fund - Regular Plan - Growth Option;130.3687;25-Aug-2023")</f>
        <v>100822;INF789F01JN2;-;UTI Nifty 50 Index Fund - Regular Plan - Growth Option;130.3687;25-Aug-2023</v>
      </c>
      <c r="B9906" s="1"/>
    </row>
    <row r="9907">
      <c r="A9907" s="1" t="str">
        <f>IFERROR(__xludf.DUMMYFUNCTION("""COMPUTED_VALUE"""),"100823;INF789F01JL6;INF789F01JM4;UTI Nifty 50 Index Fund - Regular Plan - IDCW;65.6795;25-Aug-2023")</f>
        <v>100823;INF789F01JL6;INF789F01JM4;UTI Nifty 50 Index Fund - Regular Plan - IDCW;65.6795;25-Aug-2023</v>
      </c>
      <c r="B9907" s="1"/>
    </row>
    <row r="9908">
      <c r="A9908" s="1" t="str">
        <f>IFERROR(__xludf.DUMMYFUNCTION("""COMPUTED_VALUE"""),"151739;-;-;UTI Nifty 500 Value 50 Index Fund - Direct Plan - Growth Option;11.3119;25-Aug-2023")</f>
        <v>151739;-;-;UTI Nifty 500 Value 50 Index Fund - Direct Plan - Growth Option;11.3119;25-Aug-2023</v>
      </c>
      <c r="B9908" s="1"/>
    </row>
    <row r="9909">
      <c r="A9909" s="1" t="str">
        <f>IFERROR(__xludf.DUMMYFUNCTION("""COMPUTED_VALUE"""),"151738;-;-;UTI Nifty 500 Value 50 Index Fund - Regular Plan - Growth Option;11.2935;25-Aug-2023")</f>
        <v>151738;-;-;UTI Nifty 500 Value 50 Index Fund - Regular Plan - Growth Option;11.2935;25-Aug-2023</v>
      </c>
      <c r="B9909" s="1"/>
    </row>
    <row r="9910">
      <c r="A9910" s="1" t="str">
        <f>IFERROR(__xludf.DUMMYFUNCTION("""COMPUTED_VALUE"""),"150313;INF789F1AVH8;-;UTI Nifty Midcap 150 Quality 50 Index Fund - Direct Plan - Growth Option;10.8711;25-Aug-2023")</f>
        <v>150313;INF789F1AVH8;-;UTI Nifty Midcap 150 Quality 50 Index Fund - Direct Plan - Growth Option;10.8711;25-Aug-2023</v>
      </c>
      <c r="B9910" s="1"/>
    </row>
    <row r="9911">
      <c r="A9911" s="1" t="str">
        <f>IFERROR(__xludf.DUMMYFUNCTION("""COMPUTED_VALUE"""),"150312;INF789F1AVG0;-;UTI Nifty Midcap 150 Quality 50 Index Fund - Regular Plan - Growth Option;10.8012;25-Aug-2023")</f>
        <v>150312;INF789F1AVG0;-;UTI Nifty Midcap 150 Quality 50 Index Fund - Regular Plan - Growth Option;10.8012;25-Aug-2023</v>
      </c>
      <c r="B9911" s="1"/>
    </row>
    <row r="9912">
      <c r="A9912" s="1" t="str">
        <f>IFERROR(__xludf.DUMMYFUNCTION("""COMPUTED_VALUE"""),"151364;INF789F1AXL6;-;UTI NIFTY SDL Plus AAA PSU Bond Apr 2026 75:25 Index Fund - Direct Plan - Growth Option;10.399;25-Aug-2023")</f>
        <v>151364;INF789F1AXL6;-;UTI NIFTY SDL Plus AAA PSU Bond Apr 2026 75:25 Index Fund - Direct Plan - Growth Option;10.399;25-Aug-2023</v>
      </c>
      <c r="B9912" s="1"/>
    </row>
    <row r="9913">
      <c r="A9913" s="1" t="str">
        <f>IFERROR(__xludf.DUMMYFUNCTION("""COMPUTED_VALUE"""),"151363;INF789F1AXK8;-;UTI NIFTY SDL Plus AAA PSU Bond Apr 2026 75:25 Index Fund - Regular Plan - Growth Option;10.3842;25-Aug-2023")</f>
        <v>151363;INF789F1AXK8;-;UTI NIFTY SDL Plus AAA PSU Bond Apr 2026 75:25 Index Fund - Regular Plan - Growth Option;10.3842;25-Aug-2023</v>
      </c>
      <c r="B9913" s="1"/>
    </row>
    <row r="9914">
      <c r="A9914" s="1" t="str">
        <f>IFERROR(__xludf.DUMMYFUNCTION("""COMPUTED_VALUE"""),"151487;INF789F1AXR3;-;UTI NIFTY SDL Plus AAA PSU Bond Apr 2028- 75:25 Index Fund - Direct Plan - Growth Option;10.412;25-Aug-2023")</f>
        <v>151487;INF789F1AXR3;-;UTI NIFTY SDL Plus AAA PSU Bond Apr 2028- 75:25 Index Fund - Direct Plan - Growth Option;10.412;25-Aug-2023</v>
      </c>
      <c r="B9914" s="1"/>
    </row>
    <row r="9915">
      <c r="A9915" s="1" t="str">
        <f>IFERROR(__xludf.DUMMYFUNCTION("""COMPUTED_VALUE"""),"151488;INF789F1AXQ5;-;UTI NIFTY SDL Plus AAA PSU Bond Apr 2028- 75:25 Index Fund - Regular Plan - Growth Option;10.3995;25-Aug-2023")</f>
        <v>151488;INF789F1AXQ5;-;UTI NIFTY SDL Plus AAA PSU Bond Apr 2028- 75:25 Index Fund - Regular Plan - Growth Option;10.3995;25-Aug-2023</v>
      </c>
      <c r="B9915" s="1"/>
    </row>
    <row r="9916">
      <c r="A9916" s="1" t="str">
        <f>IFERROR(__xludf.DUMMYFUNCTION("""COMPUTED_VALUE"""),"151762;INF789F1AYP5;-;UTI Nifty50 Equal Weight Index Fund - Direct Plan - Growth Option;10.3788;25-Aug-2023")</f>
        <v>151762;INF789F1AYP5;-;UTI Nifty50 Equal Weight Index Fund - Direct Plan - Growth Option;10.3788;25-Aug-2023</v>
      </c>
      <c r="B9916" s="1"/>
    </row>
    <row r="9917">
      <c r="A9917" s="1" t="str">
        <f>IFERROR(__xludf.DUMMYFUNCTION("""COMPUTED_VALUE"""),"151761;INF789F1AYQ3;-;UTI Nifty50 Equal Weight Index Fund - Regular Plan - Growth Option;10.3663;25-Aug-2023")</f>
        <v>151761;INF789F1AYQ3;-;UTI Nifty50 Equal Weight Index Fund - Regular Plan - Growth Option;10.3663;25-Aug-2023</v>
      </c>
      <c r="B9917" s="1"/>
    </row>
    <row r="9918">
      <c r="A9918" s="1" t="str">
        <f>IFERROR(__xludf.DUMMYFUNCTION("""COMPUTED_VALUE"""),"151764;INF789F1AYR1;-;UTI S&amp;P BSE Housing Index Fund - Direct Plan - Growth Option;10.6727;25-Aug-2023")</f>
        <v>151764;INF789F1AYR1;-;UTI S&amp;P BSE Housing Index Fund - Direct Plan - Growth Option;10.6727;25-Aug-2023</v>
      </c>
      <c r="B9918" s="1"/>
    </row>
    <row r="9919">
      <c r="A9919" s="1" t="str">
        <f>IFERROR(__xludf.DUMMYFUNCTION("""COMPUTED_VALUE"""),"151763;INF789F1AYS9;-;UTI S&amp;P BSE Housing Index Fund - Regular Plan - Growth Option;10.6599;25-Aug-2023")</f>
        <v>151763;INF789F1AYS9;-;UTI S&amp;P BSE Housing Index Fund - Regular Plan - Growth Option;10.6599;25-Aug-2023</v>
      </c>
      <c r="B9919" s="1"/>
    </row>
    <row r="9920">
      <c r="A9920" s="1" t="str">
        <f>IFERROR(__xludf.DUMMYFUNCTION("""COMPUTED_VALUE"""),"149881;INF789F1AVF2;-;UTI S&amp;P BSE Low Volatility Index Fund - Direct Plan  - Growth Option;12.6179;25-Aug-2023")</f>
        <v>149881;INF789F1AVF2;-;UTI S&amp;P BSE Low Volatility Index Fund - Direct Plan  - Growth Option;12.6179;25-Aug-2023</v>
      </c>
      <c r="B9920" s="1"/>
    </row>
    <row r="9921">
      <c r="A9921" s="1" t="str">
        <f>IFERROR(__xludf.DUMMYFUNCTION("""COMPUTED_VALUE"""),"149880;INF789F1AVE5;-;UTI S&amp;P BSE Low Volatility Index Fund - Regular Plan - Growth Option;12.5307;25-Aug-2023")</f>
        <v>149880;INF789F1AVE5;-;UTI S&amp;P BSE Low Volatility Index Fund - Regular Plan - Growth Option;12.5307;25-Aug-2023</v>
      </c>
      <c r="B9921" s="1"/>
    </row>
    <row r="9922">
      <c r="A9922" s="1" t="str">
        <f>IFERROR(__xludf.DUMMYFUNCTION("""COMPUTED_VALUE"""),"149803;INF789F1AVD7;-;UTI S&amp;P BSE Sensex Index Fund - Direct Plan - Growth Option;11.4227;25-Aug-2023")</f>
        <v>149803;INF789F1AVD7;-;UTI S&amp;P BSE Sensex Index Fund - Direct Plan - Growth Option;11.4227;25-Aug-2023</v>
      </c>
      <c r="B9922" s="1"/>
    </row>
    <row r="9923">
      <c r="A9923" s="1" t="str">
        <f>IFERROR(__xludf.DUMMYFUNCTION("""COMPUTED_VALUE"""),"149802;INF789F1AVC9;-;UTI S&amp;P BSE Sensex Index Fund - Regular Plan  -Growth Option;11.4049;25-Aug-2023")</f>
        <v>149802;INF789F1AVC9;-;UTI S&amp;P BSE Sensex Index Fund - Regular Plan  -Growth Option;11.4049;25-Aug-2023</v>
      </c>
      <c r="B9923" s="1"/>
    </row>
    <row r="9924">
      <c r="A9924" s="1"/>
      <c r="B9924" s="1"/>
    </row>
    <row r="9925">
      <c r="A9925" s="1" t="str">
        <f>IFERROR(__xludf.DUMMYFUNCTION("""COMPUTED_VALUE"""),"Open Ended Schemes(Other Scheme - Other  ETFs)")</f>
        <v>Open Ended Schemes(Other Scheme - Other  ETFs)</v>
      </c>
      <c r="B9925" s="1"/>
    </row>
    <row r="9926">
      <c r="A9926" s="1"/>
      <c r="B9926" s="1"/>
    </row>
    <row r="9927">
      <c r="A9927" s="1" t="str">
        <f>IFERROR(__xludf.DUMMYFUNCTION("""COMPUTED_VALUE"""),"Aditya Birla Sun Life Mutual Fund")</f>
        <v>Aditya Birla Sun Life Mutual Fund</v>
      </c>
      <c r="B9927" s="1"/>
    </row>
    <row r="9928">
      <c r="A9928" s="1"/>
      <c r="B9928" s="1"/>
    </row>
    <row r="9929">
      <c r="A9929" s="1" t="str">
        <f>IFERROR(__xludf.DUMMYFUNCTION("""COMPUTED_VALUE"""),"151533;INF209KB18T9;-;Aditya Birla Sun Life CRISIL Liquid Overnight ETF - IDCW Daily Reinvestment with Weekly Payout;1000.;25-Aug-2023")</f>
        <v>151533;INF209KB18T9;-;Aditya Birla Sun Life CRISIL Liquid Overnight ETF - IDCW Daily Reinvestment with Weekly Payout;1000.;25-Aug-2023</v>
      </c>
      <c r="B9929" s="1"/>
    </row>
    <row r="9930">
      <c r="A9930" s="1" t="str">
        <f>IFERROR(__xludf.DUMMYFUNCTION("""COMPUTED_VALUE"""),"150498;INF209KB14K7;-;Aditya Birla Sun Life Nifty 200 Momentum 30 ETF;22.099;25-Aug-2023")</f>
        <v>150498;INF209KB14K7;-;Aditya Birla Sun Life Nifty 200 Momentum 30 ETF;22.099;25-Aug-2023</v>
      </c>
      <c r="B9930" s="1"/>
    </row>
    <row r="9931">
      <c r="A9931" s="1" t="str">
        <f>IFERROR(__xludf.DUMMYFUNCTION("""COMPUTED_VALUE"""),"150497;INF209KB15K4;-;Aditya Birla Sun Life Nifty 200 Quality 30 ETF;16.006;25-Aug-2023")</f>
        <v>150497;INF209KB15K4;-;Aditya Birla Sun Life Nifty 200 Quality 30 ETF;16.006;25-Aug-2023</v>
      </c>
      <c r="B9931" s="1"/>
    </row>
    <row r="9932">
      <c r="A9932" s="1" t="str">
        <f>IFERROR(__xludf.DUMMYFUNCTION("""COMPUTED_VALUE"""),"115512;INF209KB19D1;-;Aditya Birla Sun Life Nifty ETF;21.8608;25-Aug-2023")</f>
        <v>115512;INF209KB19D1;-;Aditya Birla Sun Life Nifty ETF;21.8608;25-Aug-2023</v>
      </c>
      <c r="B9932" s="1"/>
    </row>
    <row r="9933">
      <c r="A9933" s="1" t="str">
        <f>IFERROR(__xludf.DUMMYFUNCTION("""COMPUTED_VALUE"""),"147735;INF209KB17D5;-;Aditya Birla Sun Life Nifty Bank ETF;44.6092;25-Aug-2023")</f>
        <v>147735;INF209KB17D5;-;Aditya Birla Sun Life Nifty Bank ETF;44.6092;25-Aug-2023</v>
      </c>
      <c r="B9933" s="1"/>
    </row>
    <row r="9934">
      <c r="A9934" s="1" t="str">
        <f>IFERROR(__xludf.DUMMYFUNCTION("""COMPUTED_VALUE"""),"149262;INF209KB10C2;-;Aditya Birla Sun Life Nifty Healthcare ETF;9.5517;25-Aug-2023")</f>
        <v>149262;INF209KB10C2;-;Aditya Birla Sun Life Nifty Healthcare ETF;9.5517;25-Aug-2023</v>
      </c>
      <c r="B9934" s="1"/>
    </row>
    <row r="9935">
      <c r="A9935" s="1" t="str">
        <f>IFERROR(__xludf.DUMMYFUNCTION("""COMPUTED_VALUE"""),"149293;INF209KB11D8;-;Aditya Birla Sun Life Nifty IT ETF;31.7687;25-Aug-2023")</f>
        <v>149293;INF209KB11D8;-;Aditya Birla Sun Life Nifty IT ETF;31.7687;25-Aug-2023</v>
      </c>
      <c r="B9935" s="1"/>
    </row>
    <row r="9936">
      <c r="A9936" s="1" t="str">
        <f>IFERROR(__xludf.DUMMYFUNCTION("""COMPUTED_VALUE"""),"145881;INF209KB16D7;-;Aditya Birla Sunlife Nifty Next 50 ETF;45.4219;25-Aug-2023")</f>
        <v>145881;INF209KB16D7;-;Aditya Birla Sunlife Nifty Next 50 ETF;45.4219;25-Aug-2023</v>
      </c>
      <c r="B9936" s="1"/>
    </row>
    <row r="9937">
      <c r="A9937" s="1" t="str">
        <f>IFERROR(__xludf.DUMMYFUNCTION("""COMPUTED_VALUE"""),"139581;INF209KB10E8;-;Aditya Birla Sun Life S&amp;P BSE Sensex ETF;63.3593;25-Aug-2023")</f>
        <v>139581;INF209KB10E8;-;Aditya Birla Sun Life S&amp;P BSE Sensex ETF;63.3593;25-Aug-2023</v>
      </c>
      <c r="B9937" s="1"/>
    </row>
    <row r="9938">
      <c r="A9938" s="1" t="str">
        <f>IFERROR(__xludf.DUMMYFUNCTION("""COMPUTED_VALUE"""),"149779;INF209KB19F6;-;Aditya Birla Sun Life Silver ETF;75.3241;25-Aug-2023")</f>
        <v>149779;INF209KB19F6;-;Aditya Birla Sun Life Silver ETF;75.3241;25-Aug-2023</v>
      </c>
      <c r="B9938" s="1"/>
    </row>
    <row r="9939">
      <c r="A9939" s="1"/>
      <c r="B9939" s="1"/>
    </row>
    <row r="9940">
      <c r="A9940" s="1" t="str">
        <f>IFERROR(__xludf.DUMMYFUNCTION("""COMPUTED_VALUE"""),"Axis Mutual Fund")</f>
        <v>Axis Mutual Fund</v>
      </c>
      <c r="B9940" s="1"/>
    </row>
    <row r="9941">
      <c r="A9941" s="1"/>
      <c r="B9941" s="1"/>
    </row>
    <row r="9942">
      <c r="A9942" s="1" t="str">
        <f>IFERROR(__xludf.DUMMYFUNCTION("""COMPUTED_VALUE"""),"141545;INF846K01W98;-;Axis Nifty 50 ETF;206.4716;25-Aug-2023")</f>
        <v>141545;INF846K01W98;-;Axis Nifty 50 ETF;206.4716;25-Aug-2023</v>
      </c>
      <c r="B9942" s="1"/>
    </row>
    <row r="9943">
      <c r="A9943" s="1" t="str">
        <f>IFERROR(__xludf.DUMMYFUNCTION("""COMPUTED_VALUE"""),"148926;INF846K01Z04;-;Axis Nifty AAA Bond Plus SDL Apr 2026 50:50 ETF;11.1493;25-Aug-2023")</f>
        <v>148926;INF846K01Z04;-;Axis Nifty AAA Bond Plus SDL Apr 2026 50:50 ETF;11.1493;25-Aug-2023</v>
      </c>
      <c r="B9943" s="1"/>
    </row>
    <row r="9944">
      <c r="A9944" s="1" t="str">
        <f>IFERROR(__xludf.DUMMYFUNCTION("""COMPUTED_VALUE"""),"148559;INF846K01X63;-;Axis NIFTY Bank ETF;449.1880;25-Aug-2023")</f>
        <v>148559;INF846K01X63;-;Axis NIFTY Bank ETF;449.1880;25-Aug-2023</v>
      </c>
      <c r="B9944" s="1"/>
    </row>
    <row r="9945">
      <c r="A9945" s="1" t="str">
        <f>IFERROR(__xludf.DUMMYFUNCTION("""COMPUTED_VALUE"""),"148934;INF846K01Z12;-;Axis NIFTY Healthcare ETF;95.4311;25-Aug-2023")</f>
        <v>148934;INF846K01Z12;-;Axis NIFTY Healthcare ETF;95.4311;25-Aug-2023</v>
      </c>
      <c r="B9945" s="1"/>
    </row>
    <row r="9946">
      <c r="A9946" s="1" t="str">
        <f>IFERROR(__xludf.DUMMYFUNCTION("""COMPUTED_VALUE"""),"149156;INF846K016C7;-;Axis NIFTY India Consumption ETF;83.9766;25-Aug-2023")</f>
        <v>149156;INF846K016C7;-;Axis NIFTY India Consumption ETF;83.9766;25-Aug-2023</v>
      </c>
      <c r="B9946" s="1"/>
    </row>
    <row r="9947">
      <c r="A9947" s="1" t="str">
        <f>IFERROR(__xludf.DUMMYFUNCTION("""COMPUTED_VALUE"""),"148799;INF846K01Y96;-;Axis IT ETF;322.3593;25-Aug-2023")</f>
        <v>148799;INF846K01Y96;-;Axis IT ETF;322.3593;25-Aug-2023</v>
      </c>
      <c r="B9947" s="1"/>
    </row>
    <row r="9948">
      <c r="A9948" s="1" t="str">
        <f>IFERROR(__xludf.DUMMYFUNCTION("""COMPUTED_VALUE"""),"151585;INF846K010Q0;-;Axis S &amp; P BSE Sensex ETF;65.2727;25-Aug-2023")</f>
        <v>151585;INF846K010Q0;-;Axis S &amp; P BSE Sensex ETF;65.2727;25-Aug-2023</v>
      </c>
      <c r="B9948" s="1"/>
    </row>
    <row r="9949">
      <c r="A9949" s="1" t="str">
        <f>IFERROR(__xludf.DUMMYFUNCTION("""COMPUTED_VALUE"""),"150610;INF846K011K1;-;Axis Silver ETF;75.1581;25-Aug-2023")</f>
        <v>150610;INF846K011K1;-;Axis Silver ETF;75.1581;25-Aug-2023</v>
      </c>
      <c r="B9949" s="1"/>
    </row>
    <row r="9950">
      <c r="A9950" s="1"/>
      <c r="B9950" s="1"/>
    </row>
    <row r="9951">
      <c r="A9951" s="1" t="str">
        <f>IFERROR(__xludf.DUMMYFUNCTION("""COMPUTED_VALUE"""),"Bandhan Mutual Fund")</f>
        <v>Bandhan Mutual Fund</v>
      </c>
      <c r="B9951" s="1"/>
    </row>
    <row r="9952">
      <c r="A9952" s="1"/>
      <c r="B9952" s="1"/>
    </row>
    <row r="9953">
      <c r="A9953" s="1" t="str">
        <f>IFERROR(__xludf.DUMMYFUNCTION("""COMPUTED_VALUE"""),"139839;INF194KA1U07;-;BANDHAN Nifty 50 ETF;206.4333;25-Aug-2023")</f>
        <v>139839;INF194KA1U07;-;BANDHAN Nifty 50 ETF;206.4333;25-Aug-2023</v>
      </c>
      <c r="B9953" s="1"/>
    </row>
    <row r="9954">
      <c r="A9954" s="1" t="str">
        <f>IFERROR(__xludf.DUMMYFUNCTION("""COMPUTED_VALUE"""),"139840;INF194KA1T91;-;BANDHAN S&amp;P BSE Sensex ETF;690.5883;25-Aug-2023")</f>
        <v>139840;INF194KA1T91;-;BANDHAN S&amp;P BSE Sensex ETF;690.5883;25-Aug-2023</v>
      </c>
      <c r="B9954" s="1"/>
    </row>
    <row r="9955">
      <c r="A9955" s="1"/>
      <c r="B9955" s="1"/>
    </row>
    <row r="9956">
      <c r="A9956" s="1" t="str">
        <f>IFERROR(__xludf.DUMMYFUNCTION("""COMPUTED_VALUE"""),"DSP Mutual Fund")</f>
        <v>DSP Mutual Fund</v>
      </c>
      <c r="B9956" s="1"/>
    </row>
    <row r="9957">
      <c r="A9957" s="1"/>
      <c r="B9957" s="1"/>
    </row>
    <row r="9958">
      <c r="A9958" s="1" t="str">
        <f>IFERROR(__xludf.DUMMYFUNCTION("""COMPUTED_VALUE"""),"142589;-;INF740KA1EU7;DSP NIFTY 1D Rate Liquid ETF - IDCW - Daily Reinvest;1000.0000;25-Aug-2023")</f>
        <v>142589;-;INF740KA1EU7;DSP NIFTY 1D Rate Liquid ETF - IDCW - Daily Reinvest;1000.0000;25-Aug-2023</v>
      </c>
      <c r="B9958" s="1"/>
    </row>
    <row r="9959">
      <c r="A9959" s="1" t="str">
        <f>IFERROR(__xludf.DUMMYFUNCTION("""COMPUTED_VALUE"""),"149286;INF740KA1QK2;-;DSP Nifty 50 Equal Weight ETF;231.3919;25-Aug-2023")</f>
        <v>149286;INF740KA1QK2;-;DSP Nifty 50 Equal Weight ETF;231.3919;25-Aug-2023</v>
      </c>
      <c r="B9959" s="1"/>
    </row>
    <row r="9960">
      <c r="A9960" s="1" t="str">
        <f>IFERROR(__xludf.DUMMYFUNCTION("""COMPUTED_VALUE"""),"149392;INF740KA1CL0;-;DSP Nifty 50 ETF;196.4731;25-Aug-2023")</f>
        <v>149392;INF740KA1CL0;-;DSP Nifty 50 ETF;196.4731;25-Aug-2023</v>
      </c>
      <c r="B9960" s="1"/>
    </row>
    <row r="9961">
      <c r="A9961" s="1" t="str">
        <f>IFERROR(__xludf.DUMMYFUNCTION("""COMPUTED_VALUE"""),"151262;INF740KA1RX3;-;DSP Nifty Bank ETF;44.5552;25-Aug-2023")</f>
        <v>151262;INF740KA1RX3;-;DSP Nifty Bank ETF;44.5552;25-Aug-2023</v>
      </c>
      <c r="B9961" s="1"/>
    </row>
    <row r="9962">
      <c r="A9962" s="1" t="str">
        <f>IFERROR(__xludf.DUMMYFUNCTION("""COMPUTED_VALUE"""),"151820;INF740KA1SX1;-;DSP Nifty IT ETF;30.9347;25-Aug-2023")</f>
        <v>151820;INF740KA1SX1;-;DSP Nifty IT ETF;30.9347;25-Aug-2023</v>
      </c>
      <c r="B9962" s="1"/>
    </row>
    <row r="9963">
      <c r="A9963" s="1" t="str">
        <f>IFERROR(__xludf.DUMMYFUNCTION("""COMPUTED_VALUE"""),"149403;INF740KA1QL0;-;DSP Nifty Midcap 150 Quality 50 ETF;187.8671;25-Aug-2023")</f>
        <v>149403;INF740KA1QL0;-;DSP Nifty Midcap 150 Quality 50 ETF;187.8671;25-Aug-2023</v>
      </c>
      <c r="B9963" s="1"/>
    </row>
    <row r="9964">
      <c r="A9964" s="1" t="str">
        <f>IFERROR(__xludf.DUMMYFUNCTION("""COMPUTED_VALUE"""),"151887;INF740KA1TA7;-;DSP Nifty Private Bank ETF;23.0318;25-Aug-2023")</f>
        <v>151887;INF740KA1TA7;-;DSP Nifty Private Bank ETF;23.0318;25-Aug-2023</v>
      </c>
      <c r="B9964" s="1"/>
    </row>
    <row r="9965">
      <c r="A9965" s="1" t="str">
        <f>IFERROR(__xludf.DUMMYFUNCTION("""COMPUTED_VALUE"""),"151888;INF740KA1SY9;-;DSP Nifty PSU Bank ETF;45.2564;25-Aug-2023")</f>
        <v>151888;INF740KA1SY9;-;DSP Nifty PSU Bank ETF;45.2564;25-Aug-2023</v>
      </c>
      <c r="B9965" s="1"/>
    </row>
    <row r="9966">
      <c r="A9966" s="1" t="str">
        <f>IFERROR(__xludf.DUMMYFUNCTION("""COMPUTED_VALUE"""),"151886;INF740KA1SZ6;-;DSP S&amp;P BSE Sensex ETF;64.9806;25-Aug-2023")</f>
        <v>151886;INF740KA1SZ6;-;DSP S&amp;P BSE Sensex ETF;64.9806;25-Aug-2023</v>
      </c>
      <c r="B9966" s="1"/>
    </row>
    <row r="9967">
      <c r="A9967" s="1" t="str">
        <f>IFERROR(__xludf.DUMMYFUNCTION("""COMPUTED_VALUE"""),"150523;INF740KA1RE3;-;DSP Silver ETF;72.9200;25-Aug-2023")</f>
        <v>150523;INF740KA1RE3;-;DSP Silver ETF;72.9200;25-Aug-2023</v>
      </c>
      <c r="B9967" s="1"/>
    </row>
    <row r="9968">
      <c r="A9968" s="1"/>
      <c r="B9968" s="1"/>
    </row>
    <row r="9969">
      <c r="A9969" s="1" t="str">
        <f>IFERROR(__xludf.DUMMYFUNCTION("""COMPUTED_VALUE"""),"Edelweiss Mutual Fund")</f>
        <v>Edelweiss Mutual Fund</v>
      </c>
      <c r="B9969" s="1"/>
    </row>
    <row r="9970">
      <c r="A9970" s="1"/>
      <c r="B9970" s="1"/>
    </row>
    <row r="9971">
      <c r="A9971" s="1" t="str">
        <f>IFERROR(__xludf.DUMMYFUNCTION("""COMPUTED_VALUE"""),"147848;INF754K01KN4;-;Bharat Bond ETF - April 2023;1233.1088;17-Apr-2023")</f>
        <v>147848;INF754K01KN4;-;Bharat Bond ETF - April 2023;1233.1088;17-Apr-2023</v>
      </c>
      <c r="B9971" s="1"/>
    </row>
    <row r="9972">
      <c r="A9972" s="1" t="str">
        <f>IFERROR(__xludf.DUMMYFUNCTION("""COMPUTED_VALUE"""),"147849;INF754K01KO2;-;Bharat Bond ETF - April 2030;1290.2335;25-Aug-2023")</f>
        <v>147849;INF754K01KO2;-;Bharat Bond ETF - April 2030;1290.2335;25-Aug-2023</v>
      </c>
      <c r="B9972" s="1"/>
    </row>
    <row r="9973">
      <c r="A9973" s="1" t="str">
        <f>IFERROR(__xludf.DUMMYFUNCTION("""COMPUTED_VALUE"""),"149398;INF754K01OB1;-;BHARAT Bond ETF - April 2032;1080.4025;25-Aug-2023")</f>
        <v>149398;INF754K01OB1;-;BHARAT Bond ETF - April 2032;1080.4025;25-Aug-2023</v>
      </c>
      <c r="B9973" s="1"/>
    </row>
    <row r="9974">
      <c r="A9974" s="1" t="str">
        <f>IFERROR(__xludf.DUMMYFUNCTION("""COMPUTED_VALUE"""),"150987;INF754K01QX0;-;BHARAT Bond ETF - April 2033;1049.0761;25-Aug-2023")</f>
        <v>150987;INF754K01QX0;-;BHARAT Bond ETF - April 2033;1049.0761;25-Aug-2023</v>
      </c>
      <c r="B9974" s="1"/>
    </row>
    <row r="9975">
      <c r="A9975" s="1" t="str">
        <f>IFERROR(__xludf.DUMMYFUNCTION("""COMPUTED_VALUE"""),"148444;INF754K01LD3;-;BHARAT Bond ETF April 2025;1148.1865;25-Aug-2023")</f>
        <v>148444;INF754K01LD3;-;BHARAT Bond ETF April 2025;1148.1865;25-Aug-2023</v>
      </c>
      <c r="B9975" s="1"/>
    </row>
    <row r="9976">
      <c r="A9976" s="1" t="str">
        <f>IFERROR(__xludf.DUMMYFUNCTION("""COMPUTED_VALUE"""),"148445;INF754K01LE1;-;BHARAT Bond ETF- April 2031;1152.0343;25-Aug-2023")</f>
        <v>148445;INF754K01LE1;-;BHARAT Bond ETF- April 2031;1152.0343;25-Aug-2023</v>
      </c>
      <c r="B9976" s="1"/>
    </row>
    <row r="9977">
      <c r="A9977" s="1" t="str">
        <f>IFERROR(__xludf.DUMMYFUNCTION("""COMPUTED_VALUE"""),"135859;INF754K01EL1;-;Edelweiss ETF - Nifty Bank;4579.836;07-Aug-2023")</f>
        <v>135859;INF754K01EL1;-;Edelweiss ETF - Nifty Bank;4579.836;07-Aug-2023</v>
      </c>
      <c r="B9977" s="1"/>
    </row>
    <row r="9978">
      <c r="A9978" s="1"/>
      <c r="B9978" s="1"/>
    </row>
    <row r="9979">
      <c r="A9979" s="1" t="str">
        <f>IFERROR(__xludf.DUMMYFUNCTION("""COMPUTED_VALUE"""),"Groww Mutual Fund")</f>
        <v>Groww Mutual Fund</v>
      </c>
      <c r="B9979" s="1"/>
    </row>
    <row r="9980">
      <c r="A9980" s="1"/>
      <c r="B9980" s="1"/>
    </row>
    <row r="9981">
      <c r="A9981" s="1" t="str">
        <f>IFERROR(__xludf.DUMMYFUNCTION("""COMPUTED_VALUE"""),"147113;INF666M01FS5;-;Groww Nifty50 Exchange Traded Fund (formerly known as Indiabulls Nifty50 Exchange Traded) Fund;202.7613;25-Aug-2023")</f>
        <v>147113;INF666M01FS5;-;Groww Nifty50 Exchange Traded Fund (formerly known as Indiabulls Nifty50 Exchange Traded) Fund;202.7613;25-Aug-2023</v>
      </c>
      <c r="B9981" s="1"/>
    </row>
    <row r="9982">
      <c r="A9982" s="1"/>
      <c r="B9982" s="1"/>
    </row>
    <row r="9983">
      <c r="A9983" s="1" t="str">
        <f>IFERROR(__xludf.DUMMYFUNCTION("""COMPUTED_VALUE"""),"HDFC Mutual Fund")</f>
        <v>HDFC Mutual Fund</v>
      </c>
      <c r="B9983" s="1"/>
    </row>
    <row r="9984">
      <c r="A9984" s="1"/>
      <c r="B9984" s="1"/>
    </row>
    <row r="9985">
      <c r="A9985" s="1" t="str">
        <f>IFERROR(__xludf.DUMMYFUNCTION("""COMPUTED_VALUE"""),"150476;INF179KC1DB7;-;HDFC NIFTY 100 ETF - Growth Option;194.1246;25-Aug-2023")</f>
        <v>150476;INF179KC1DB7;-;HDFC NIFTY 100 ETF - Growth Option;194.1246;25-Aug-2023</v>
      </c>
      <c r="B9985" s="1"/>
    </row>
    <row r="9986">
      <c r="A9986" s="1" t="str">
        <f>IFERROR(__xludf.DUMMYFUNCTION("""COMPUTED_VALUE"""),"152049;-;-;HDFC NIFTY 1D RATE LIQUID ETF;1000.7557;27-Aug-2023")</f>
        <v>152049;-;-;HDFC NIFTY 1D RATE LIQUID ETF;1000.7557;27-Aug-2023</v>
      </c>
      <c r="B9986" s="1"/>
    </row>
    <row r="9987">
      <c r="A9987" s="1" t="str">
        <f>IFERROR(__xludf.DUMMYFUNCTION("""COMPUTED_VALUE"""),"135853;INF179KC1965;-;HDFC NIFTY 50 ETF - Growth Plan;210.2683;25-Aug-2023")</f>
        <v>135853;INF179KC1965;-;HDFC NIFTY 50 ETF - Growth Plan;210.2683;25-Aug-2023</v>
      </c>
      <c r="B9987" s="1"/>
    </row>
    <row r="9988">
      <c r="A9988" s="1" t="str">
        <f>IFERROR(__xludf.DUMMYFUNCTION("""COMPUTED_VALUE"""),"148461;INF179KC1AN8;-;HDFC NIFTY Bank ETF - GROWTH;448.1657;25-Aug-2023")</f>
        <v>148461;INF179KC1AN8;-;HDFC NIFTY Bank ETF - GROWTH;448.1657;25-Aug-2023</v>
      </c>
      <c r="B9988" s="1"/>
    </row>
    <row r="9989">
      <c r="A9989" s="1" t="str">
        <f>IFERROR(__xludf.DUMMYFUNCTION("""COMPUTED_VALUE"""),"150621;INF179KC1DJ0;-;HDFC NIFTY GROWTH SECTORS 15 ETF - Growth Option;97.051;25-Aug-2023")</f>
        <v>150621;INF179KC1DJ0;-;HDFC NIFTY GROWTH SECTORS 15 ETF - Growth Option;97.051;25-Aug-2023</v>
      </c>
      <c r="B9989" s="1"/>
    </row>
    <row r="9990">
      <c r="A9990" s="1" t="str">
        <f>IFERROR(__xludf.DUMMYFUNCTION("""COMPUTED_VALUE"""),"150801;INF179KC1DX1;-;HDFC NIFTY IT ETF - Growth option;312.0669;25-Aug-2023")</f>
        <v>150801;INF179KC1DX1;-;HDFC NIFTY IT ETF - Growth option;312.0669;25-Aug-2023</v>
      </c>
      <c r="B9990" s="1"/>
    </row>
    <row r="9991">
      <c r="A9991" s="1" t="str">
        <f>IFERROR(__xludf.DUMMYFUNCTION("""COMPUTED_VALUE"""),"151374;INF179KC1FA4;-;HDFC NIFTY Midcap 150 ETF - Growth Option;144.7707;25-Aug-2023")</f>
        <v>151374;INF179KC1FA4;-;HDFC NIFTY Midcap 150 ETF - Growth Option;144.7707;25-Aug-2023</v>
      </c>
      <c r="B9991" s="1"/>
    </row>
    <row r="9992">
      <c r="A9992" s="1" t="str">
        <f>IFERROR(__xludf.DUMMYFUNCTION("""COMPUTED_VALUE"""),"150477;INF179KC1DA9;-;HDFC NIFTY NEXT 50 ETF - Growth Option;443.1161;25-Aug-2023")</f>
        <v>150477;INF179KC1DA9;-;HDFC NIFTY NEXT 50 ETF - Growth Option;443.1161;25-Aug-2023</v>
      </c>
      <c r="B9992" s="1"/>
    </row>
    <row r="9993">
      <c r="A9993" s="1" t="str">
        <f>IFERROR(__xludf.DUMMYFUNCTION("""COMPUTED_VALUE"""),"150802;INF179KC1DW3;-;HDFC NIFTY Private Bank ETF - Growth Option;231.3764;25-Aug-2023")</f>
        <v>150802;INF179KC1DW3;-;HDFC NIFTY Private Bank ETF - Growth Option;231.3764;25-Aug-2023</v>
      </c>
      <c r="B9993" s="1"/>
    </row>
    <row r="9994">
      <c r="A9994" s="1" t="str">
        <f>IFERROR(__xludf.DUMMYFUNCTION("""COMPUTED_VALUE"""),"151375;INF179KC1FB2;-;HDFC NIFTY Smallcap 250 ETF - Growth Option;115.757;25-Aug-2023")</f>
        <v>151375;INF179KC1FB2;-;HDFC NIFTY Smallcap 250 ETF - Growth Option;115.757;25-Aug-2023</v>
      </c>
      <c r="B9994" s="1"/>
    </row>
    <row r="9995">
      <c r="A9995" s="1" t="str">
        <f>IFERROR(__xludf.DUMMYFUNCTION("""COMPUTED_VALUE"""),"150658;INF179KC1DN2;-;HDFC NIFTY100 Low Volatility 30 ETF - Growth Option;148.6946;25-Aug-2023")</f>
        <v>150658;INF179KC1DN2;-;HDFC NIFTY100 Low Volatility 30 ETF - Growth Option;148.6946;25-Aug-2023</v>
      </c>
      <c r="B9995" s="1"/>
    </row>
    <row r="9996">
      <c r="A9996" s="1" t="str">
        <f>IFERROR(__xludf.DUMMYFUNCTION("""COMPUTED_VALUE"""),"150620;INF179KC1DL6;-;HDFC NIFTY100 QUALITY 30 ETF - Growth Option;43.3713;25-Aug-2023")</f>
        <v>150620;INF179KC1DL6;-;HDFC NIFTY100 QUALITY 30 ETF - Growth Option;43.3713;25-Aug-2023</v>
      </c>
      <c r="B9996" s="1"/>
    </row>
    <row r="9997">
      <c r="A9997" s="1" t="str">
        <f>IFERROR(__xludf.DUMMYFUNCTION("""COMPUTED_VALUE"""),"150657;INF179KC1DM4;-;HDFC NIFTY200 MOMENTUM 30 ETF - Growth Option;220.3825;25-Aug-2023")</f>
        <v>150657;INF179KC1DM4;-;HDFC NIFTY200 MOMENTUM 30 ETF - Growth Option;220.3825;25-Aug-2023</v>
      </c>
      <c r="B9997" s="1"/>
    </row>
    <row r="9998">
      <c r="A9998" s="1" t="str">
        <f>IFERROR(__xludf.DUMMYFUNCTION("""COMPUTED_VALUE"""),"150619;INF179KC1DK8;-;HDFC NIFTY 50 VALUE 20 ETF - Growth Option;101.1118;25-Aug-2023")</f>
        <v>150619;INF179KC1DK8;-;HDFC NIFTY 50 VALUE 20 ETF - Growth Option;101.1118;25-Aug-2023</v>
      </c>
      <c r="B9998" s="1"/>
    </row>
    <row r="9999">
      <c r="A9999" s="1" t="str">
        <f>IFERROR(__xludf.DUMMYFUNCTION("""COMPUTED_VALUE"""),"151376;INF179KC1EZ4;-;HDFC S&amp;P BSE 500 ETF - Growth Option;26.8256;25-Aug-2023")</f>
        <v>151376;INF179KC1EZ4;-;HDFC S&amp;P BSE 500 ETF - Growth Option;26.8256;25-Aug-2023</v>
      </c>
      <c r="B9999" s="1"/>
    </row>
    <row r="10000">
      <c r="A10000" s="1" t="str">
        <f>IFERROR(__xludf.DUMMYFUNCTION("""COMPUTED_VALUE"""),"135854;INF179KC1973;-;HDFC S&amp;P BSE Sensex ETF - Growth Plan;712.8234;25-Aug-2023")</f>
        <v>135854;INF179KC1973;-;HDFC S&amp;P BSE Sensex ETF - Growth Plan;712.8234;25-Aug-2023</v>
      </c>
      <c r="B10000" s="1"/>
    </row>
    <row r="10001">
      <c r="A10001" s="1" t="str">
        <f>IFERROR(__xludf.DUMMYFUNCTION("""COMPUTED_VALUE"""),"150556;INF179KC1DI2;-;HDFC Silver ETF - Growth Option;71.8882;25-Aug-2023")</f>
        <v>150556;INF179KC1DI2;-;HDFC Silver ETF - Growth Option;71.8882;25-Aug-2023</v>
      </c>
      <c r="B10001" s="1"/>
    </row>
    <row r="10002">
      <c r="A10002" s="1"/>
      <c r="B10002" s="1"/>
    </row>
    <row r="10003">
      <c r="A10003" s="1" t="str">
        <f>IFERROR(__xludf.DUMMYFUNCTION("""COMPUTED_VALUE"""),"ICICI Prudential Mutual Fund")</f>
        <v>ICICI Prudential Mutual Fund</v>
      </c>
      <c r="B10003" s="1"/>
    </row>
    <row r="10004">
      <c r="A10004" s="1"/>
      <c r="B10004" s="1"/>
    </row>
    <row r="10005">
      <c r="A10005" s="1" t="str">
        <f>IFERROR(__xludf.DUMMYFUNCTION("""COMPUTED_VALUE"""),"141957;INF109KB15Y7;-;BHARAT 22 ETF;69.9458;25-Aug-2023")</f>
        <v>141957;INF109KB15Y7;-;BHARAT 22 ETF;69.9458;25-Aug-2023</v>
      </c>
      <c r="B10005" s="1"/>
    </row>
    <row r="10006">
      <c r="A10006" s="1" t="str">
        <f>IFERROR(__xludf.DUMMYFUNCTION("""COMPUTED_VALUE"""),"151196;INF109KC18O0;-;ICICI Prudential Nifty 10 yr Benchmark G-sec ETF;216.9722;25-Aug-2023")</f>
        <v>151196;INF109KC18O0;-;ICICI Prudential Nifty 10 yr Benchmark G-sec ETF;216.9722;25-Aug-2023</v>
      </c>
      <c r="B10006" s="1"/>
    </row>
    <row r="10007">
      <c r="A10007" s="1" t="str">
        <f>IFERROR(__xludf.DUMMYFUNCTION("""COMPUTED_VALUE"""),"123004;INF109KA1962;-;ICICI Prudential Nifty 100 ETF;210.6033;25-Aug-2023")</f>
        <v>123004;INF109KA1962;-;ICICI Prudential Nifty 100 ETF;210.6033;25-Aug-2023</v>
      </c>
      <c r="B10007" s="1"/>
    </row>
    <row r="10008">
      <c r="A10008" s="1" t="str">
        <f>IFERROR(__xludf.DUMMYFUNCTION("""COMPUTED_VALUE"""),"141596;INF109KB10T8;-;ICICI Prudential Nifty 100 Low Volatility 30 ETF;160.2277;25-Aug-2023")</f>
        <v>141596;INF109KB10T8;-;ICICI Prudential Nifty 100 Low Volatility 30 ETF;160.2277;25-Aug-2023</v>
      </c>
      <c r="B10008" s="1"/>
    </row>
    <row r="10009">
      <c r="A10009" s="1" t="str">
        <f>IFERROR(__xludf.DUMMYFUNCTION("""COMPUTED_VALUE"""),"150455;INF109KC17C7;-;ICICI Prudential Nifty 200 Momentum 30 ETF;22.2785;25-Aug-2023")</f>
        <v>150455;INF109KC17C7;-;ICICI Prudential Nifty 200 Momentum 30 ETF;22.2785;25-Aug-2023</v>
      </c>
      <c r="B10009" s="1"/>
    </row>
    <row r="10010">
      <c r="A10010" s="1" t="str">
        <f>IFERROR(__xludf.DUMMYFUNCTION("""COMPUTED_VALUE"""),"151907;INF109KC15T5;-;ICICI Prudential Nifty 200 Quality 30 ETF;158.7254;25-Aug-2023")</f>
        <v>151907;INF109KC15T5;-;ICICI Prudential Nifty 200 Quality 30 ETF;158.7254;25-Aug-2023</v>
      </c>
      <c r="B10010" s="1"/>
    </row>
    <row r="10011">
      <c r="A10011" s="1" t="str">
        <f>IFERROR(__xludf.DUMMYFUNCTION("""COMPUTED_VALUE"""),"149928;INF109KC14A8;-;ICICI Prudential Nifty 5 yr Benchmark G-SEC ETF;52.8824;25-Aug-2023")</f>
        <v>149928;INF109KC14A8;-;ICICI Prudential Nifty 5 yr Benchmark G-SEC ETF;52.8824;25-Aug-2023</v>
      </c>
      <c r="B10011" s="1"/>
    </row>
    <row r="10012">
      <c r="A10012" s="1" t="str">
        <f>IFERROR(__xludf.DUMMYFUNCTION("""COMPUTED_VALUE"""),"121366;INF109K012R6;-;ICICI Prudential Nifty 50 ETF;211.3049;25-Aug-2023")</f>
        <v>121366;INF109K012R6;-;ICICI Prudential Nifty 50 ETF;211.3049;25-Aug-2023</v>
      </c>
      <c r="B10012" s="1"/>
    </row>
    <row r="10013">
      <c r="A10013" s="1" t="str">
        <f>IFERROR(__xludf.DUMMYFUNCTION("""COMPUTED_VALUE"""),"148456;INF109KC1N59;-;ICICI Prudential Nifty Alpha Low- Volatility 30 ETF;197.2794;25-Aug-2023")</f>
        <v>148456;INF109KC1N59;-;ICICI Prudential Nifty Alpha Low- Volatility 30 ETF;197.2794;25-Aug-2023</v>
      </c>
      <c r="B10013" s="1"/>
    </row>
    <row r="10014">
      <c r="A10014" s="1" t="str">
        <f>IFERROR(__xludf.DUMMYFUNCTION("""COMPUTED_VALUE"""),"149463;INF109KC1Y49;-;ICICI Prudential Nifty Auto ETF;156.0565;25-Aug-2023")</f>
        <v>149463;INF109KC1Y49;-;ICICI Prudential Nifty Auto ETF;156.0565;25-Aug-2023</v>
      </c>
      <c r="B10014" s="1"/>
    </row>
    <row r="10015">
      <c r="A10015" s="1" t="str">
        <f>IFERROR(__xludf.DUMMYFUNCTION("""COMPUTED_VALUE"""),"147483;INF109KC15I8;-;ICICI Prudential Nifty Bank ETF;44.6653;25-Aug-2023")</f>
        <v>147483;INF109KC15I8;-;ICICI Prudential Nifty Bank ETF;44.6653;25-Aug-2023</v>
      </c>
      <c r="B10015" s="1"/>
    </row>
    <row r="10016">
      <c r="A10016" s="1" t="str">
        <f>IFERROR(__xludf.DUMMYFUNCTION("""COMPUTED_VALUE"""),"151207;INF109KC19O8;-;ICICI Prudential Nifty Commodities ETF;61.9006;25-Aug-2023")</f>
        <v>151207;INF109KC19O8;-;ICICI Prudential Nifty Commodities ETF;61.9006;25-Aug-2023</v>
      </c>
      <c r="B10016" s="1"/>
    </row>
    <row r="10017">
      <c r="A10017" s="1" t="str">
        <f>IFERROR(__xludf.DUMMYFUNCTION("""COMPUTED_VALUE"""),"150879;INF109KC17L8;-;ICICI Prudential Nifty Financial Services Ex-BaNk ETF;19.4887;25-Aug-2023")</f>
        <v>150879;INF109KC17L8;-;ICICI Prudential Nifty Financial Services Ex-BaNk ETF;19.4887;25-Aug-2023</v>
      </c>
      <c r="B10017" s="1"/>
    </row>
    <row r="10018">
      <c r="A10018" s="1" t="str">
        <f>IFERROR(__xludf.DUMMYFUNCTION("""COMPUTED_VALUE"""),"149072;INF109KC1R48;-;ICICI Prudential Nifty FMCG ETF;530.8539;25-Aug-2023")</f>
        <v>149072;INF109KC1R48;-;ICICI Prudential Nifty FMCG ETF;530.8539;25-Aug-2023</v>
      </c>
      <c r="B10018" s="1"/>
    </row>
    <row r="10019">
      <c r="A10019" s="1" t="str">
        <f>IFERROR(__xludf.DUMMYFUNCTION("""COMPUTED_VALUE"""),"148957;INF109KC1Q72;-;ICICI Prudential Nifty Healthcare ETF;95.6102;25-Aug-2023")</f>
        <v>148957;INF109KC1Q72;-;ICICI Prudential Nifty Healthcare ETF;95.6102;25-Aug-2023</v>
      </c>
      <c r="B10019" s="1"/>
    </row>
    <row r="10020">
      <c r="A10020" s="1" t="str">
        <f>IFERROR(__xludf.DUMMYFUNCTION("""COMPUTED_VALUE"""),"149285;INF109KC1V42;-;ICICI Prudential Nifty India Consumption ETF;84.0565;25-Aug-2023")</f>
        <v>149285;INF109KC1V42;-;ICICI Prudential Nifty India Consumption ETF;84.0565;25-Aug-2023</v>
      </c>
      <c r="B10020" s="1"/>
    </row>
    <row r="10021">
      <c r="A10021" s="1" t="str">
        <f>IFERROR(__xludf.DUMMYFUNCTION("""COMPUTED_VALUE"""),"150526;-;INF109KC16E5;ICICI Prudential Nifty Infrastructure ETF;60.6304;25-Aug-2023")</f>
        <v>150526;-;INF109KC16E5;ICICI Prudential Nifty Infrastructure ETF;60.6304;25-Aug-2023</v>
      </c>
      <c r="B10021" s="1"/>
    </row>
    <row r="10022">
      <c r="A10022" s="1" t="str">
        <f>IFERROR(__xludf.DUMMYFUNCTION("""COMPUTED_VALUE"""),"148466;INF109KC16I6;-;ICICI Prudential Nifty IT ETF;32.4208;25-Aug-2023")</f>
        <v>148466;INF109KC16I6;-;ICICI Prudential Nifty IT ETF;32.4208;25-Aug-2023</v>
      </c>
      <c r="B10022" s="1"/>
    </row>
    <row r="10023">
      <c r="A10023" s="1" t="str">
        <f>IFERROR(__xludf.DUMMYFUNCTION("""COMPUTED_VALUE"""),"147921;INF109KC1G82;-;ICICI Prudential Nifty Midcap 150 ETF;147.5085;25-Aug-2023")</f>
        <v>147921;INF109KC1G82;-;ICICI Prudential Nifty Midcap 150 ETF;147.5085;25-Aug-2023</v>
      </c>
      <c r="B10023" s="1"/>
    </row>
    <row r="10024">
      <c r="A10024" s="1" t="str">
        <f>IFERROR(__xludf.DUMMYFUNCTION("""COMPUTED_VALUE"""),"144587;INF109KC1NS5;-;ICICI Prudential Nifty Next 50 ETF;45.5985;25-Aug-2023")</f>
        <v>144587;INF109KC1NS5;-;ICICI Prudential Nifty Next 50 ETF;45.5985;25-Aug-2023</v>
      </c>
      <c r="B10024" s="1"/>
    </row>
    <row r="10025">
      <c r="A10025" s="1" t="str">
        <f>IFERROR(__xludf.DUMMYFUNCTION("""COMPUTED_VALUE"""),"147530;INF109KC1E35;-;ICICI Prudential Nifty Private Bank ETF;229.3268;25-Aug-2023")</f>
        <v>147530;INF109KC1E35;-;ICICI Prudential Nifty Private Bank ETF;229.3268;25-Aug-2023</v>
      </c>
      <c r="B10025" s="1"/>
    </row>
    <row r="10026">
      <c r="A10026" s="1" t="str">
        <f>IFERROR(__xludf.DUMMYFUNCTION("""COMPUTED_VALUE"""),"151572;INF109KC10S8;-;ICICI Prudential Nifty PSU Bank ETF;45.5132;25-Aug-2023")</f>
        <v>151572;INF109KC10S8;-;ICICI Prudential Nifty PSU Bank ETF;45.5132;25-Aug-2023</v>
      </c>
      <c r="B10026" s="1"/>
    </row>
    <row r="10027">
      <c r="A10027" s="1" t="str">
        <f>IFERROR(__xludf.DUMMYFUNCTION("""COMPUTED_VALUE"""),"139455;INF109KB1WY5;-;ICICI Prudential Nifty50 Value 20 ETF;109.7903;25-Aug-2023")</f>
        <v>139455;INF109KB1WY5;-;ICICI Prudential Nifty50 Value 20 ETF;109.7903;25-Aug-2023</v>
      </c>
      <c r="B10027" s="1"/>
    </row>
    <row r="10028">
      <c r="A10028" s="1" t="str">
        <f>IFERROR(__xludf.DUMMYFUNCTION("""COMPUTED_VALUE"""),"143247;INF109KC1V59;-;ICICI Prudential S&amp;P BSE 500 ETF;28.2421;25-Aug-2023")</f>
        <v>143247;INF109KC1V59;-;ICICI Prudential S&amp;P BSE 500 ETF;28.2421;25-Aug-2023</v>
      </c>
      <c r="B10028" s="1"/>
    </row>
    <row r="10029">
      <c r="A10029" s="1" t="str">
        <f>IFERROR(__xludf.DUMMYFUNCTION("""COMPUTED_VALUE"""),"144947;INF109KC1KT9;-;ICICI Prudential S&amp;P BSE Liquid Rate ETF;1000.0000;25-Aug-2023")</f>
        <v>144947;INF109KC1KT9;-;ICICI Prudential S&amp;P BSE Liquid Rate ETF;1000.0000;25-Aug-2023</v>
      </c>
      <c r="B10029" s="1"/>
    </row>
    <row r="10030">
      <c r="A10030" s="1" t="str">
        <f>IFERROR(__xludf.DUMMYFUNCTION("""COMPUTED_VALUE"""),"139519;INF109KB1XT3;-;ICICI Prudential S&amp;P BSE Midcap Select ETF;116.4335;25-Aug-2023")</f>
        <v>139519;INF109KB1XT3;-;ICICI Prudential S&amp;P BSE Midcap Select ETF;116.4335;25-Aug-2023</v>
      </c>
      <c r="B10030" s="1"/>
    </row>
    <row r="10031">
      <c r="A10031" s="1" t="str">
        <f>IFERROR(__xludf.DUMMYFUNCTION("""COMPUTED_VALUE"""),"101705;INF346A01034;-;ICICI Prudential S&amp;P BSE Sensex ETF;721.9887;25-Aug-2023")</f>
        <v>101705;INF346A01034;-;ICICI Prudential S&amp;P BSE Sensex ETF;721.9887;25-Aug-2023</v>
      </c>
      <c r="B10031" s="1"/>
    </row>
    <row r="10032">
      <c r="A10032" s="1" t="str">
        <f>IFERROR(__xludf.DUMMYFUNCTION("""COMPUTED_VALUE"""),"149464;INF109KC1Y56;-;ICICI PRUDENTIAL SILVER ETF;75.2662;25-Aug-2023")</f>
        <v>149464;INF109KC1Y56;-;ICICI PRUDENTIAL SILVER ETF;75.2662;25-Aug-2023</v>
      </c>
      <c r="B10032" s="1"/>
    </row>
    <row r="10033">
      <c r="A10033" s="1"/>
      <c r="B10033" s="1"/>
    </row>
    <row r="10034">
      <c r="A10034" s="1" t="str">
        <f>IFERROR(__xludf.DUMMYFUNCTION("""COMPUTED_VALUE"""),"Invesco Mutual Fund")</f>
        <v>Invesco Mutual Fund</v>
      </c>
      <c r="B10034" s="1"/>
    </row>
    <row r="10035">
      <c r="A10035" s="1"/>
      <c r="B10035" s="1"/>
    </row>
    <row r="10036">
      <c r="A10036" s="1" t="str">
        <f>IFERROR(__xludf.DUMMYFUNCTION("""COMPUTED_VALUE"""),"115284;INF205K01DA9;-;Invesco India Nifty 50 Exchange Traded Fund;2143.0491;25-Aug-2023")</f>
        <v>115284;INF205K01DA9;-;Invesco India Nifty 50 Exchange Traded Fund;2143.0491;25-Aug-2023</v>
      </c>
      <c r="B10036" s="1"/>
    </row>
    <row r="10037">
      <c r="A10037" s="1"/>
      <c r="B10037" s="1"/>
    </row>
    <row r="10038">
      <c r="A10038" s="1" t="str">
        <f>IFERROR(__xludf.DUMMYFUNCTION("""COMPUTED_VALUE"""),"Kotak Mahindra Mutual Fund")</f>
        <v>Kotak Mahindra Mutual Fund</v>
      </c>
      <c r="B10038" s="1"/>
    </row>
    <row r="10039">
      <c r="A10039" s="1"/>
      <c r="B10039" s="1"/>
    </row>
    <row r="10040">
      <c r="A10040" s="1" t="str">
        <f>IFERROR(__xludf.DUMMYFUNCTION("""COMPUTED_VALUE"""),"150000;INF174KA1IY5;-;Kotak Nifty 100 Low Volatility 30 ETF;15.1162;25-Aug-2023")</f>
        <v>150000;INF174KA1IY5;-;Kotak Nifty 100 Low Volatility 30 ETF;15.1162;25-Aug-2023</v>
      </c>
      <c r="B10040" s="1"/>
    </row>
    <row r="10041">
      <c r="A10041" s="1" t="str">
        <f>IFERROR(__xludf.DUMMYFUNCTION("""COMPUTED_VALUE"""),"151358;INF174KA1LV5;-;Kotak Nifty 1D Rate Liquid ETF;1000;25-Aug-2023")</f>
        <v>151358;INF174KA1LV5;-;Kotak Nifty 1D Rate Liquid ETF;1000;25-Aug-2023</v>
      </c>
      <c r="B10041" s="1"/>
    </row>
    <row r="10042">
      <c r="A10042" s="1" t="str">
        <f>IFERROR(__xludf.DUMMYFUNCTION("""COMPUTED_VALUE"""),"112351;INF174K014P6;-;Kotak Nifty 50 ETF;206.8913;25-Aug-2023")</f>
        <v>112351;INF174K014P6;-;Kotak Nifty 50 ETF;206.8913;25-Aug-2023</v>
      </c>
      <c r="B10042" s="1"/>
    </row>
    <row r="10043">
      <c r="A10043" s="1" t="str">
        <f>IFERROR(__xludf.DUMMYFUNCTION("""COMPUTED_VALUE"""),"135744;INF174K01Z71;-;Kotak Nifty 50 Value 20 ETF - Payout of Income Distribution cum capital withdrawal option;111.9515;25-Aug-2023")</f>
        <v>135744;INF174K01Z71;-;Kotak Nifty 50 Value 20 ETF - Payout of Income Distribution cum capital withdrawal option;111.9515;25-Aug-2023</v>
      </c>
      <c r="B10043" s="1"/>
    </row>
    <row r="10044">
      <c r="A10044" s="1" t="str">
        <f>IFERROR(__xludf.DUMMYFUNCTION("""COMPUTED_VALUE"""),"149397;INF174KA1IA5;-;Kotak Nifty Alpha 50 ETF;32.7863;25-Aug-2023")</f>
        <v>149397;INF174KA1IA5;-;Kotak Nifty Alpha 50 ETF;32.7863;25-Aug-2023</v>
      </c>
      <c r="B10044" s="1"/>
    </row>
    <row r="10045">
      <c r="A10045" s="1" t="str">
        <f>IFERROR(__xludf.DUMMYFUNCTION("""COMPUTED_VALUE"""),"133122;INF174K01F59;-;Kotak Nifty Bank ETF;451.8185;25-Aug-2023")</f>
        <v>133122;INF174K01F59;-;Kotak Nifty Bank ETF;451.8185;25-Aug-2023</v>
      </c>
      <c r="B10045" s="1"/>
    </row>
    <row r="10046">
      <c r="A10046" s="1" t="str">
        <f>IFERROR(__xludf.DUMMYFUNCTION("""COMPUTED_VALUE"""),"150492;INF174KA1JE5;-;Kotak Nifty India Consumption ETF;83.1741;25-Aug-2023")</f>
        <v>150492;INF174KA1JE5;-;Kotak Nifty India Consumption ETF;83.1741;25-Aug-2023</v>
      </c>
      <c r="B10046" s="1"/>
    </row>
    <row r="10047">
      <c r="A10047" s="1" t="str">
        <f>IFERROR(__xludf.DUMMYFUNCTION("""COMPUTED_VALUE"""),"148763;INF174KA1GC5;-;Kotak Nifty IT ETF;32.2713;25-Aug-2023")</f>
        <v>148763;INF174KA1GC5;-;Kotak Nifty IT ETF;32.2713;25-Aug-2023</v>
      </c>
      <c r="B10047" s="1"/>
    </row>
    <row r="10048">
      <c r="A10048" s="1" t="str">
        <f>IFERROR(__xludf.DUMMYFUNCTION("""COMPUTED_VALUE"""),"149757;INF174KA1IB3;-;Kotak Nifty Midcap 50 ETF;111.3531;25-Aug-2023")</f>
        <v>149757;INF174KA1IB3;-;Kotak Nifty Midcap 50 ETF;111.3531;25-Aug-2023</v>
      </c>
      <c r="B10048" s="1"/>
    </row>
    <row r="10049">
      <c r="A10049" s="1" t="str">
        <f>IFERROR(__xludf.DUMMYFUNCTION("""COMPUTED_VALUE"""),"150531;INF174KA1JF2;-;Kotak Nifty MNC ETF;21.9259;25-Aug-2023")</f>
        <v>150531;INF174KA1JF2;-;Kotak Nifty MNC ETF;21.9259;25-Aug-2023</v>
      </c>
      <c r="B10049" s="1"/>
    </row>
    <row r="10050">
      <c r="A10050" s="1" t="str">
        <f>IFERROR(__xludf.DUMMYFUNCTION("""COMPUTED_VALUE"""),"106929;INF373I01023;-;Kotak Nifty PSU Bank ETF;451.2314;25-Aug-2023")</f>
        <v>106929;INF373I01023;-;Kotak Nifty PSU Bank ETF;451.2314;25-Aug-2023</v>
      </c>
      <c r="B10050" s="1"/>
    </row>
    <row r="10051">
      <c r="A10051" s="1" t="str">
        <f>IFERROR(__xludf.DUMMYFUNCTION("""COMPUTED_VALUE"""),"109010;INF174KA1JD7;-;Kotak S&amp;P BSE Sensex ETF;69.2225;25-Aug-2023")</f>
        <v>109010;INF174KA1JD7;-;Kotak S&amp;P BSE Sensex ETF;69.2225;25-Aug-2023</v>
      </c>
      <c r="B10051" s="1"/>
    </row>
    <row r="10052">
      <c r="A10052" s="1" t="str">
        <f>IFERROR(__xludf.DUMMYFUNCTION("""COMPUTED_VALUE"""),"150948;INF174KA1KU9;-;Kotak Silver ETF;73.3296;25-Aug-2023")</f>
        <v>150948;INF174KA1KU9;-;Kotak Silver ETF;73.3296;25-Aug-2023</v>
      </c>
      <c r="B10052" s="1"/>
    </row>
    <row r="10053">
      <c r="A10053" s="1"/>
      <c r="B10053" s="1"/>
    </row>
    <row r="10054">
      <c r="A10054" s="1" t="str">
        <f>IFERROR(__xludf.DUMMYFUNCTION("""COMPUTED_VALUE"""),"LIC Mutual Fund")</f>
        <v>LIC Mutual Fund</v>
      </c>
      <c r="B10054" s="1"/>
    </row>
    <row r="10055">
      <c r="A10055" s="1"/>
      <c r="B10055" s="1"/>
    </row>
    <row r="10056">
      <c r="A10056" s="1" t="str">
        <f>IFERROR(__xludf.DUMMYFUNCTION("""COMPUTED_VALUE"""),"136473;INF767K01PC8;-;LIC MF Nifty 100 ETF;205.8294;25-Aug-2023")</f>
        <v>136473;INF767K01PC8;-;LIC MF Nifty 100 ETF;205.8294;25-Aug-2023</v>
      </c>
      <c r="B10056" s="1"/>
    </row>
    <row r="10057">
      <c r="A10057" s="1" t="str">
        <f>IFERROR(__xludf.DUMMYFUNCTION("""COMPUTED_VALUE"""),"135607;INF767K01OS7;-;LIC MF Nifty 50 ETF;209.8392;25-Aug-2023")</f>
        <v>135607;INF767K01OS7;-;LIC MF Nifty 50 ETF;209.8392;25-Aug-2023</v>
      </c>
      <c r="B10057" s="1"/>
    </row>
    <row r="10058">
      <c r="A10058" s="1" t="str">
        <f>IFERROR(__xludf.DUMMYFUNCTION("""COMPUTED_VALUE"""),"133307;INF767K01MV5;-;LIC MF Nifty 8-13 yr G-Sec ETF;23.8924;25-Aug-2023")</f>
        <v>133307;INF767K01MV5;-;LIC MF Nifty 8-13 yr G-Sec ETF;23.8924;25-Aug-2023</v>
      </c>
      <c r="B10058" s="1"/>
    </row>
    <row r="10059">
      <c r="A10059" s="1" t="str">
        <f>IFERROR(__xludf.DUMMYFUNCTION("""COMPUTED_VALUE"""),"135672;INF767K01OT5;-;LIC MF S &amp; P BSE Sensex ETF;711.8005;25-Aug-2023")</f>
        <v>135672;INF767K01OT5;-;LIC MF S &amp; P BSE Sensex ETF;711.8005;25-Aug-2023</v>
      </c>
      <c r="B10059" s="1"/>
    </row>
    <row r="10060">
      <c r="A10060" s="1"/>
      <c r="B10060" s="1"/>
    </row>
    <row r="10061">
      <c r="A10061" s="1" t="str">
        <f>IFERROR(__xludf.DUMMYFUNCTION("""COMPUTED_VALUE"""),"Mirae Asset Mutual Fund")</f>
        <v>Mirae Asset Mutual Fund</v>
      </c>
      <c r="B10061" s="1"/>
    </row>
    <row r="10062">
      <c r="A10062" s="1"/>
      <c r="B10062" s="1"/>
    </row>
    <row r="10063">
      <c r="A10063" s="1" t="str">
        <f>IFERROR(__xludf.DUMMYFUNCTION("""COMPUTED_VALUE"""),"149379;INF769K01HS7;-;Mirae Asset Hang Seng TECH ETF;14.2324;25-Aug-2023")</f>
        <v>149379;INF769K01HS7;-;Mirae Asset Hang Seng TECH ETF;14.2324;25-Aug-2023</v>
      </c>
      <c r="B10063" s="1"/>
    </row>
    <row r="10064">
      <c r="A10064" s="1" t="str">
        <f>IFERROR(__xludf.DUMMYFUNCTION("""COMPUTED_VALUE"""),"148572;INF769K01GS9;-;Mirae Asset ESG Sector Leaders ETF;31.4427;25-Aug-2023")</f>
        <v>148572;INF769K01GS9;-;Mirae Asset ESG Sector Leaders ETF;31.4427;25-Aug-2023</v>
      </c>
      <c r="B10064" s="1"/>
    </row>
    <row r="10065">
      <c r="A10065" s="1" t="str">
        <f>IFERROR(__xludf.DUMMYFUNCTION("""COMPUTED_VALUE"""),"151604;INF769K01JU9;-;Mirae Asset Nifty 100 Low Volatility 30 ETF;148.7521;25-Aug-2023")</f>
        <v>151604;INF769K01JU9;-;Mirae Asset Nifty 100 Low Volatility 30 ETF;148.7521;25-Aug-2023</v>
      </c>
      <c r="B10065" s="1"/>
    </row>
    <row r="10066">
      <c r="A10066" s="1" t="str">
        <f>IFERROR(__xludf.DUMMYFUNCTION("""COMPUTED_VALUE"""),"151908;-;INF769K01KS1;Mirae Asset Nifty 1D Rate Liquid ETF;1000.0000;25-Aug-2023")</f>
        <v>151908;-;INF769K01KS1;Mirae Asset Nifty 1D Rate Liquid ETF;1000.0000;25-Aug-2023</v>
      </c>
      <c r="B10066" s="1"/>
    </row>
    <row r="10067">
      <c r="A10067" s="1" t="str">
        <f>IFERROR(__xludf.DUMMYFUNCTION("""COMPUTED_VALUE"""),"145633;INF769K01EG9;-;Mirae Asset Nifty 50 ETF (MAN50ETF);202.9402;25-Aug-2023")</f>
        <v>145633;INF769K01EG9;-;Mirae Asset Nifty 50 ETF (MAN50ETF);202.9402;25-Aug-2023</v>
      </c>
      <c r="B10067" s="1"/>
    </row>
    <row r="10068">
      <c r="A10068" s="1" t="str">
        <f>IFERROR(__xludf.DUMMYFUNCTION("""COMPUTED_VALUE"""),"151695;INF769K01KF8;-;Mirae Asset Nifty 8-13 yr Gsec ETF;24.5866;25-Aug-2023")</f>
        <v>151695;INF769K01KF8;-;Mirae Asset Nifty 8-13 yr Gsec ETF;24.5866;25-Aug-2023</v>
      </c>
      <c r="B10068" s="1"/>
    </row>
    <row r="10069">
      <c r="A10069" s="1" t="str">
        <f>IFERROR(__xludf.DUMMYFUNCTION("""COMPUTED_VALUE"""),"151857;-;-;Mirae Asset Nifty Bank ETF;442.6709;25-Aug-2023")</f>
        <v>151857;-;-;Mirae Asset Nifty Bank ETF;442.6709;25-Aug-2023</v>
      </c>
      <c r="B10069" s="1"/>
    </row>
    <row r="10070">
      <c r="A10070" s="1" t="str">
        <f>IFERROR(__xludf.DUMMYFUNCTION("""COMPUTED_VALUE"""),"149105;INF769K01HI8;-;Mirae Asset Nifty Financial Services ETF;19.9687;25-Aug-2023")</f>
        <v>149105;INF769K01HI8;-;Mirae Asset Nifty Financial Services ETF;19.9687;25-Aug-2023</v>
      </c>
      <c r="B10070" s="1"/>
    </row>
    <row r="10071">
      <c r="A10071" s="1" t="str">
        <f>IFERROR(__xludf.DUMMYFUNCTION("""COMPUTED_VALUE"""),"149786;INF769K01IB1;-;Mirae Asset Nifty India Manufacturing ETF;97.0317;25-Aug-2023")</f>
        <v>149786;INF769K01IB1;-;Mirae Asset Nifty India Manufacturing ETF;97.0317;25-Aug-2023</v>
      </c>
      <c r="B10071" s="1"/>
    </row>
    <row r="10072">
      <c r="A10072" s="1" t="str">
        <f>IFERROR(__xludf.DUMMYFUNCTION("""COMPUTED_VALUE"""),"149918;INF769K01IC9;-;Mirae Asset Nifty Midcap 150 ETF Regular Growth Option;14.5525;25-Aug-2023")</f>
        <v>149918;INF769K01IC9;-;Mirae Asset Nifty Midcap 150 ETF Regular Growth Option;14.5525;25-Aug-2023</v>
      </c>
      <c r="B10072" s="1"/>
    </row>
    <row r="10073">
      <c r="A10073" s="1" t="str">
        <f>IFERROR(__xludf.DUMMYFUNCTION("""COMPUTED_VALUE"""),"147906;INF769K01FN2;-;Mirae Asset Nifty Next 50 ETF (MANxt50ETF);445.9898;25-Aug-2023")</f>
        <v>147906;INF769K01FN2;-;Mirae Asset Nifty Next 50 ETF (MANxt50ETF);445.9898;25-Aug-2023</v>
      </c>
      <c r="B10073" s="1"/>
    </row>
    <row r="10074">
      <c r="A10074" s="1" t="str">
        <f>IFERROR(__xludf.DUMMYFUNCTION("""COMPUTED_VALUE"""),"148927;INF769K01HF4;-;Mirae Asset NYSE FANG + ETF;61.6024;25-Aug-2023")</f>
        <v>148927;INF769K01HF4;-;Mirae Asset NYSE FANG + ETF;61.6024;25-Aug-2023</v>
      </c>
      <c r="B10074" s="1"/>
    </row>
    <row r="10075">
      <c r="A10075" s="1" t="str">
        <f>IFERROR(__xludf.DUMMYFUNCTION("""COMPUTED_VALUE"""),"149169;INF769K01HP3;-;Mirae Asset S&amp;P 500 Top 50 ETF;32.2124;25-Aug-2023")</f>
        <v>149169;INF769K01HP3;-;Mirae Asset S&amp;P 500 Top 50 ETF;32.2124;25-Aug-2023</v>
      </c>
      <c r="B10075" s="1"/>
    </row>
    <row r="10076">
      <c r="A10076" s="1" t="str">
        <f>IFERROR(__xludf.DUMMYFUNCTION("""COMPUTED_VALUE"""),"151779;-;-;Mirae Asset Silver ETF;73.7273;25-Aug-2023")</f>
        <v>151779;-;-;Mirae Asset Silver ETF;73.7273;25-Aug-2023</v>
      </c>
      <c r="B10076" s="1"/>
    </row>
    <row r="10077">
      <c r="A10077" s="1"/>
      <c r="B10077" s="1"/>
    </row>
    <row r="10078">
      <c r="A10078" s="1" t="str">
        <f>IFERROR(__xludf.DUMMYFUNCTION("""COMPUTED_VALUE"""),"Motilal Oswal Mutual Fund")</f>
        <v>Motilal Oswal Mutual Fund</v>
      </c>
      <c r="B10078" s="1"/>
    </row>
    <row r="10079">
      <c r="A10079" s="1"/>
      <c r="B10079" s="1"/>
    </row>
    <row r="10080">
      <c r="A10080" s="1" t="str">
        <f>IFERROR(__xludf.DUMMYFUNCTION("""COMPUTED_VALUE"""),"114984;INF247L01AP3;-;Motilal Oswal Nasdaq 100 ETF (MOFN100);120.6087;25-Aug-2023")</f>
        <v>114984;INF247L01AP3;-;Motilal Oswal Nasdaq 100 ETF (MOFN100);120.6087;25-Aug-2023</v>
      </c>
      <c r="B10080" s="1"/>
    </row>
    <row r="10081">
      <c r="A10081" s="1" t="str">
        <f>IFERROR(__xludf.DUMMYFUNCTION("""COMPUTED_VALUE"""),"149438;INF247L01AU3;-;Motilal Oswal Nasdaq Q50 ETF;53.5437;25-Aug-2023")</f>
        <v>149438;INF247L01AU3;-;Motilal Oswal Nasdaq Q50 ETF;53.5437;25-Aug-2023</v>
      </c>
      <c r="B10081" s="1"/>
    </row>
    <row r="10082">
      <c r="A10082" s="1" t="str">
        <f>IFERROR(__xludf.DUMMYFUNCTION("""COMPUTED_VALUE"""),"149801;INF247L01AX7;-;Motilal Oswal Nifty 200 Momentum 30 ETF;44.2845;25-Aug-2023")</f>
        <v>149801;INF247L01AX7;-;Motilal Oswal Nifty 200 Momentum 30 ETF;44.2845;25-Aug-2023</v>
      </c>
      <c r="B10082" s="1"/>
    </row>
    <row r="10083">
      <c r="A10083" s="1" t="str">
        <f>IFERROR(__xludf.DUMMYFUNCTION("""COMPUTED_VALUE"""),"148620;INF247L01AK4;-;Motilal Oswal Nifty 5 year Benchmark G-sec ETF;52.5017;25-Aug-2023")</f>
        <v>148620;INF247L01AK4;-;Motilal Oswal Nifty 5 year Benchmark G-sec ETF;52.5017;25-Aug-2023</v>
      </c>
      <c r="B10083" s="1"/>
    </row>
    <row r="10084">
      <c r="A10084" s="1" t="str">
        <f>IFERROR(__xludf.DUMMYFUNCTION("""COMPUTED_VALUE"""),"113069;INF247L01536;-;Motilal Oswal Nifty 50 ETF;195.3286;25-Aug-2023")</f>
        <v>113069;INF247L01536;-;Motilal Oswal Nifty 50 ETF;195.3286;25-Aug-2023</v>
      </c>
      <c r="B10084" s="1"/>
    </row>
    <row r="10085">
      <c r="A10085" s="1" t="str">
        <f>IFERROR(__xludf.DUMMYFUNCTION("""COMPUTED_VALUE"""),"114456;INF247L01023;-;Motilal Oswal Nifty Midcap 100 ETF;40.9228;25-Aug-2023")</f>
        <v>114456;INF247L01023;-;Motilal Oswal Nifty Midcap 100 ETF;40.9228;25-Aug-2023</v>
      </c>
      <c r="B10085" s="1"/>
    </row>
    <row r="10086">
      <c r="A10086" s="1" t="str">
        <f>IFERROR(__xludf.DUMMYFUNCTION("""COMPUTED_VALUE"""),"150517;INF247L01BE5;-;Motilal Oswal SP BSE Enhanced Value ETF;58.3556;25-Aug-2023")</f>
        <v>150517;INF247L01BE5;-;Motilal Oswal SP BSE Enhanced Value ETF;58.3556;25-Aug-2023</v>
      </c>
      <c r="B10086" s="1"/>
    </row>
    <row r="10087">
      <c r="A10087" s="1" t="str">
        <f>IFERROR(__xludf.DUMMYFUNCTION("""COMPUTED_VALUE"""),"150445;INF247L01BB1;-;Motilal Oswal S&amp;P BSE Healthcare ETF;27.8252;25-Aug-2023")</f>
        <v>150445;INF247L01BB1;-;Motilal Oswal S&amp;P BSE Healthcare ETF;27.8252;25-Aug-2023</v>
      </c>
      <c r="B10087" s="1"/>
    </row>
    <row r="10088">
      <c r="A10088" s="1" t="str">
        <f>IFERROR(__xludf.DUMMYFUNCTION("""COMPUTED_VALUE"""),"149921;INF247L01BA3;-;Motilal Oswal S&amp;P BSE Low Volatility ETF;28.1503;25-Aug-2023")</f>
        <v>149921;INF247L01BA3;-;Motilal Oswal S&amp;P BSE Low Volatility ETF;28.1503;25-Aug-2023</v>
      </c>
      <c r="B10088" s="1"/>
    </row>
    <row r="10089">
      <c r="A10089" s="1" t="str">
        <f>IFERROR(__xludf.DUMMYFUNCTION("""COMPUTED_VALUE"""),"150520;INF247L01BH8;-;Motilal Oswal S&amp;P BSE Quality ETF;133.4595;25-Aug-2023")</f>
        <v>150520;INF247L01BH8;-;Motilal Oswal S&amp;P BSE Quality ETF;133.4595;25-Aug-2023</v>
      </c>
      <c r="B10089" s="1"/>
    </row>
    <row r="10090">
      <c r="A10090" s="1"/>
      <c r="B10090" s="1"/>
    </row>
    <row r="10091">
      <c r="A10091" s="1" t="str">
        <f>IFERROR(__xludf.DUMMYFUNCTION("""COMPUTED_VALUE"""),"Nippon India Mutual Fund")</f>
        <v>Nippon India Mutual Fund</v>
      </c>
      <c r="B10091" s="1"/>
    </row>
    <row r="10092">
      <c r="A10092" s="1"/>
      <c r="B10092" s="1"/>
    </row>
    <row r="10093">
      <c r="A10093" s="1" t="str">
        <f>IFERROR(__xludf.DUMMYFUNCTION("""COMPUTED_VALUE"""),"140107;INF457M01133;-;CPSE ETF;47.5099;25-Aug-2023")</f>
        <v>140107;INF457M01133;-;CPSE ETF;47.5099;25-Aug-2023</v>
      </c>
      <c r="B10093" s="1"/>
    </row>
    <row r="10094">
      <c r="A10094" s="1" t="str">
        <f>IFERROR(__xludf.DUMMYFUNCTION("""COMPUTED_VALUE"""),"140095;INF204KB19I1;-;Nippon India ETF Hang Seng BeES;259.9499;25-Aug-2023")</f>
        <v>140095;INF204KB19I1;-;Nippon India ETF Hang Seng BeES;259.9499;25-Aug-2023</v>
      </c>
      <c r="B10094" s="1"/>
    </row>
    <row r="10095">
      <c r="A10095" s="1" t="str">
        <f>IFERROR(__xludf.DUMMYFUNCTION("""COMPUTED_VALUE"""),"121146;INF204K014N5;-;Nippon India ETF Nifty 100;200.3944;25-Aug-2023")</f>
        <v>121146;INF204K014N5;-;Nippon India ETF Nifty 100;200.3944;25-Aug-2023</v>
      </c>
      <c r="B10095" s="1"/>
    </row>
    <row r="10096">
      <c r="A10096" s="1" t="str">
        <f>IFERROR(__xludf.DUMMYFUNCTION("""COMPUTED_VALUE"""),"140086;INF732E01037;-;Nippon India ETF Nifty 1D Rate Liquid BeES - DAILY IDCW Option;1000.0000;25-Aug-2023")</f>
        <v>140086;INF732E01037;-;Nippon India ETF Nifty 1D Rate Liquid BeES - DAILY IDCW Option;1000.0000;25-Aug-2023</v>
      </c>
      <c r="B10096" s="1"/>
    </row>
    <row r="10097">
      <c r="A10097" s="1" t="str">
        <f>IFERROR(__xludf.DUMMYFUNCTION("""COMPUTED_VALUE"""),"148800;INF204KC1030;-;Nippon India ETF Nifty 5 yr Benchmark G-Sec;52.7296;25-Aug-2023")</f>
        <v>148800;INF204KC1030;-;Nippon India ETF Nifty 5 yr Benchmark G-Sec;52.7296;25-Aug-2023</v>
      </c>
      <c r="B10097" s="1"/>
    </row>
    <row r="10098">
      <c r="A10098" s="1" t="str">
        <f>IFERROR(__xludf.DUMMYFUNCTION("""COMPUTED_VALUE"""),"140084;INF204KB14I2;-;Nippon India ETF Nifty 50 BeES;212.4692;25-Aug-2023")</f>
        <v>140084;INF204KB14I2;-;Nippon India ETF Nifty 50 BeES;212.4692;25-Aug-2023</v>
      </c>
      <c r="B10098" s="1"/>
    </row>
    <row r="10099">
      <c r="A10099" s="1" t="str">
        <f>IFERROR(__xludf.DUMMYFUNCTION("""COMPUTED_VALUE"""),"140094;INF732E01128;-;Nippon India ETF Nifty 50 Shariah BeES;428.1428;25-Aug-2023")</f>
        <v>140094;INF732E01128;-;Nippon India ETF Nifty 50 Shariah BeES;428.1428;25-Aug-2023</v>
      </c>
      <c r="B10099" s="1"/>
    </row>
    <row r="10100">
      <c r="A10100" s="1" t="str">
        <f>IFERROR(__xludf.DUMMYFUNCTION("""COMPUTED_VALUE"""),"134782;INF204KA17D8;-;Nippon India ETF Nifty 50 Value 20;112.7813;25-Aug-2023")</f>
        <v>134782;INF204KA17D8;-;Nippon India ETF Nifty 50 Value 20;112.7813;25-Aug-2023</v>
      </c>
      <c r="B10100" s="1"/>
    </row>
    <row r="10101">
      <c r="A10101" s="1" t="str">
        <f>IFERROR(__xludf.DUMMYFUNCTION("""COMPUTED_VALUE"""),"139496;INF204KB1882;-;Nippon India ETF Nifty 8-13 yr G-Sec Long Term Gilt;24.2520;25-Aug-2023")</f>
        <v>139496;INF204KB1882;-;Nippon India ETF Nifty 8-13 yr G-Sec Long Term Gilt;24.2520;25-Aug-2023</v>
      </c>
      <c r="B10101" s="1"/>
    </row>
    <row r="10102">
      <c r="A10102" s="1" t="str">
        <f>IFERROR(__xludf.DUMMYFUNCTION("""COMPUTED_VALUE"""),"140087;INF204KB15I9;-;Nippon India ETF Nifty Bank BeES;451.0582;25-Aug-2023")</f>
        <v>140087;INF204KB15I9;-;Nippon India ETF Nifty Bank BeES;451.0582;25-Aug-2023</v>
      </c>
      <c r="B10102" s="1"/>
    </row>
    <row r="10103">
      <c r="A10103" s="1" t="str">
        <f>IFERROR(__xludf.DUMMYFUNCTION("""COMPUTED_VALUE"""),"148585;INF204KB18W4;-;Nippon India ETF Nifty CPSE Bond Plus SDL Sep2024 50:50;115.3730;25-Aug-2023")</f>
        <v>148585;INF204KB18W4;-;Nippon India ETF Nifty CPSE Bond Plus SDL Sep2024 50:50;115.3730;25-Aug-2023</v>
      </c>
      <c r="B10103" s="1"/>
    </row>
    <row r="10104">
      <c r="A10104" s="1" t="str">
        <f>IFERROR(__xludf.DUMMYFUNCTION("""COMPUTED_VALUE"""),"128639;INF204KA1MS3;-;Nippon India ETF Nifty Dividend Opportunities 50;55.2447;25-Aug-2023")</f>
        <v>128639;INF204KA1MS3;-;Nippon India ETF Nifty Dividend Opportunities 50;55.2447;25-Aug-2023</v>
      </c>
      <c r="B10104" s="1"/>
    </row>
    <row r="10105">
      <c r="A10105" s="1" t="str">
        <f>IFERROR(__xludf.DUMMYFUNCTION("""COMPUTED_VALUE"""),"128331;INF204KA1LD7;-;Nippon India ETF Nifty India Consumption;90.6650;25-Aug-2023")</f>
        <v>128331;INF204KA1LD7;-;Nippon India ETF Nifty India Consumption;90.6650;25-Aug-2023</v>
      </c>
      <c r="B10105" s="1"/>
    </row>
    <row r="10106">
      <c r="A10106" s="1" t="str">
        <f>IFERROR(__xludf.DUMMYFUNCTION("""COMPUTED_VALUE"""),"140102;INF732E01268;-;Nippon India ETF Nifty Infrastructure BeES;617.3001;25-Aug-2023")</f>
        <v>140102;INF732E01268;-;Nippon India ETF Nifty Infrastructure BeES;617.3001;25-Aug-2023</v>
      </c>
      <c r="B10106" s="1"/>
    </row>
    <row r="10107">
      <c r="A10107" s="1" t="str">
        <f>IFERROR(__xludf.DUMMYFUNCTION("""COMPUTED_VALUE"""),"148408;INF204KB15V2;-;Nippon India ETF Nifty IT;32.4860;25-Aug-2023")</f>
        <v>148408;INF204KB15V2;-;Nippon India ETF Nifty IT;32.4860;25-Aug-2023</v>
      </c>
      <c r="B10107" s="1"/>
    </row>
    <row r="10108">
      <c r="A10108" s="1" t="str">
        <f>IFERROR(__xludf.DUMMYFUNCTION("""COMPUTED_VALUE"""),"146271;INF204KB1V68;-;Nippon India ETF Nifty Midcap 150;147.7329;25-Aug-2023")</f>
        <v>146271;INF204KB1V68;-;Nippon India ETF Nifty Midcap 150;147.7329;25-Aug-2023</v>
      </c>
      <c r="B10108" s="1"/>
    </row>
    <row r="10109">
      <c r="A10109" s="1" t="str">
        <f>IFERROR(__xludf.DUMMYFUNCTION("""COMPUTED_VALUE"""),"140085;INF732E01045;-;Nippon India ETF Nifty Next 50 Junior BeES;467.7635;25-Aug-2023")</f>
        <v>140085;INF732E01045;-;Nippon India ETF Nifty Next 50 Junior BeES;467.7635;25-Aug-2023</v>
      </c>
      <c r="B10109" s="1"/>
    </row>
    <row r="10110">
      <c r="A10110" s="1" t="str">
        <f>IFERROR(__xludf.DUMMYFUNCTION("""COMPUTED_VALUE"""),"140089;INF204KB16I7;-;Nippon India ETF Nifty PSU Bank BeES;50.3593;25-Aug-2023")</f>
        <v>140089;INF204KB16I7;-;Nippon India ETF Nifty PSU Bank BeES;50.3593;25-Aug-2023</v>
      </c>
      <c r="B10110" s="1"/>
    </row>
    <row r="10111">
      <c r="A10111" s="1" t="str">
        <f>IFERROR(__xludf.DUMMYFUNCTION("""COMPUTED_VALUE"""),"148798;INF204KC1022;-;Nippon India ETF Nifty SDL Apr 2026 Top 20 Equal Weight;114.8038;25-Aug-2023")</f>
        <v>148798;INF204KC1022;-;Nippon India ETF Nifty SDL Apr 2026 Top 20 Equal Weight;114.8038;25-Aug-2023</v>
      </c>
      <c r="B10111" s="1"/>
    </row>
    <row r="10112">
      <c r="A10112" s="1" t="str">
        <f>IFERROR(__xludf.DUMMYFUNCTION("""COMPUTED_VALUE"""),"131331;INF204KA1UN7;-;Nippon India ETF S&amp;P BSE Sensex;722.0714;25-Aug-2023")</f>
        <v>131331;INF204KA1UN7;-;Nippon India ETF S&amp;P BSE Sensex;722.0714;25-Aug-2023</v>
      </c>
      <c r="B10112" s="1"/>
    </row>
    <row r="10113">
      <c r="A10113" s="1" t="str">
        <f>IFERROR(__xludf.DUMMYFUNCTION("""COMPUTED_VALUE"""),"147579;INF204KB15D0;-;Nippon India ETF S&amp;P BSE Sensex Next 50;56.9750;25-Aug-2023")</f>
        <v>147579;INF204KB15D0;-;Nippon India ETF S&amp;P BSE Sensex Next 50;56.9750;25-Aug-2023</v>
      </c>
      <c r="B10113" s="1"/>
    </row>
    <row r="10114">
      <c r="A10114" s="1" t="str">
        <f>IFERROR(__xludf.DUMMYFUNCTION("""COMPUTED_VALUE"""),"149465;INF204KC1337;-;Nippon India Nifty Auto ETF;156.1073;25-Aug-2023")</f>
        <v>149465;INF204KC1337;-;Nippon India Nifty Auto ETF;156.1073;25-Aug-2023</v>
      </c>
      <c r="B10114" s="1"/>
    </row>
    <row r="10115">
      <c r="A10115" s="1" t="str">
        <f>IFERROR(__xludf.DUMMYFUNCTION("""COMPUTED_VALUE"""),"149008;INF204KC1089;-;Nippon India Nifty Pharma ETF;15.2650;25-Aug-2023")</f>
        <v>149008;INF204KC1089;-;Nippon India Nifty Pharma ETF;15.2650;25-Aug-2023</v>
      </c>
      <c r="B10115" s="1"/>
    </row>
    <row r="10116">
      <c r="A10116" s="1" t="str">
        <f>IFERROR(__xludf.DUMMYFUNCTION("""COMPUTED_VALUE"""),"149758;INF204KC1402;-;Nippon India Silver ETF;72.7072;25-Aug-2023")</f>
        <v>149758;INF204KC1402;-;Nippon India Silver ETF;72.7072;25-Aug-2023</v>
      </c>
      <c r="B10116" s="1"/>
    </row>
    <row r="10117">
      <c r="A10117" s="1"/>
      <c r="B10117" s="1"/>
    </row>
    <row r="10118">
      <c r="A10118" s="1" t="str">
        <f>IFERROR(__xludf.DUMMYFUNCTION("""COMPUTED_VALUE"""),"Quantum Mutual Fund")</f>
        <v>Quantum Mutual Fund</v>
      </c>
      <c r="B10118" s="1"/>
    </row>
    <row r="10119">
      <c r="A10119" s="1"/>
      <c r="B10119" s="1"/>
    </row>
    <row r="10120">
      <c r="A10120" s="1" t="str">
        <f>IFERROR(__xludf.DUMMYFUNCTION("""COMPUTED_VALUE"""),"108479;INF082J01028;-;Quantum Nifty 50 ETF;2056.6849;25-Aug-2023")</f>
        <v>108479;INF082J01028;-;Quantum Nifty 50 ETF;2056.6849;25-Aug-2023</v>
      </c>
      <c r="B10120" s="1"/>
    </row>
    <row r="10121">
      <c r="A10121" s="1"/>
      <c r="B10121" s="1"/>
    </row>
    <row r="10122">
      <c r="A10122" s="1" t="str">
        <f>IFERROR(__xludf.DUMMYFUNCTION("""COMPUTED_VALUE"""),"SBI Mutual Fund")</f>
        <v>SBI Mutual Fund</v>
      </c>
      <c r="B10122" s="1"/>
    </row>
    <row r="10123">
      <c r="A10123" s="1"/>
      <c r="B10123" s="1"/>
    </row>
    <row r="10124">
      <c r="A10124" s="1" t="str">
        <f>IFERROR(__xludf.DUMMYFUNCTION("""COMPUTED_VALUE"""),"139430;INF200KA1JT1;-;SBI Nifty 10 yr Benchmark G-Sec ETF;217.0031;25-Aug-2023")</f>
        <v>139430;INF200KA1JT1;-;SBI Nifty 10 yr Benchmark G-Sec ETF;217.0031;25-Aug-2023</v>
      </c>
      <c r="B10124" s="1"/>
    </row>
    <row r="10125">
      <c r="A10125" s="1" t="str">
        <f>IFERROR(__xludf.DUMMYFUNCTION("""COMPUTED_VALUE"""),"145648;INF200KA1WX6;-;SBI Nifty 200 Quality 30 ETF;167.5993;25-Aug-2023")</f>
        <v>145648;INF200KA1WX6;-;SBI Nifty 200 Quality 30 ETF;167.5993;25-Aug-2023</v>
      </c>
      <c r="B10125" s="1"/>
    </row>
    <row r="10126">
      <c r="A10126" s="1" t="str">
        <f>IFERROR(__xludf.DUMMYFUNCTION("""COMPUTED_VALUE"""),"135106;INF200KA1FS1;-;SBI Nifty 50 ETF;200.8778;25-Aug-2023")</f>
        <v>135106;INF200KA1FS1;-;SBI Nifty 50 ETF;200.8778;25-Aug-2023</v>
      </c>
      <c r="B10126" s="1"/>
    </row>
    <row r="10127">
      <c r="A10127" s="1" t="str">
        <f>IFERROR(__xludf.DUMMYFUNCTION("""COMPUTED_VALUE"""),"134008;INF200KA1580;-;SBI Nifty Bank ETF;447.2902;25-Aug-2023")</f>
        <v>134008;INF200KA1580;-;SBI Nifty Bank ETF;447.2902;25-Aug-2023</v>
      </c>
      <c r="B10127" s="1"/>
    </row>
    <row r="10128">
      <c r="A10128" s="1" t="str">
        <f>IFERROR(__xludf.DUMMYFUNCTION("""COMPUTED_VALUE"""),"149041;INF200KA1X17;-;SBI Nifty Consumption ETF;83.8990;25-Aug-2023")</f>
        <v>149041;INF200KA1X17;-;SBI Nifty Consumption ETF;83.8990;25-Aug-2023</v>
      </c>
      <c r="B10128" s="1"/>
    </row>
    <row r="10129">
      <c r="A10129" s="1" t="str">
        <f>IFERROR(__xludf.DUMMYFUNCTION("""COMPUTED_VALUE"""),"148542;INF200KA1S14;-;SBI Nifty IT ETF;324.2731;25-Aug-2023")</f>
        <v>148542;INF200KA1S14;-;SBI Nifty IT ETF;324.2731;25-Aug-2023</v>
      </c>
      <c r="B10129" s="1"/>
    </row>
    <row r="10130">
      <c r="A10130" s="1" t="str">
        <f>IFERROR(__xludf.DUMMYFUNCTION("""COMPUTED_VALUE"""),"134013;INF200KA1598;-;SBI Nifty Next 50 ETF;462.9311;25-Aug-2023")</f>
        <v>134013;INF200KA1598;-;SBI Nifty Next 50 ETF;462.9311;25-Aug-2023</v>
      </c>
      <c r="B10130" s="1"/>
    </row>
    <row r="10131">
      <c r="A10131" s="1" t="str">
        <f>IFERROR(__xludf.DUMMYFUNCTION("""COMPUTED_VALUE"""),"148541;INF200KA1S22;-;SBI Nifty Private Bank ETF;231.9229;25-Aug-2023")</f>
        <v>148541;INF200KA1S22;-;SBI Nifty Private Bank ETF;231.9229;25-Aug-2023</v>
      </c>
      <c r="B10131" s="1"/>
    </row>
    <row r="10132">
      <c r="A10132" s="1" t="str">
        <f>IFERROR(__xludf.DUMMYFUNCTION("""COMPUTED_VALUE"""),"134014;INF200KA1572;-;SBI S&amp;P BSE 100 ETF;212.4918;25-Aug-2023")</f>
        <v>134014;INF200KA1572;-;SBI S&amp;P BSE 100 ETF;212.4918;25-Aug-2023</v>
      </c>
      <c r="B10132" s="1"/>
    </row>
    <row r="10133">
      <c r="A10133" s="1" t="str">
        <f>IFERROR(__xludf.DUMMYFUNCTION("""COMPUTED_VALUE"""),"121109;INF200K01VT2;-;SBI S&amp;P BSE SENSEX ETF;700.6580;25-Aug-2023")</f>
        <v>121109;INF200K01VT2;-;SBI S&amp;P BSE SENSEX ETF;700.6580;25-Aug-2023</v>
      </c>
      <c r="B10133" s="1"/>
    </row>
    <row r="10134">
      <c r="A10134" s="1" t="str">
        <f>IFERROR(__xludf.DUMMYFUNCTION("""COMPUTED_VALUE"""),"144916;INF200KA1VQ2;-;SBI S&amp;P BSE Sensex Next 50 ETF;581.5238;25-Aug-2023")</f>
        <v>144916;INF200KA1VQ2;-;SBI S&amp;P BSE Sensex Next 50 ETF;581.5238;25-Aug-2023</v>
      </c>
      <c r="B10134" s="1"/>
    </row>
    <row r="10135">
      <c r="A10135" s="1"/>
      <c r="B10135" s="1"/>
    </row>
    <row r="10136">
      <c r="A10136" s="1" t="str">
        <f>IFERROR(__xludf.DUMMYFUNCTION("""COMPUTED_VALUE"""),"Tata Mutual Fund")</f>
        <v>Tata Mutual Fund</v>
      </c>
      <c r="B10136" s="1"/>
    </row>
    <row r="10137">
      <c r="A10137" s="1"/>
      <c r="B10137" s="1"/>
    </row>
    <row r="10138">
      <c r="A10138" s="1" t="str">
        <f>IFERROR(__xludf.DUMMYFUNCTION("""COMPUTED_VALUE"""),"145801;INF277K015R5;-;Tata Nifty 50 Exchange Traded Fund;203.3676;25-Aug-2023")</f>
        <v>145801;INF277K015R5;-;Tata Nifty 50 Exchange Traded Fund;203.3676;25-Aug-2023</v>
      </c>
      <c r="B10138" s="1"/>
    </row>
    <row r="10139">
      <c r="A10139" s="1" t="str">
        <f>IFERROR(__xludf.DUMMYFUNCTION("""COMPUTED_VALUE"""),"149959;INF277KA1364;-;Tata Nifty India Digital Exchange Traded Fund;63.3334;25-Aug-2023")</f>
        <v>149959;INF277KA1364;-;Tata Nifty India Digital Exchange Traded Fund;63.3334;25-Aug-2023</v>
      </c>
      <c r="B10139" s="1"/>
    </row>
    <row r="10140">
      <c r="A10140" s="1" t="str">
        <f>IFERROR(__xludf.DUMMYFUNCTION("""COMPUTED_VALUE"""),"147614;INF277K010X4;-;Tata Nifty Private Bank Exchange Traded Fund;234.7871;25-Aug-2023")</f>
        <v>147614;INF277K010X4;-;Tata Nifty Private Bank Exchange Traded Fund;234.7871;25-Aug-2023</v>
      </c>
      <c r="B10140" s="1"/>
    </row>
    <row r="10141">
      <c r="A10141" s="1"/>
      <c r="B10141" s="1"/>
    </row>
    <row r="10142">
      <c r="A10142" s="1" t="str">
        <f>IFERROR(__xludf.DUMMYFUNCTION("""COMPUTED_VALUE"""),"UTI Mutual Fund")</f>
        <v>UTI Mutual Fund</v>
      </c>
      <c r="B10142" s="1"/>
    </row>
    <row r="10143">
      <c r="A10143" s="1"/>
      <c r="B10143" s="1"/>
    </row>
    <row r="10144">
      <c r="A10144" s="1" t="str">
        <f>IFERROR(__xludf.DUMMYFUNCTION("""COMPUTED_VALUE"""),"141665;INF789F1AUW9;-;UTI Nifty Next 50 Exchange Traded Fund;46.5739;25-Aug-2023")</f>
        <v>141665;INF789F1AUW9;-;UTI Nifty Next 50 Exchange Traded Fund;46.5739;25-Aug-2023</v>
      </c>
      <c r="B10144" s="1"/>
    </row>
    <row r="10145">
      <c r="A10145" s="1" t="str">
        <f>IFERROR(__xludf.DUMMYFUNCTION("""COMPUTED_VALUE"""),"146388;INF789F1AUU3;-;UTI - S&amp;P BSE Sensex Next 50 Exchange Traded Fund;57.9232;25-Aug-2023")</f>
        <v>146388;INF789F1AUU3;-;UTI - S&amp;P BSE Sensex Next 50 Exchange Traded Fund;57.9232;25-Aug-2023</v>
      </c>
      <c r="B10145" s="1"/>
    </row>
    <row r="10146">
      <c r="A10146" s="1" t="str">
        <f>IFERROR(__xludf.DUMMYFUNCTION("""COMPUTED_VALUE"""),"135320;INF789FB1X41;-;UTI Nifty 50 ETF;2067.885;25-Aug-2023")</f>
        <v>135320;INF789FB1X41;-;UTI Nifty 50 ETF;2067.885;25-Aug-2023</v>
      </c>
      <c r="B10146" s="1"/>
    </row>
    <row r="10147">
      <c r="A10147" s="1" t="str">
        <f>IFERROR(__xludf.DUMMYFUNCTION("""COMPUTED_VALUE"""),"148173;INF789F1AUV1;-;UTI Nifty Bank ETF;44.969;25-Aug-2023")</f>
        <v>148173;INF789F1AUV1;-;UTI Nifty Bank ETF;44.969;25-Aug-2023</v>
      </c>
      <c r="B10147" s="1"/>
    </row>
    <row r="10148">
      <c r="A10148" s="1" t="str">
        <f>IFERROR(__xludf.DUMMYFUNCTION("""COMPUTED_VALUE"""),"135321;INF789FB1X58;-;UTI S&amp;P BSE Sensex ETF;696.3057;25-Aug-2023")</f>
        <v>135321;INF789FB1X58;-;UTI S&amp;P BSE Sensex ETF;696.3057;25-Aug-2023</v>
      </c>
      <c r="B10148" s="1"/>
    </row>
    <row r="10149">
      <c r="A10149" s="1" t="str">
        <f>IFERROR(__xludf.DUMMYFUNCTION("""COMPUTED_VALUE"""),"151730;-;-;UTI Silver Exchange Traded Fund;74.2709;25-Aug-2023")</f>
        <v>151730;-;-;UTI Silver Exchange Traded Fund;74.2709;25-Aug-2023</v>
      </c>
      <c r="B10149" s="1"/>
    </row>
    <row r="10150">
      <c r="A10150" s="1"/>
      <c r="B10150" s="1"/>
    </row>
    <row r="10151">
      <c r="A10151" s="1" t="str">
        <f>IFERROR(__xludf.DUMMYFUNCTION("""COMPUTED_VALUE"""),"Open Ended Schemes(Solution Oriented Scheme - Children’s Fund)")</f>
        <v>Open Ended Schemes(Solution Oriented Scheme - Children’s Fund)</v>
      </c>
      <c r="B10151" s="1"/>
    </row>
    <row r="10152">
      <c r="A10152" s="1"/>
      <c r="B10152" s="1"/>
    </row>
    <row r="10153">
      <c r="A10153" s="1" t="str">
        <f>IFERROR(__xludf.DUMMYFUNCTION("""COMPUTED_VALUE"""),"Aditya Birla Sun Life Mutual Fund")</f>
        <v>Aditya Birla Sun Life Mutual Fund</v>
      </c>
      <c r="B10153" s="1"/>
    </row>
    <row r="10154">
      <c r="A10154" s="1"/>
      <c r="B10154" s="1"/>
    </row>
    <row r="10155">
      <c r="A10155" s="1" t="str">
        <f>IFERROR(__xludf.DUMMYFUNCTION("""COMPUTED_VALUE"""),"146407;INF209KB1E84;-;ADITYA BIRLA SUN LIFE BAL BHAVISHYA YOJNA DIRECT GROWTH;16.47;25-Aug-2023")</f>
        <v>146407;INF209KB1E84;-;ADITYA BIRLA SUN LIFE BAL BHAVISHYA YOJNA DIRECT GROWTH;16.47;25-Aug-2023</v>
      </c>
      <c r="B10155" s="1"/>
    </row>
    <row r="10156">
      <c r="A10156" s="1" t="str">
        <f>IFERROR(__xludf.DUMMYFUNCTION("""COMPUTED_VALUE"""),"146409;INF209KB1E76;-;ADITYA BIRLA SUN LIFE BAL BHAVISHYA YOJNA REGULAR GROWTH;15.18;25-Aug-2023")</f>
        <v>146409;INF209KB1E76;-;ADITYA BIRLA SUN LIFE BAL BHAVISHYA YOJNA REGULAR GROWTH;15.18;25-Aug-2023</v>
      </c>
      <c r="B10156" s="1"/>
    </row>
    <row r="10157">
      <c r="A10157" s="1" t="str">
        <f>IFERROR(__xludf.DUMMYFUNCTION("""COMPUTED_VALUE"""),"146408;INF209KB1F18;INF209KB1F26;ADITYA BIRLA SUN LIFE BAL BHAVISHYA YOJNA- Direct - IDCW;16.46;25-Aug-2023")</f>
        <v>146408;INF209KB1F18;INF209KB1F26;ADITYA BIRLA SUN LIFE BAL BHAVISHYA YOJNA- Direct - IDCW;16.46;25-Aug-2023</v>
      </c>
      <c r="B10157" s="1"/>
    </row>
    <row r="10158">
      <c r="A10158" s="1" t="str">
        <f>IFERROR(__xludf.DUMMYFUNCTION("""COMPUTED_VALUE"""),"146405;INF209KB1E92;INF209KB1F00;ADITYA BIRLA SUN LIFE BAL BHAVISHYA YOJNA- Regular - IDCW;15.18;25-Aug-2023")</f>
        <v>146405;INF209KB1E92;INF209KB1F00;ADITYA BIRLA SUN LIFE BAL BHAVISHYA YOJNA- Regular - IDCW;15.18;25-Aug-2023</v>
      </c>
      <c r="B10158" s="1"/>
    </row>
    <row r="10159">
      <c r="A10159" s="1"/>
      <c r="B10159" s="1"/>
    </row>
    <row r="10160">
      <c r="A10160" s="1" t="str">
        <f>IFERROR(__xludf.DUMMYFUNCTION("""COMPUTED_VALUE"""),"Axis Mutual Fund")</f>
        <v>Axis Mutual Fund</v>
      </c>
      <c r="B10160" s="1"/>
    </row>
    <row r="10161">
      <c r="A10161" s="1"/>
      <c r="B10161" s="1"/>
    </row>
    <row r="10162">
      <c r="A10162" s="1" t="str">
        <f>IFERROR(__xludf.DUMMYFUNCTION("""COMPUTED_VALUE"""),"135762;INF846K01WO1;-;Axis Children's Gift Fund - Lock in - Direct Growth;22.7549;25-Aug-2023")</f>
        <v>135762;INF846K01WO1;-;Axis Children's Gift Fund - Lock in - Direct Growth;22.7549;25-Aug-2023</v>
      </c>
      <c r="B10162" s="1"/>
    </row>
    <row r="10163">
      <c r="A10163" s="1" t="str">
        <f>IFERROR(__xludf.DUMMYFUNCTION("""COMPUTED_VALUE"""),"135765;INF846K01WP8;-;Axis Children's Gift Fund - Lock in - Direct Plan - IDCW;22.7356;25-Aug-2023")</f>
        <v>135765;INF846K01WP8;-;Axis Children's Gift Fund - Lock in - Direct Plan - IDCW;22.7356;25-Aug-2023</v>
      </c>
      <c r="B10163" s="1"/>
    </row>
    <row r="10164">
      <c r="A10164" s="1" t="str">
        <f>IFERROR(__xludf.DUMMYFUNCTION("""COMPUTED_VALUE"""),"135759;INF846K01WJ1;-;Axis Children's Gift Fund - Lock in - Regular Growth;20.4549;25-Aug-2023")</f>
        <v>135759;INF846K01WJ1;-;Axis Children's Gift Fund - Lock in - Regular Growth;20.4549;25-Aug-2023</v>
      </c>
      <c r="B10164" s="1"/>
    </row>
    <row r="10165">
      <c r="A10165" s="1" t="str">
        <f>IFERROR(__xludf.DUMMYFUNCTION("""COMPUTED_VALUE"""),"135760;INF846K01WK9;-;Axis Children's Gift Fund - Lock in - Regular Plan - IDCW;20.4660;25-Aug-2023")</f>
        <v>135760;INF846K01WK9;-;Axis Children's Gift Fund - Lock in - Regular Plan - IDCW;20.4660;25-Aug-2023</v>
      </c>
      <c r="B10165" s="1"/>
    </row>
    <row r="10166">
      <c r="A10166" s="1" t="str">
        <f>IFERROR(__xludf.DUMMYFUNCTION("""COMPUTED_VALUE"""),"135764;INF846K01WR4;-;Axis Children's Gift Fund - No Lock in - Direct Growth;23.1111;25-Aug-2023")</f>
        <v>135764;INF846K01WR4;-;Axis Children's Gift Fund - No Lock in - Direct Growth;23.1111;25-Aug-2023</v>
      </c>
      <c r="B10166" s="1"/>
    </row>
    <row r="10167">
      <c r="A10167" s="1" t="str">
        <f>IFERROR(__xludf.DUMMYFUNCTION("""COMPUTED_VALUE"""),"135763;INF846K01WS2;INF846K01WQ6;Axis Children's Gift Fund - No Lock in - Direct Plan - IDCW;22.7689;25-Aug-2023")</f>
        <v>135763;INF846K01WS2;INF846K01WQ6;Axis Children's Gift Fund - No Lock in - Direct Plan - IDCW;22.7689;25-Aug-2023</v>
      </c>
      <c r="B10167" s="1"/>
    </row>
    <row r="10168">
      <c r="A10168" s="1" t="str">
        <f>IFERROR(__xludf.DUMMYFUNCTION("""COMPUTED_VALUE"""),"135766;INF846K01WM5;-;Axis Children's Gift Fund - No Lock in - Regular Plan - Growth;20.4523;25-Aug-2023")</f>
        <v>135766;INF846K01WM5;-;Axis Children's Gift Fund - No Lock in - Regular Plan - Growth;20.4523;25-Aug-2023</v>
      </c>
      <c r="B10168" s="1"/>
    </row>
    <row r="10169">
      <c r="A10169" s="1" t="str">
        <f>IFERROR(__xludf.DUMMYFUNCTION("""COMPUTED_VALUE"""),"135761;INF846K01WN3;INF846K01WL7;Axis Children's Gift Fund - No Lock in - Regular Plan - IDCW;20.4490;25-Aug-2023")</f>
        <v>135761;INF846K01WN3;INF846K01WL7;Axis Children's Gift Fund - No Lock in - Regular Plan - IDCW;20.4490;25-Aug-2023</v>
      </c>
      <c r="B10169" s="1"/>
    </row>
    <row r="10170">
      <c r="A10170" s="1"/>
      <c r="B10170" s="1"/>
    </row>
    <row r="10171">
      <c r="A10171" s="1" t="str">
        <f>IFERROR(__xludf.DUMMYFUNCTION("""COMPUTED_VALUE"""),"HDFC Mutual Fund")</f>
        <v>HDFC Mutual Fund</v>
      </c>
      <c r="B10171" s="1"/>
    </row>
    <row r="10172">
      <c r="A10172" s="1"/>
      <c r="B10172" s="1"/>
    </row>
    <row r="10173">
      <c r="A10173" s="1" t="str">
        <f>IFERROR(__xludf.DUMMYFUNCTION("""COMPUTED_VALUE"""),"100899;-;-;HDFC Children Gift Fund-Savings;44.0722;18-Oct-2017")</f>
        <v>100899;-;-;HDFC Children Gift Fund-Savings;44.0722;18-Oct-2017</v>
      </c>
      <c r="B10173" s="1"/>
    </row>
    <row r="10174">
      <c r="A10174" s="1" t="str">
        <f>IFERROR(__xludf.DUMMYFUNCTION("""COMPUTED_VALUE"""),"119066;-;-;HDFC Childrens Gift Fund - Direct Plan;247.928;25-Aug-2023")</f>
        <v>119066;-;-;HDFC Childrens Gift Fund - Direct Plan;247.928;25-Aug-2023</v>
      </c>
      <c r="B10174" s="1"/>
    </row>
    <row r="10175">
      <c r="A10175" s="1" t="str">
        <f>IFERROR(__xludf.DUMMYFUNCTION("""COMPUTED_VALUE"""),"100900;-;-;HDFC Childrens Gift Fund - Growth Plan;227.091;25-Aug-2023")</f>
        <v>100900;-;-;HDFC Childrens Gift Fund - Growth Plan;227.091;25-Aug-2023</v>
      </c>
      <c r="B10175" s="1"/>
    </row>
    <row r="10176">
      <c r="A10176" s="1" t="str">
        <f>IFERROR(__xludf.DUMMYFUNCTION("""COMPUTED_VALUE"""),"119067;-;-;HDFC Childrens Gift Fund Savings Plan-Direct Plan;45.8807;18-Oct-2017")</f>
        <v>119067;-;-;HDFC Childrens Gift Fund Savings Plan-Direct Plan;45.8807;18-Oct-2017</v>
      </c>
      <c r="B10176" s="1"/>
    </row>
    <row r="10177">
      <c r="A10177" s="1"/>
      <c r="B10177" s="1"/>
    </row>
    <row r="10178">
      <c r="A10178" s="1" t="str">
        <f>IFERROR(__xludf.DUMMYFUNCTION("""COMPUTED_VALUE"""),"ICICI Prudential Mutual Fund")</f>
        <v>ICICI Prudential Mutual Fund</v>
      </c>
      <c r="B10178" s="1"/>
    </row>
    <row r="10179">
      <c r="A10179" s="1"/>
      <c r="B10179" s="1"/>
    </row>
    <row r="10180">
      <c r="A10180" s="1" t="str">
        <f>IFERROR(__xludf.DUMMYFUNCTION("""COMPUTED_VALUE"""),"101127;INF109K01605;-;ICICI Prudential Child Care Fund (Gift Plan) - Cumulative;225.25;25-Aug-2023")</f>
        <v>101127;INF109K01605;-;ICICI Prudential Child Care Fund (Gift Plan) - Cumulative;225.25;25-Aug-2023</v>
      </c>
      <c r="B10180" s="1"/>
    </row>
    <row r="10181">
      <c r="A10181" s="1" t="str">
        <f>IFERROR(__xludf.DUMMYFUNCTION("""COMPUTED_VALUE"""),"120579;INF109K01Y49;-;ICICI Prudential Child Care Fund (Gift Plan) - Direct Plan - Cumulative;244.14;25-Aug-2023")</f>
        <v>120579;INF109K01Y49;-;ICICI Prudential Child Care Fund (Gift Plan) - Direct Plan - Cumulative;244.14;25-Aug-2023</v>
      </c>
      <c r="B10181" s="1"/>
    </row>
    <row r="10182">
      <c r="A10182" s="1"/>
      <c r="B10182" s="1"/>
    </row>
    <row r="10183">
      <c r="A10183" s="1" t="str">
        <f>IFERROR(__xludf.DUMMYFUNCTION("""COMPUTED_VALUE"""),"LIC Mutual Fund")</f>
        <v>LIC Mutual Fund</v>
      </c>
      <c r="B10183" s="1"/>
    </row>
    <row r="10184">
      <c r="A10184" s="1"/>
      <c r="B10184" s="1"/>
    </row>
    <row r="10185">
      <c r="A10185" s="1" t="str">
        <f>IFERROR(__xludf.DUMMYFUNCTION("""COMPUTED_VALUE"""),"120285;INF767K01FB1;-;LIC MF Children's Gift Fund-Direct Plan-Growth;28.7507;25-Aug-2023")</f>
        <v>120285;INF767K01FB1;-;LIC MF Children's Gift Fund-Direct Plan-Growth;28.7507;25-Aug-2023</v>
      </c>
      <c r="B10185" s="1"/>
    </row>
    <row r="10186">
      <c r="A10186" s="1" t="str">
        <f>IFERROR(__xludf.DUMMYFUNCTION("""COMPUTED_VALUE"""),"101271;INF767K01048;-;LIC MF Children's Gift Fund-Regular Plan-Growth;26.1931;25-Aug-2023")</f>
        <v>101271;INF767K01048;-;LIC MF Children's Gift Fund-Regular Plan-Growth;26.1931;25-Aug-2023</v>
      </c>
      <c r="B10186" s="1"/>
    </row>
    <row r="10187">
      <c r="A10187" s="1"/>
      <c r="B10187" s="1"/>
    </row>
    <row r="10188">
      <c r="A10188" s="1" t="str">
        <f>IFERROR(__xludf.DUMMYFUNCTION("""COMPUTED_VALUE"""),"SBI Mutual Fund")</f>
        <v>SBI Mutual Fund</v>
      </c>
      <c r="B10188" s="1"/>
    </row>
    <row r="10189">
      <c r="A10189" s="1"/>
      <c r="B10189" s="1"/>
    </row>
    <row r="10190">
      <c r="A10190" s="1" t="str">
        <f>IFERROR(__xludf.DUMMYFUNCTION("""COMPUTED_VALUE"""),"148490;INF200KA1R07;-;SBI Magnum Children's Benefit Fund - Investment Plan - Direct Plan - Growth;29.5245;25-Aug-2023")</f>
        <v>148490;INF200KA1R07;-;SBI Magnum Children's Benefit Fund - Investment Plan - Direct Plan - Growth;29.5245;25-Aug-2023</v>
      </c>
      <c r="B10190" s="1"/>
    </row>
    <row r="10191">
      <c r="A10191" s="1" t="str">
        <f>IFERROR(__xludf.DUMMYFUNCTION("""COMPUTED_VALUE"""),"148489;INF200KA1Q99;-;SBI Magnum Children's Benefit Fund - Investment Plan - Regular Plan - Growth;28.3372;25-Aug-2023")</f>
        <v>148489;INF200KA1Q99;-;SBI Magnum Children's Benefit Fund - Investment Plan - Regular Plan - Growth;28.3372;25-Aug-2023</v>
      </c>
      <c r="B10191" s="1"/>
    </row>
    <row r="10192">
      <c r="A10192" s="1" t="str">
        <f>IFERROR(__xludf.DUMMYFUNCTION("""COMPUTED_VALUE"""),"119719;INF200K01QR6;-;SBI Magnum Children's Benefit Fund - Savings Plan - DIRECT PLAN - GROWTH;93.4643;25-Aug-2023")</f>
        <v>119719;INF200K01QR6;-;SBI Magnum Children's Benefit Fund - Savings Plan - DIRECT PLAN - GROWTH;93.4643;25-Aug-2023</v>
      </c>
      <c r="B10192" s="1"/>
    </row>
    <row r="10193">
      <c r="A10193" s="1" t="str">
        <f>IFERROR(__xludf.DUMMYFUNCTION("""COMPUTED_VALUE"""),"101169;INF200K01776;-;SBI Magnum Children's Benefit Fund - Savings Plan - REGULAR PLAN - GROWTH;86.3147;25-Aug-2023")</f>
        <v>101169;INF200K01776;-;SBI Magnum Children's Benefit Fund - Savings Plan - REGULAR PLAN - GROWTH;86.3147;25-Aug-2023</v>
      </c>
      <c r="B10193" s="1"/>
    </row>
    <row r="10194">
      <c r="A10194" s="1"/>
      <c r="B10194" s="1"/>
    </row>
    <row r="10195">
      <c r="A10195" s="1" t="str">
        <f>IFERROR(__xludf.DUMMYFUNCTION("""COMPUTED_VALUE"""),"Tata Mutual Fund")</f>
        <v>Tata Mutual Fund</v>
      </c>
      <c r="B10195" s="1"/>
    </row>
    <row r="10196">
      <c r="A10196" s="1"/>
      <c r="B10196" s="1"/>
    </row>
    <row r="10197">
      <c r="A10197" s="1" t="str">
        <f>IFERROR(__xludf.DUMMYFUNCTION("""COMPUTED_VALUE"""),"101491;INF277K01AJ5;-;Tata Young Citizens' Fund -Regular Plan-Growth Option;47.9279;25-Aug-2023")</f>
        <v>101491;INF277K01AJ5;-;Tata Young Citizens' Fund -Regular Plan-Growth Option;47.9279;25-Aug-2023</v>
      </c>
      <c r="B10197" s="1"/>
    </row>
    <row r="10198">
      <c r="A10198" s="1" t="str">
        <f>IFERROR(__xludf.DUMMYFUNCTION("""COMPUTED_VALUE"""),"119312;INF277K01QW4;-;Tata Young Citizens' Fund-Direct Plan-Growth Option;52.8063;25-Aug-2023")</f>
        <v>119312;INF277K01QW4;-;Tata Young Citizens' Fund-Direct Plan-Growth Option;52.8063;25-Aug-2023</v>
      </c>
      <c r="B10198" s="1"/>
    </row>
    <row r="10199">
      <c r="A10199" s="1"/>
      <c r="B10199" s="1"/>
    </row>
    <row r="10200">
      <c r="A10200" s="1" t="str">
        <f>IFERROR(__xludf.DUMMYFUNCTION("""COMPUTED_VALUE"""),"UTI Mutual Fund")</f>
        <v>UTI Mutual Fund</v>
      </c>
      <c r="B10200" s="1"/>
    </row>
    <row r="10201">
      <c r="A10201" s="1"/>
      <c r="B10201" s="1"/>
    </row>
    <row r="10202">
      <c r="A10202" s="1" t="str">
        <f>IFERROR(__xludf.DUMMYFUNCTION("""COMPUTED_VALUE"""),"120771;-;-;UTI CCF Saving Plan - Direct Plan;33.5672;25-Aug-2023")</f>
        <v>120771;-;-;UTI CCF Saving Plan - Direct Plan;33.5672;25-Aug-2023</v>
      </c>
      <c r="B10202" s="1"/>
    </row>
    <row r="10203">
      <c r="A10203" s="1" t="str">
        <f>IFERROR(__xludf.DUMMYFUNCTION("""COMPUTED_VALUE"""),"100678;-;-;UTI CCF Saving Plan - Regular Plan;32.9564;25-Aug-2023")</f>
        <v>100678;-;-;UTI CCF Saving Plan - Regular Plan;32.9564;25-Aug-2023</v>
      </c>
      <c r="B10203" s="1"/>
    </row>
    <row r="10204">
      <c r="A10204" s="1" t="str">
        <f>IFERROR(__xludf.DUMMYFUNCTION("""COMPUTED_VALUE"""),"120724;-;-;UTI CCF Investment Plan - Direct Plan - Growth Option;69.6741;25-Aug-2023")</f>
        <v>120724;-;-;UTI CCF Investment Plan - Direct Plan - Growth Option;69.6741;25-Aug-2023</v>
      </c>
      <c r="B10204" s="1"/>
    </row>
    <row r="10205">
      <c r="A10205" s="1" t="str">
        <f>IFERROR(__xludf.DUMMYFUNCTION("""COMPUTED_VALUE"""),"120725;-;-;UTI CCF Investment Plan - Direct Plan - IDCW;69.7944;25-Aug-2023")</f>
        <v>120725;-;-;UTI CCF Investment Plan - Direct Plan - IDCW;69.7944;25-Aug-2023</v>
      </c>
      <c r="B10205" s="1"/>
    </row>
    <row r="10206">
      <c r="A10206" s="1" t="str">
        <f>IFERROR(__xludf.DUMMYFUNCTION("""COMPUTED_VALUE"""),"102267;-;-;UTI CCF Investment Plan - Regular Plan - Growth Option;64.0473;25-Aug-2023")</f>
        <v>102267;-;-;UTI CCF Investment Plan - Regular Plan - Growth Option;64.0473;25-Aug-2023</v>
      </c>
      <c r="B10206" s="1"/>
    </row>
    <row r="10207">
      <c r="A10207" s="1" t="str">
        <f>IFERROR(__xludf.DUMMYFUNCTION("""COMPUTED_VALUE"""),"102266;-;-;UTI CCF Investment Plan - Regular Plan - IDCW;64.0512;25-Aug-2023")</f>
        <v>102266;-;-;UTI CCF Investment Plan - Regular Plan - IDCW;64.0512;25-Aug-2023</v>
      </c>
      <c r="B10207" s="1"/>
    </row>
    <row r="10208">
      <c r="A10208" s="1"/>
      <c r="B10208" s="1"/>
    </row>
    <row r="10209">
      <c r="A10209" s="1" t="str">
        <f>IFERROR(__xludf.DUMMYFUNCTION("""COMPUTED_VALUE"""),"Open Ended Schemes(Solution Oriented Scheme - Retirement Fund)")</f>
        <v>Open Ended Schemes(Solution Oriented Scheme - Retirement Fund)</v>
      </c>
      <c r="B10209" s="1"/>
    </row>
    <row r="10210">
      <c r="A10210" s="1"/>
      <c r="B10210" s="1"/>
    </row>
    <row r="10211">
      <c r="A10211" s="1" t="str">
        <f>IFERROR(__xludf.DUMMYFUNCTION("""COMPUTED_VALUE"""),"Aditya Birla Sun Life Mutual Fund")</f>
        <v>Aditya Birla Sun Life Mutual Fund</v>
      </c>
      <c r="B10211" s="1"/>
    </row>
    <row r="10212">
      <c r="A10212" s="1"/>
      <c r="B10212" s="1"/>
    </row>
    <row r="10213">
      <c r="A10213" s="1" t="str">
        <f>IFERROR(__xludf.DUMMYFUNCTION("""COMPUTED_VALUE"""),"146576;INF209KB1I31;INF209KB1I49;Aditya Birla Sun Life Retirement Fund-The 30s Plan-Direct - Payout of IDCW;15.815;25-Aug-2023")</f>
        <v>146576;INF209KB1I31;INF209KB1I49;Aditya Birla Sun Life Retirement Fund-The 30s Plan-Direct - Payout of IDCW;15.815;25-Aug-2023</v>
      </c>
      <c r="B10213" s="1"/>
    </row>
    <row r="10214">
      <c r="A10214" s="1" t="str">
        <f>IFERROR(__xludf.DUMMYFUNCTION("""COMPUTED_VALUE"""),"146575;INF209KB1I23;-;Aditya Birla Sun Life Retirement Fund-The 30s Plan-Direct Growth;15.825;25-Aug-2023")</f>
        <v>146575;INF209KB1I23;-;Aditya Birla Sun Life Retirement Fund-The 30s Plan-Direct Growth;15.825;25-Aug-2023</v>
      </c>
      <c r="B10214" s="1"/>
    </row>
    <row r="10215">
      <c r="A10215" s="1" t="str">
        <f>IFERROR(__xludf.DUMMYFUNCTION("""COMPUTED_VALUE"""),"146574;INF209KB1I07;INF209KB1I15;Aditya Birla Sun Life Retirement Fund-The 30s Plan-Regular - Payout of IDCW;14.7;25-Aug-2023")</f>
        <v>146574;INF209KB1I07;INF209KB1I15;Aditya Birla Sun Life Retirement Fund-The 30s Plan-Regular - Payout of IDCW;14.7;25-Aug-2023</v>
      </c>
      <c r="B10215" s="1"/>
    </row>
    <row r="10216">
      <c r="A10216" s="1" t="str">
        <f>IFERROR(__xludf.DUMMYFUNCTION("""COMPUTED_VALUE"""),"146577;INF209KB1H99;-;Aditya Birla Sun Life Retirement Fund-The 30s Plan-Regular Growth;14.707;25-Aug-2023")</f>
        <v>146577;INF209KB1H99;-;Aditya Birla Sun Life Retirement Fund-The 30s Plan-Regular Growth;14.707;25-Aug-2023</v>
      </c>
      <c r="B10216" s="1"/>
    </row>
    <row r="10217">
      <c r="A10217" s="1" t="str">
        <f>IFERROR(__xludf.DUMMYFUNCTION("""COMPUTED_VALUE"""),"146927;INF209KB1I98;INF209KB1J06;Aditya Birla Sun Life Retirement Fund-The 40s Plan- Direct - Payout of IDCW;15.317;25-Aug-2023")</f>
        <v>146927;INF209KB1I98;INF209KB1J06;Aditya Birla Sun Life Retirement Fund-The 40s Plan- Direct - Payout of IDCW;15.317;25-Aug-2023</v>
      </c>
      <c r="B10217" s="1"/>
    </row>
    <row r="10218">
      <c r="A10218" s="1" t="str">
        <f>IFERROR(__xludf.DUMMYFUNCTION("""COMPUTED_VALUE"""),"146930;INF209KB1I80;-;Aditya Birla Sun Life Retirement Fund-The 40s Plan-Direct Plan-Growth;15.32;25-Aug-2023")</f>
        <v>146930;INF209KB1I80;-;Aditya Birla Sun Life Retirement Fund-The 40s Plan-Direct Plan-Growth;15.32;25-Aug-2023</v>
      </c>
      <c r="B10218" s="1"/>
    </row>
    <row r="10219">
      <c r="A10219" s="1" t="str">
        <f>IFERROR(__xludf.DUMMYFUNCTION("""COMPUTED_VALUE"""),"146928;INF209KB1I64;-;Aditya Birla Sun Life Retirement Fund-The 40s Plan-Regular - Payout of IDCW;14.296;25-Aug-2023")</f>
        <v>146928;INF209KB1I64;-;Aditya Birla Sun Life Retirement Fund-The 40s Plan-Regular - Payout of IDCW;14.296;25-Aug-2023</v>
      </c>
      <c r="B10219" s="1"/>
    </row>
    <row r="10220">
      <c r="A10220" s="1" t="str">
        <f>IFERROR(__xludf.DUMMYFUNCTION("""COMPUTED_VALUE"""),"146929;INF209KB1I56;INF209KB1I72;Aditya Birla Sun Life Retirement Fund-The 40s Plan-Regular Plan-Growth;14.296;25-Aug-2023")</f>
        <v>146929;INF209KB1I56;INF209KB1I72;Aditya Birla Sun Life Retirement Fund-The 40s Plan-Regular Plan-Growth;14.296;25-Aug-2023</v>
      </c>
      <c r="B10220" s="1"/>
    </row>
    <row r="10221">
      <c r="A10221" s="1" t="str">
        <f>IFERROR(__xludf.DUMMYFUNCTION("""COMPUTED_VALUE"""),"146937;INF209KB1J55;INF209KB1J63;Aditya Birla Sun Life Retirement Fund-The 50s Plan- Direct - Payout of IDCW;13.1439;25-Aug-2023")</f>
        <v>146937;INF209KB1J55;INF209KB1J63;Aditya Birla Sun Life Retirement Fund-The 50s Plan- Direct - Payout of IDCW;13.1439;25-Aug-2023</v>
      </c>
      <c r="B10221" s="1"/>
    </row>
    <row r="10222">
      <c r="A10222" s="1" t="str">
        <f>IFERROR(__xludf.DUMMYFUNCTION("""COMPUTED_VALUE"""),"146939;INF209KB1J22;INF209KB1J30;Aditya Birla Sun Life Retirement Fund-The 50s Plan- Regular - Payout of IDCW;12.3505;25-Aug-2023")</f>
        <v>146939;INF209KB1J22;INF209KB1J30;Aditya Birla Sun Life Retirement Fund-The 50s Plan- Regular - Payout of IDCW;12.3505;25-Aug-2023</v>
      </c>
      <c r="B10222" s="1"/>
    </row>
    <row r="10223">
      <c r="A10223" s="1" t="str">
        <f>IFERROR(__xludf.DUMMYFUNCTION("""COMPUTED_VALUE"""),"146940;INF209KB1J48;-;Aditya Birla Sun Life Retirement Fund-The 50s Plan-Direct Plan-Growth;13.1442;25-Aug-2023")</f>
        <v>146940;INF209KB1J48;-;Aditya Birla Sun Life Retirement Fund-The 50s Plan-Direct Plan-Growth;13.1442;25-Aug-2023</v>
      </c>
      <c r="B10223" s="1"/>
    </row>
    <row r="10224">
      <c r="A10224" s="1" t="str">
        <f>IFERROR(__xludf.DUMMYFUNCTION("""COMPUTED_VALUE"""),"146938;INF209KB1J14;-;Aditya Birla Sun Life Retirement Fund-The 50s Plan-Regular Plan-Growth;12.3516;25-Aug-2023")</f>
        <v>146938;INF209KB1J14;-;Aditya Birla Sun Life Retirement Fund-The 50s Plan-Regular Plan-Growth;12.3516;25-Aug-2023</v>
      </c>
      <c r="B10224" s="1"/>
    </row>
    <row r="10225">
      <c r="A10225" s="1" t="str">
        <f>IFERROR(__xludf.DUMMYFUNCTION("""COMPUTED_VALUE"""),"146944;INF209KB1K11;INF209KB1K29;Aditya Birla Sun Life Retirement Fund-The 50s Plus-Debt Plan - Direct - Payout of IDCW;12.5384;25-Aug-2023")</f>
        <v>146944;INF209KB1K11;INF209KB1K29;Aditya Birla Sun Life Retirement Fund-The 50s Plus-Debt Plan - Direct - Payout of IDCW;12.5384;25-Aug-2023</v>
      </c>
      <c r="B10225" s="1"/>
    </row>
    <row r="10226">
      <c r="A10226" s="1" t="str">
        <f>IFERROR(__xludf.DUMMYFUNCTION("""COMPUTED_VALUE"""),"146942;INF209KB1J89;INF209KB1J97;Aditya Birla Sun Life Retirement Fund-The 50s Plus-Debt Plan - Regular - Payout of IDCW;11.8079;25-Aug-2023")</f>
        <v>146942;INF209KB1J89;INF209KB1J97;Aditya Birla Sun Life Retirement Fund-The 50s Plus-Debt Plan - Regular - Payout of IDCW;11.8079;25-Aug-2023</v>
      </c>
      <c r="B10226" s="1"/>
    </row>
    <row r="10227">
      <c r="A10227" s="1" t="str">
        <f>IFERROR(__xludf.DUMMYFUNCTION("""COMPUTED_VALUE"""),"146943;INF209KB1K03;-;Aditya Birla Sun Life Retirement Fund-The 50s Plus-Debt Plan-Direct Plan-Growth;12.5384;25-Aug-2023")</f>
        <v>146943;INF209KB1K03;-;Aditya Birla Sun Life Retirement Fund-The 50s Plus-Debt Plan-Direct Plan-Growth;12.5384;25-Aug-2023</v>
      </c>
      <c r="B10227" s="1"/>
    </row>
    <row r="10228">
      <c r="A10228" s="1" t="str">
        <f>IFERROR(__xludf.DUMMYFUNCTION("""COMPUTED_VALUE"""),"146941;INF209KB1J71;-;Aditya Birla Sun Life Retirement Fund-The 50s Plus-Debt Plan-Regular Plan-Growth;11.807;25-Aug-2023")</f>
        <v>146941;INF209KB1J71;-;Aditya Birla Sun Life Retirement Fund-The 50s Plus-Debt Plan-Regular Plan-Growth;11.807;25-Aug-2023</v>
      </c>
      <c r="B10228" s="1"/>
    </row>
    <row r="10229">
      <c r="A10229" s="1"/>
      <c r="B10229" s="1"/>
    </row>
    <row r="10230">
      <c r="A10230" s="1" t="str">
        <f>IFERROR(__xludf.DUMMYFUNCTION("""COMPUTED_VALUE"""),"Axis Mutual Fund")</f>
        <v>Axis Mutual Fund</v>
      </c>
      <c r="B10230" s="1"/>
    </row>
    <row r="10231">
      <c r="A10231" s="1"/>
      <c r="B10231" s="1"/>
    </row>
    <row r="10232">
      <c r="A10232" s="1" t="str">
        <f>IFERROR(__xludf.DUMMYFUNCTION("""COMPUTED_VALUE"""),"147825;INF846K01S86;-;Axis Retirement Savings Fund - Aggressive Plan - Direct Growth;14.26;25-Aug-2023")</f>
        <v>147825;INF846K01S86;-;Axis Retirement Savings Fund - Aggressive Plan - Direct Growth;14.26;25-Aug-2023</v>
      </c>
      <c r="B10232" s="1"/>
    </row>
    <row r="10233">
      <c r="A10233" s="1" t="str">
        <f>IFERROR(__xludf.DUMMYFUNCTION("""COMPUTED_VALUE"""),"147822;INF846K01S94;-;Axis Retirement Savings Fund - Aggressive Plan - Direct Plan - IDCW;14.22;25-Aug-2023")</f>
        <v>147822;INF846K01S94;-;Axis Retirement Savings Fund - Aggressive Plan - Direct Plan - IDCW;14.22;25-Aug-2023</v>
      </c>
      <c r="B10233" s="1"/>
    </row>
    <row r="10234">
      <c r="A10234" s="1" t="str">
        <f>IFERROR(__xludf.DUMMYFUNCTION("""COMPUTED_VALUE"""),"147823;INF846K01T02;-;Axis Retirement Savings Fund - Aggressive Plan - Regular Growth;13.41;25-Aug-2023")</f>
        <v>147823;INF846K01T02;-;Axis Retirement Savings Fund - Aggressive Plan - Regular Growth;13.41;25-Aug-2023</v>
      </c>
      <c r="B10234" s="1"/>
    </row>
    <row r="10235">
      <c r="A10235" s="1" t="str">
        <f>IFERROR(__xludf.DUMMYFUNCTION("""COMPUTED_VALUE"""),"147824;INF846K01T10;-;Axis Retirement Savings Fund - Aggressive Plan - Regular Plan - IDCW;13.41;25-Aug-2023")</f>
        <v>147824;INF846K01T10;-;Axis Retirement Savings Fund - Aggressive Plan - Regular Plan - IDCW;13.41;25-Aug-2023</v>
      </c>
      <c r="B10235" s="1"/>
    </row>
    <row r="10236">
      <c r="A10236" s="1" t="str">
        <f>IFERROR(__xludf.DUMMYFUNCTION("""COMPUTED_VALUE"""),"147830;INF846K01T69;-;Axis Retirement Savings Fund - Conservative Plan - Direct Growth;13.7634;25-Aug-2023")</f>
        <v>147830;INF846K01T69;-;Axis Retirement Savings Fund - Conservative Plan - Direct Growth;13.7634;25-Aug-2023</v>
      </c>
      <c r="B10236" s="1"/>
    </row>
    <row r="10237">
      <c r="A10237" s="1" t="str">
        <f>IFERROR(__xludf.DUMMYFUNCTION("""COMPUTED_VALUE"""),"147831;INF846K01T77;-;Axis Retirement Savings Fund - Conservative Plan - Direct Plan - IDCW;13.6379;25-Aug-2023")</f>
        <v>147831;INF846K01T77;-;Axis Retirement Savings Fund - Conservative Plan - Direct Plan - IDCW;13.6379;25-Aug-2023</v>
      </c>
      <c r="B10237" s="1"/>
    </row>
    <row r="10238">
      <c r="A10238" s="1" t="str">
        <f>IFERROR(__xludf.DUMMYFUNCTION("""COMPUTED_VALUE"""),"147832;INF846K01T85;-;Axis Retirement Savings Fund - Conservative Plan - Regular Growth;12.9216;25-Aug-2023")</f>
        <v>147832;INF846K01T85;-;Axis Retirement Savings Fund - Conservative Plan - Regular Growth;12.9216;25-Aug-2023</v>
      </c>
      <c r="B10238" s="1"/>
    </row>
    <row r="10239">
      <c r="A10239" s="1" t="str">
        <f>IFERROR(__xludf.DUMMYFUNCTION("""COMPUTED_VALUE"""),"147833;INF846K01T93;-;Axis Retirement Savings Fund - Conservative Plan - Regular Plan - IDCW;12.9208;25-Aug-2023")</f>
        <v>147833;INF846K01T93;-;Axis Retirement Savings Fund - Conservative Plan - Regular Plan - IDCW;12.9208;25-Aug-2023</v>
      </c>
      <c r="B10239" s="1"/>
    </row>
    <row r="10240">
      <c r="A10240" s="1" t="str">
        <f>IFERROR(__xludf.DUMMYFUNCTION("""COMPUTED_VALUE"""),"147826;INF846K01T28;-;Axis Retirement Savings Fund - Dynamic Plan - Direct Growth;15.00;25-Aug-2023")</f>
        <v>147826;INF846K01T28;-;Axis Retirement Savings Fund - Dynamic Plan - Direct Growth;15.00;25-Aug-2023</v>
      </c>
      <c r="B10240" s="1"/>
    </row>
    <row r="10241">
      <c r="A10241" s="1" t="str">
        <f>IFERROR(__xludf.DUMMYFUNCTION("""COMPUTED_VALUE"""),"147827;INF846K01T36;-;Axis Retirement Savings Fund - Dynamic Plan - Direct Plan - IDCW;14.85;25-Aug-2023")</f>
        <v>147827;INF846K01T36;-;Axis Retirement Savings Fund - Dynamic Plan - Direct Plan - IDCW;14.85;25-Aug-2023</v>
      </c>
      <c r="B10241" s="1"/>
    </row>
    <row r="10242">
      <c r="A10242" s="1" t="str">
        <f>IFERROR(__xludf.DUMMYFUNCTION("""COMPUTED_VALUE"""),"147828;INF846K01T44;-;Axis Retirement Savings Fund - Dynamic Plan - Regular Growth;14.04;25-Aug-2023")</f>
        <v>147828;INF846K01T44;-;Axis Retirement Savings Fund - Dynamic Plan - Regular Growth;14.04;25-Aug-2023</v>
      </c>
      <c r="B10242" s="1"/>
    </row>
    <row r="10243">
      <c r="A10243" s="1" t="str">
        <f>IFERROR(__xludf.DUMMYFUNCTION("""COMPUTED_VALUE"""),"147829;INF846K01T51;-;Axis Retirement Savings Fund - Dynamic Plan - Regular Plan - IDCW;14.04;25-Aug-2023")</f>
        <v>147829;INF846K01T51;-;Axis Retirement Savings Fund - Dynamic Plan - Regular Plan - IDCW;14.04;25-Aug-2023</v>
      </c>
      <c r="B10243" s="1"/>
    </row>
    <row r="10244">
      <c r="A10244" s="1"/>
      <c r="B10244" s="1"/>
    </row>
    <row r="10245">
      <c r="A10245" s="1" t="str">
        <f>IFERROR(__xludf.DUMMYFUNCTION("""COMPUTED_VALUE"""),"Franklin Templeton Mutual Fund")</f>
        <v>Franklin Templeton Mutual Fund</v>
      </c>
      <c r="B10245" s="1"/>
    </row>
    <row r="10246">
      <c r="A10246" s="1"/>
      <c r="B10246" s="1"/>
    </row>
    <row r="10247">
      <c r="A10247" s="1" t="str">
        <f>IFERROR(__xludf.DUMMYFUNCTION("""COMPUTED_VALUE"""),"118548;INF090I01JZ3;-;Franklin India  PENSION PLAN - Direct - Growth;189.5409;25-Aug-2023")</f>
        <v>118548;INF090I01JZ3;-;Franklin India  PENSION PLAN - Direct - Growth;189.5409;25-Aug-2023</v>
      </c>
      <c r="B10247" s="1"/>
    </row>
    <row r="10248">
      <c r="A10248" s="1" t="str">
        <f>IFERROR(__xludf.DUMMYFUNCTION("""COMPUTED_VALUE"""),"118549;INF090I01KA4;INF090I01KB2;Franklin India Pension Plan - Direct - IDCW ;18.6874;25-Aug-2023")</f>
        <v>118549;INF090I01KA4;INF090I01KB2;Franklin India Pension Plan - Direct - IDCW ;18.6874;25-Aug-2023</v>
      </c>
      <c r="B10248" s="1"/>
    </row>
    <row r="10249">
      <c r="A10249" s="1" t="str">
        <f>IFERROR(__xludf.DUMMYFUNCTION("""COMPUTED_VALUE"""),"100535;INF090I01528;INF090I01536;Franklin India Pension Plan - IDCW ;16.8864;25-Aug-2023")</f>
        <v>100535;INF090I01528;INF090I01536;Franklin India Pension Plan - IDCW ;16.8864;25-Aug-2023</v>
      </c>
      <c r="B10249" s="1"/>
    </row>
    <row r="10250">
      <c r="A10250" s="1" t="str">
        <f>IFERROR(__xludf.DUMMYFUNCTION("""COMPUTED_VALUE"""),"100536;INF090I01510;-;Franklin India Pension Plan-Growth;175.4896;25-Aug-2023")</f>
        <v>100536;INF090I01510;-;Franklin India Pension Plan-Growth;175.4896;25-Aug-2023</v>
      </c>
      <c r="B10250" s="1"/>
    </row>
    <row r="10251">
      <c r="A10251" s="1"/>
      <c r="B10251" s="1"/>
    </row>
    <row r="10252">
      <c r="A10252" s="1" t="str">
        <f>IFERROR(__xludf.DUMMYFUNCTION("""COMPUTED_VALUE"""),"HDFC Mutual Fund")</f>
        <v>HDFC Mutual Fund</v>
      </c>
      <c r="B10252" s="1"/>
    </row>
    <row r="10253">
      <c r="A10253" s="1"/>
      <c r="B10253" s="1"/>
    </row>
    <row r="10254">
      <c r="A10254" s="1" t="str">
        <f>IFERROR(__xludf.DUMMYFUNCTION("""COMPUTED_VALUE"""),"136090;INF179KB1MG8;-;HDFC Retirement Savings Fund - Equity Plan - Growth Option;37.201;25-Aug-2023")</f>
        <v>136090;INF179KB1MG8;-;HDFC Retirement Savings Fund - Equity Plan - Growth Option;37.201;25-Aug-2023</v>
      </c>
      <c r="B10254" s="1"/>
    </row>
    <row r="10255">
      <c r="A10255" s="1" t="str">
        <f>IFERROR(__xludf.DUMMYFUNCTION("""COMPUTED_VALUE"""),"136094;INF179KB1MF0;-;HDFC Retirement Savings Fund - Equity Plan - Growth Option - Direct Plan;41.275;25-Aug-2023")</f>
        <v>136094;INF179KB1MF0;-;HDFC Retirement Savings Fund - Equity Plan - Growth Option - Direct Plan;41.275;25-Aug-2023</v>
      </c>
      <c r="B10255" s="1"/>
    </row>
    <row r="10256">
      <c r="A10256" s="1" t="str">
        <f>IFERROR(__xludf.DUMMYFUNCTION("""COMPUTED_VALUE"""),"136466;INF179KB1MK0;-;HDFC Retirement Savings Fund - Hybrid-Debt Plan - Growth Option;18.2972;25-Aug-2023")</f>
        <v>136466;INF179KB1MK0;-;HDFC Retirement Savings Fund - Hybrid-Debt Plan - Growth Option;18.2972;25-Aug-2023</v>
      </c>
      <c r="B10256" s="1"/>
    </row>
    <row r="10257">
      <c r="A10257" s="1" t="str">
        <f>IFERROR(__xludf.DUMMYFUNCTION("""COMPUTED_VALUE"""),"136465;INF179KB1MJ2;-;HDFC Retirement Savings Fund - Hybrid-Debt Plan - Growth Option - Direct Plan;20.2056;25-Aug-2023")</f>
        <v>136465;INF179KB1MJ2;-;HDFC Retirement Savings Fund - Hybrid-Debt Plan - Growth Option - Direct Plan;20.2056;25-Aug-2023</v>
      </c>
      <c r="B10257" s="1"/>
    </row>
    <row r="10258">
      <c r="A10258" s="1" t="str">
        <f>IFERROR(__xludf.DUMMYFUNCTION("""COMPUTED_VALUE"""),"136463;INF179KB1MI4;-;HDFC Retirement Savings Fund - Hybrid-Equity Plan - Growth Option;30.109;25-Aug-2023")</f>
        <v>136463;INF179KB1MI4;-;HDFC Retirement Savings Fund - Hybrid-Equity Plan - Growth Option;30.109;25-Aug-2023</v>
      </c>
      <c r="B10258" s="1"/>
    </row>
    <row r="10259">
      <c r="A10259" s="1" t="str">
        <f>IFERROR(__xludf.DUMMYFUNCTION("""COMPUTED_VALUE"""),"136464;INF179KB1MH6;-;HDFC Retirement Savings Fund - Hybrid-Equity Plan - Growth Option - Direct Plan;33.433;25-Aug-2023")</f>
        <v>136464;INF179KB1MH6;-;HDFC Retirement Savings Fund - Hybrid-Equity Plan - Growth Option - Direct Plan;33.433;25-Aug-2023</v>
      </c>
      <c r="B10259" s="1"/>
    </row>
    <row r="10260">
      <c r="A10260" s="1"/>
      <c r="B10260" s="1"/>
    </row>
    <row r="10261">
      <c r="A10261" s="1" t="str">
        <f>IFERROR(__xludf.DUMMYFUNCTION("""COMPUTED_VALUE"""),"ICICI Prudential Mutual Fund")</f>
        <v>ICICI Prudential Mutual Fund</v>
      </c>
      <c r="B10261" s="1"/>
    </row>
    <row r="10262">
      <c r="A10262" s="1"/>
      <c r="B10262" s="1"/>
    </row>
    <row r="10263">
      <c r="A10263" s="1" t="str">
        <f>IFERROR(__xludf.DUMMYFUNCTION("""COMPUTED_VALUE"""),"146721;INF109KC1TW4;-;ICICI Prudential Retirement Fund - Hybrid Aggressive - Direct Plan - Growth Option;18.58;25-Aug-2023")</f>
        <v>146721;INF109KC1TW4;-;ICICI Prudential Retirement Fund - Hybrid Aggressive - Direct Plan - Growth Option;18.58;25-Aug-2023</v>
      </c>
      <c r="B10263" s="1"/>
    </row>
    <row r="10264">
      <c r="A10264" s="1" t="str">
        <f>IFERROR(__xludf.DUMMYFUNCTION("""COMPUTED_VALUE"""),"146720;INF109KC1TX2;-;ICICI Prudential Retirement Fund - Hybrid Aggressive - Direct Plan - IDCW Option;18.58;25-Aug-2023")</f>
        <v>146720;INF109KC1TX2;-;ICICI Prudential Retirement Fund - Hybrid Aggressive - Direct Plan - IDCW Option;18.58;25-Aug-2023</v>
      </c>
      <c r="B10264" s="1"/>
    </row>
    <row r="10265">
      <c r="A10265" s="1" t="str">
        <f>IFERROR(__xludf.DUMMYFUNCTION("""COMPUTED_VALUE"""),"146722;INF109KC1TU8;-;ICICI Prudential Retirement Fund - Hybrid Aggressive - Growth Option;17.29;25-Aug-2023")</f>
        <v>146722;INF109KC1TU8;-;ICICI Prudential Retirement Fund - Hybrid Aggressive - Growth Option;17.29;25-Aug-2023</v>
      </c>
      <c r="B10265" s="1"/>
    </row>
    <row r="10266">
      <c r="A10266" s="1" t="str">
        <f>IFERROR(__xludf.DUMMYFUNCTION("""COMPUTED_VALUE"""),"146723;INF109KC1TV6;-;ICICI Prudential Retirement Fund - Hybrid Aggressive - IDCW Option;17.29;25-Aug-2023")</f>
        <v>146723;INF109KC1TV6;-;ICICI Prudential Retirement Fund - Hybrid Aggressive - IDCW Option;17.29;25-Aug-2023</v>
      </c>
      <c r="B10266" s="1"/>
    </row>
    <row r="10267">
      <c r="A10267" s="1" t="str">
        <f>IFERROR(__xludf.DUMMYFUNCTION("""COMPUTED_VALUE"""),"146716;INF109KC1UA8;-;ICICI Prudential Retirement Fund - Hybrid Conservative - Direct Plan - Growth Option;14.9639;25-Aug-2023")</f>
        <v>146716;INF109KC1UA8;-;ICICI Prudential Retirement Fund - Hybrid Conservative - Direct Plan - Growth Option;14.9639;25-Aug-2023</v>
      </c>
      <c r="B10267" s="1"/>
    </row>
    <row r="10268">
      <c r="A10268" s="1" t="str">
        <f>IFERROR(__xludf.DUMMYFUNCTION("""COMPUTED_VALUE"""),"146718;INF109KC1UB6;-;ICICI Prudential Retirement Fund - Hybrid Conservative - Direct Plan - IDCW Option;14.9636;25-Aug-2023")</f>
        <v>146718;INF109KC1UB6;-;ICICI Prudential Retirement Fund - Hybrid Conservative - Direct Plan - IDCW Option;14.9636;25-Aug-2023</v>
      </c>
      <c r="B10268" s="1"/>
    </row>
    <row r="10269">
      <c r="A10269" s="1" t="str">
        <f>IFERROR(__xludf.DUMMYFUNCTION("""COMPUTED_VALUE"""),"146717;INF109KC1TY0;-;ICICI Prudential Retirement Fund - Hybrid Conservative - Growth Option;14.0302;25-Aug-2023")</f>
        <v>146717;INF109KC1TY0;-;ICICI Prudential Retirement Fund - Hybrid Conservative - Growth Option;14.0302;25-Aug-2023</v>
      </c>
      <c r="B10269" s="1"/>
    </row>
    <row r="10270">
      <c r="A10270" s="1" t="str">
        <f>IFERROR(__xludf.DUMMYFUNCTION("""COMPUTED_VALUE"""),"146719;INF109KC1TZ7;-;ICICI Prudential Retirement Fund - Hybrid Conservative - IDCW Option;14.0301;25-Aug-2023")</f>
        <v>146719;INF109KC1TZ7;-;ICICI Prudential Retirement Fund - Hybrid Conservative - IDCW Option;14.0301;25-Aug-2023</v>
      </c>
      <c r="B10270" s="1"/>
    </row>
    <row r="10271">
      <c r="A10271" s="1" t="str">
        <f>IFERROR(__xludf.DUMMYFUNCTION("""COMPUTED_VALUE"""),"146727;INF109KC1UE0;-;ICICI Prudential Retirement Fund - Pure Debt - Direct Plan - Growth Option;14.1203;25-Aug-2023")</f>
        <v>146727;INF109KC1UE0;-;ICICI Prudential Retirement Fund - Pure Debt - Direct Plan - Growth Option;14.1203;25-Aug-2023</v>
      </c>
      <c r="B10271" s="1"/>
    </row>
    <row r="10272">
      <c r="A10272" s="1" t="str">
        <f>IFERROR(__xludf.DUMMYFUNCTION("""COMPUTED_VALUE"""),"146725;INF109KC1UF7;-;ICICI Prudential Retirement Fund - Pure Debt - Direct Plan - IDCW Option;14.1202;25-Aug-2023")</f>
        <v>146725;INF109KC1UF7;-;ICICI Prudential Retirement Fund - Pure Debt - Direct Plan - IDCW Option;14.1202;25-Aug-2023</v>
      </c>
      <c r="B10272" s="1"/>
    </row>
    <row r="10273">
      <c r="A10273" s="1" t="str">
        <f>IFERROR(__xludf.DUMMYFUNCTION("""COMPUTED_VALUE"""),"146726;INF109KC1UC4;-;ICICI Prudential Retirement Fund - Pure Debt - Growth Option;13.2498;25-Aug-2023")</f>
        <v>146726;INF109KC1UC4;-;ICICI Prudential Retirement Fund - Pure Debt - Growth Option;13.2498;25-Aug-2023</v>
      </c>
      <c r="B10273" s="1"/>
    </row>
    <row r="10274">
      <c r="A10274" s="1" t="str">
        <f>IFERROR(__xludf.DUMMYFUNCTION("""COMPUTED_VALUE"""),"146724;INF109KC1UD2;-;ICICI Prudential Retirement Fund - Pure Debt - IDCW Option;13.2500;25-Aug-2023")</f>
        <v>146724;INF109KC1UD2;-;ICICI Prudential Retirement Fund - Pure Debt - IDCW Option;13.2500;25-Aug-2023</v>
      </c>
      <c r="B10274" s="1"/>
    </row>
    <row r="10275">
      <c r="A10275" s="1" t="str">
        <f>IFERROR(__xludf.DUMMYFUNCTION("""COMPUTED_VALUE"""),"146349;INF109KC1TS2;-;ICICI Prudential Retirement Fund - Pure Equity - Direct Plan - Growth Option;21.81;25-Aug-2023")</f>
        <v>146349;INF109KC1TS2;-;ICICI Prudential Retirement Fund - Pure Equity - Direct Plan - Growth Option;21.81;25-Aug-2023</v>
      </c>
      <c r="B10275" s="1"/>
    </row>
    <row r="10276">
      <c r="A10276" s="1" t="str">
        <f>IFERROR(__xludf.DUMMYFUNCTION("""COMPUTED_VALUE"""),"146348;INF109KC1TT0;-;ICICI Prudential Retirement Fund - Pure Equity - Direct Plan - IDCW Option;21.81;25-Aug-2023")</f>
        <v>146348;INF109KC1TT0;-;ICICI Prudential Retirement Fund - Pure Equity - Direct Plan - IDCW Option;21.81;25-Aug-2023</v>
      </c>
      <c r="B10276" s="1"/>
    </row>
    <row r="10277">
      <c r="A10277" s="1" t="str">
        <f>IFERROR(__xludf.DUMMYFUNCTION("""COMPUTED_VALUE"""),"146346;INF109KC1TQ6;-;ICICI Prudential Retirement Fund - Pure Equity - Growth Option;20.32;25-Aug-2023")</f>
        <v>146346;INF109KC1TQ6;-;ICICI Prudential Retirement Fund - Pure Equity - Growth Option;20.32;25-Aug-2023</v>
      </c>
      <c r="B10277" s="1"/>
    </row>
    <row r="10278">
      <c r="A10278" s="1" t="str">
        <f>IFERROR(__xludf.DUMMYFUNCTION("""COMPUTED_VALUE"""),"146347;INF109KC1TR4;-;ICICI Prudential Retirement Fund - Pure Equity - IDCW Option;20.32;25-Aug-2023")</f>
        <v>146347;INF109KC1TR4;-;ICICI Prudential Retirement Fund - Pure Equity - IDCW Option;20.32;25-Aug-2023</v>
      </c>
      <c r="B10278" s="1"/>
    </row>
    <row r="10279">
      <c r="A10279" s="1"/>
      <c r="B10279" s="1"/>
    </row>
    <row r="10280">
      <c r="A10280" s="1" t="str">
        <f>IFERROR(__xludf.DUMMYFUNCTION("""COMPUTED_VALUE"""),"Nippon India Mutual Fund")</f>
        <v>Nippon India Mutual Fund</v>
      </c>
      <c r="B10280" s="1"/>
    </row>
    <row r="10281">
      <c r="A10281" s="1"/>
      <c r="B10281" s="1"/>
    </row>
    <row r="10282">
      <c r="A10282" s="1" t="str">
        <f>IFERROR(__xludf.DUMMYFUNCTION("""COMPUTED_VALUE"""),"133570;INF204KA1C71;-;NIPPON INDIA RETIREMENT FUND - INCOME GENERATION SCHEME - Direct Plan - IDCW Option;18.9903;25-Aug-2023")</f>
        <v>133570;INF204KA1C71;-;NIPPON INDIA RETIREMENT FUND - INCOME GENERATION SCHEME - Direct Plan - IDCW Option;18.9903;25-Aug-2023</v>
      </c>
      <c r="B10282" s="1"/>
    </row>
    <row r="10283">
      <c r="A10283" s="1" t="str">
        <f>IFERROR(__xludf.DUMMYFUNCTION("""COMPUTED_VALUE"""),"133571;INF204KA1C63;-;NIPPON INDIA RETIREMENT FUND - INCOME GENERATION SCHEME - IDCW Option;17.0205;25-Aug-2023")</f>
        <v>133571;INF204KA1C63;-;NIPPON INDIA RETIREMENT FUND - INCOME GENERATION SCHEME - IDCW Option;17.0205;25-Aug-2023</v>
      </c>
      <c r="B10283" s="1"/>
    </row>
    <row r="10284">
      <c r="A10284" s="1" t="str">
        <f>IFERROR(__xludf.DUMMYFUNCTION("""COMPUTED_VALUE"""),"133569;INF204KA1C30;-;Nippon India Retirement Fund- Income Generation Scheme- Direct Plan- Growth Plan - Growth Option;18.9903;25-Aug-2023")</f>
        <v>133569;INF204KA1C30;-;Nippon India Retirement Fund- Income Generation Scheme- Direct Plan- Growth Plan - Growth Option;18.9903;25-Aug-2023</v>
      </c>
      <c r="B10284" s="1"/>
    </row>
    <row r="10285">
      <c r="A10285" s="1" t="str">
        <f>IFERROR(__xludf.DUMMYFUNCTION("""COMPUTED_VALUE"""),"133629;INF204KA1C55;-;Nippon India Retirement Fund- Income Generation Scheme- Direct Plan-Growth Plan- Bonus Option;18.9903;25-Aug-2023")</f>
        <v>133629;INF204KA1C55;-;Nippon India Retirement Fund- Income Generation Scheme- Direct Plan-Growth Plan- Bonus Option;18.9903;25-Aug-2023</v>
      </c>
      <c r="B10285" s="1"/>
    </row>
    <row r="10286">
      <c r="A10286" s="1" t="str">
        <f>IFERROR(__xludf.DUMMYFUNCTION("""COMPUTED_VALUE"""),"133628;INF204KA1C48;-;Nippon India Retirement Fund- Income Generation Scheme- Growth Plan- Bonus Option;17.0182;25-Aug-2023")</f>
        <v>133628;INF204KA1C48;-;Nippon India Retirement Fund- Income Generation Scheme- Growth Plan- Bonus Option;17.0182;25-Aug-2023</v>
      </c>
      <c r="B10286" s="1"/>
    </row>
    <row r="10287">
      <c r="A10287" s="1" t="str">
        <f>IFERROR(__xludf.DUMMYFUNCTION("""COMPUTED_VALUE"""),"133572;INF204KA1C22;-;Nippon India Retirement Fund- Income Generation Scheme-Growth Plan - Growth Option;17.0182;25-Aug-2023")</f>
        <v>133572;INF204KA1C22;-;Nippon India Retirement Fund- Income Generation Scheme-Growth Plan - Growth Option;17.0182;25-Aug-2023</v>
      </c>
      <c r="B10287" s="1"/>
    </row>
    <row r="10288">
      <c r="A10288" s="1" t="str">
        <f>IFERROR(__xludf.DUMMYFUNCTION("""COMPUTED_VALUE"""),"133566;INF204KA1C14;-;NIPPON INDIA RETIREMENT FUND - WEALTH CREATION SCHEME - Direct Plan - IDCW Option;19.9588;25-Aug-2023")</f>
        <v>133566;INF204KA1C14;-;NIPPON INDIA RETIREMENT FUND - WEALTH CREATION SCHEME - Direct Plan - IDCW Option;19.9588;25-Aug-2023</v>
      </c>
      <c r="B10288" s="1"/>
    </row>
    <row r="10289">
      <c r="A10289" s="1" t="str">
        <f>IFERROR(__xludf.DUMMYFUNCTION("""COMPUTED_VALUE"""),"133567;INF204KA1C06;-;NIPPON INDIA RETIREMENT FUND - WEALTH CREATION SCHEME - IDCW Option;17.8425;25-Aug-2023")</f>
        <v>133567;INF204KA1C06;-;NIPPON INDIA RETIREMENT FUND - WEALTH CREATION SCHEME - IDCW Option;17.8425;25-Aug-2023</v>
      </c>
      <c r="B10289" s="1"/>
    </row>
    <row r="10290">
      <c r="A10290" s="1" t="str">
        <f>IFERROR(__xludf.DUMMYFUNCTION("""COMPUTED_VALUE"""),"133568;INF204KA1B72;-;Nippon India Retirement Fund- Wealth Creation Scheme- Direct Plan- Growth Plan - Growth Option;22.8814;25-Aug-2023")</f>
        <v>133568;INF204KA1B72;-;Nippon India Retirement Fund- Wealth Creation Scheme- Direct Plan- Growth Plan - Growth Option;22.8814;25-Aug-2023</v>
      </c>
      <c r="B10290" s="1"/>
    </row>
    <row r="10291">
      <c r="A10291" s="1" t="str">
        <f>IFERROR(__xludf.DUMMYFUNCTION("""COMPUTED_VALUE"""),"133630;INF204KA1B98;-;Nippon India Retirement Fund- Wealth Creation Scheme- Direct Plan-Growth Plan- Bonus Option;22.8814;25-Aug-2023")</f>
        <v>133630;INF204KA1B98;-;Nippon India Retirement Fund- Wealth Creation Scheme- Direct Plan-Growth Plan- Bonus Option;22.8814;25-Aug-2023</v>
      </c>
      <c r="B10291" s="1"/>
    </row>
    <row r="10292">
      <c r="A10292" s="1" t="str">
        <f>IFERROR(__xludf.DUMMYFUNCTION("""COMPUTED_VALUE"""),"133565;INF204KA1B64;-;Nippon India Retirement Fund- Wealth Creation Scheme- Growth Plan - Growth Option;20.6839;25-Aug-2023")</f>
        <v>133565;INF204KA1B64;-;Nippon India Retirement Fund- Wealth Creation Scheme- Growth Plan - Growth Option;20.6839;25-Aug-2023</v>
      </c>
      <c r="B10292" s="1"/>
    </row>
    <row r="10293">
      <c r="A10293" s="1" t="str">
        <f>IFERROR(__xludf.DUMMYFUNCTION("""COMPUTED_VALUE"""),"133631;INF204KA1B80;-;Nippon India Retirement Fund- Wealth Creation Scheme- Growth Plan- Bonus Option;20.6839;25-Aug-2023")</f>
        <v>133631;INF204KA1B80;-;Nippon India Retirement Fund- Wealth Creation Scheme- Growth Plan- Bonus Option;20.6839;25-Aug-2023</v>
      </c>
      <c r="B10293" s="1"/>
    </row>
    <row r="10294">
      <c r="A10294" s="1"/>
      <c r="B10294" s="1"/>
    </row>
    <row r="10295">
      <c r="A10295" s="1" t="str">
        <f>IFERROR(__xludf.DUMMYFUNCTION("""COMPUTED_VALUE"""),"SBI Mutual Fund")</f>
        <v>SBI Mutual Fund</v>
      </c>
      <c r="B10295" s="1"/>
    </row>
    <row r="10296">
      <c r="A10296" s="1"/>
      <c r="B10296" s="1"/>
    </row>
    <row r="10297">
      <c r="A10297" s="1" t="str">
        <f>IFERROR(__xludf.DUMMYFUNCTION("""COMPUTED_VALUE"""),"148685;INF200KA1S97;-;SBI Retirement Benefit Fund - Aggressive Hybrid Plan - Direct Plan - Growth;15.3887;25-Aug-2023")</f>
        <v>148685;INF200KA1S97;-;SBI Retirement Benefit Fund - Aggressive Hybrid Plan - Direct Plan - Growth;15.3887;25-Aug-2023</v>
      </c>
      <c r="B10297" s="1"/>
    </row>
    <row r="10298">
      <c r="A10298" s="1" t="str">
        <f>IFERROR(__xludf.DUMMYFUNCTION("""COMPUTED_VALUE"""),"148686;INF200KA1T05;-;SBI Retirement Benefit Fund - Aggressive Hybrid Plan - Direct Plan - Income Distribution cum Capital Withdrawal Option (IDCW);15.3906;25-Aug-2023")</f>
        <v>148686;INF200KA1T05;-;SBI Retirement Benefit Fund - Aggressive Hybrid Plan - Direct Plan - Income Distribution cum Capital Withdrawal Option (IDCW);15.3906;25-Aug-2023</v>
      </c>
      <c r="B10298" s="1"/>
    </row>
    <row r="10299">
      <c r="A10299" s="1" t="str">
        <f>IFERROR(__xludf.DUMMYFUNCTION("""COMPUTED_VALUE"""),"148695;INF200KA1S71;-;SBI Retirement Benefit Fund - Aggressive Hybrid Plan - Regular Plan - Growth;14.9017;25-Aug-2023")</f>
        <v>148695;INF200KA1S71;-;SBI Retirement Benefit Fund - Aggressive Hybrid Plan - Regular Plan - Growth;14.9017;25-Aug-2023</v>
      </c>
      <c r="B10299" s="1"/>
    </row>
    <row r="10300">
      <c r="A10300" s="1" t="str">
        <f>IFERROR(__xludf.DUMMYFUNCTION("""COMPUTED_VALUE"""),"148684;INF200KA1S89;-;SBI Retirement Benefit Fund - Aggressive Hybrid Plan - Regular Plan - Income Distribution cum Capital Withdrawal Option (IDCW);14.9017;25-Aug-2023")</f>
        <v>148684;INF200KA1S89;-;SBI Retirement Benefit Fund - Aggressive Hybrid Plan - Regular Plan - Income Distribution cum Capital Withdrawal Option (IDCW);14.9017;25-Aug-2023</v>
      </c>
      <c r="B10300" s="1"/>
    </row>
    <row r="10301">
      <c r="A10301" s="1" t="str">
        <f>IFERROR(__xludf.DUMMYFUNCTION("""COMPUTED_VALUE"""),"148683;INF200KA1S55;-;SBI Retirement Benefit Fund - Aggressive Plan - Direct Plan - Growth;16.2624;25-Aug-2023")</f>
        <v>148683;INF200KA1S55;-;SBI Retirement Benefit Fund - Aggressive Plan - Direct Plan - Growth;16.2624;25-Aug-2023</v>
      </c>
      <c r="B10301" s="1"/>
    </row>
    <row r="10302">
      <c r="A10302" s="1" t="str">
        <f>IFERROR(__xludf.DUMMYFUNCTION("""COMPUTED_VALUE"""),"148694;INF200KA1S63;-;SBI Retirement Benefit Fund - Aggressive Plan - Direct Plan - Income Distribution cum Capital Withdrawal Option (IDCW);16.2535;25-Aug-2023")</f>
        <v>148694;INF200KA1S63;-;SBI Retirement Benefit Fund - Aggressive Plan - Direct Plan - Income Distribution cum Capital Withdrawal Option (IDCW);16.2535;25-Aug-2023</v>
      </c>
      <c r="B10302" s="1"/>
    </row>
    <row r="10303">
      <c r="A10303" s="1" t="str">
        <f>IFERROR(__xludf.DUMMYFUNCTION("""COMPUTED_VALUE"""),"148698;INF200KA1S30;-;SBI Retirement Benefit Fund - Aggressive Plan - Regular Plan - Growth;15.6891;25-Aug-2023")</f>
        <v>148698;INF200KA1S30;-;SBI Retirement Benefit Fund - Aggressive Plan - Regular Plan - Growth;15.6891;25-Aug-2023</v>
      </c>
      <c r="B10303" s="1"/>
    </row>
    <row r="10304">
      <c r="A10304" s="1" t="str">
        <f>IFERROR(__xludf.DUMMYFUNCTION("""COMPUTED_VALUE"""),"148691;INF200KA1S48;-;SBI Retirement Benefit Fund - Aggressive Plan - Regular Plan - Income Distribution cum Capital Withdrawal Option (IDCW);15.6897;25-Aug-2023")</f>
        <v>148691;INF200KA1S48;-;SBI Retirement Benefit Fund - Aggressive Plan - Regular Plan - Income Distribution cum Capital Withdrawal Option (IDCW);15.6897;25-Aug-2023</v>
      </c>
      <c r="B10304" s="1"/>
    </row>
    <row r="10305">
      <c r="A10305" s="1" t="str">
        <f>IFERROR(__xludf.DUMMYFUNCTION("""COMPUTED_VALUE"""),"148690;INF200KA1T70;-;SBI Retirement Benefit Fund - Conservative Hybrid Plan - Direct Plan - Growth;13.1329;25-Aug-2023")</f>
        <v>148690;INF200KA1T70;-;SBI Retirement Benefit Fund - Conservative Hybrid Plan - Direct Plan - Growth;13.1329;25-Aug-2023</v>
      </c>
      <c r="B10305" s="1"/>
    </row>
    <row r="10306">
      <c r="A10306" s="1" t="str">
        <f>IFERROR(__xludf.DUMMYFUNCTION("""COMPUTED_VALUE"""),"148693;INF200KA1T88;-;SBI Retirement Benefit Fund - Conservative Hybrid Plan - Direct Plan - Income Distribution cum Capital Withdrawal Option (IDCW);13.1314;25-Aug-2023")</f>
        <v>148693;INF200KA1T88;-;SBI Retirement Benefit Fund - Conservative Hybrid Plan - Direct Plan - Income Distribution cum Capital Withdrawal Option (IDCW);13.1314;25-Aug-2023</v>
      </c>
      <c r="B10306" s="1"/>
    </row>
    <row r="10307">
      <c r="A10307" s="1" t="str">
        <f>IFERROR(__xludf.DUMMYFUNCTION("""COMPUTED_VALUE"""),"148692;INF200KA1T54;-;SBI Retirement Benefit Fund - Conservative Hybrid Plan - Regular Plan - Growth;12.9036;25-Aug-2023")</f>
        <v>148692;INF200KA1T54;-;SBI Retirement Benefit Fund - Conservative Hybrid Plan - Regular Plan - Growth;12.9036;25-Aug-2023</v>
      </c>
      <c r="B10307" s="1"/>
    </row>
    <row r="10308">
      <c r="A10308" s="1" t="str">
        <f>IFERROR(__xludf.DUMMYFUNCTION("""COMPUTED_VALUE"""),"148697;INF200KA1T62;-;SBI Retirement Benefit Fund - Conservative Hybrid Plan - Regular Plan - Income Distribution cum Capital Withdrawal Option (IDCW);12.9049;25-Aug-2023")</f>
        <v>148697;INF200KA1T62;-;SBI Retirement Benefit Fund - Conservative Hybrid Plan - Regular Plan - Income Distribution cum Capital Withdrawal Option (IDCW);12.9049;25-Aug-2023</v>
      </c>
      <c r="B10308" s="1"/>
    </row>
    <row r="10309">
      <c r="A10309" s="1" t="str">
        <f>IFERROR(__xludf.DUMMYFUNCTION("""COMPUTED_VALUE"""),"148688;INF200KA1T39;-;SBI Retirement Benefit Fund - Conservative Plan - Direct Plan - Growth;12.2623;25-Aug-2023")</f>
        <v>148688;INF200KA1T39;-;SBI Retirement Benefit Fund - Conservative Plan - Direct Plan - Growth;12.2623;25-Aug-2023</v>
      </c>
      <c r="B10309" s="1"/>
    </row>
    <row r="10310">
      <c r="A10310" s="1" t="str">
        <f>IFERROR(__xludf.DUMMYFUNCTION("""COMPUTED_VALUE"""),"148689;INF200KA1T47;-;SBI Retirement Benefit Fund - Conservative Plan - Direct Plan - Income Distribution cum Capital Withdrawal Option (IDCW);12.2605;25-Aug-2023")</f>
        <v>148689;INF200KA1T47;-;SBI Retirement Benefit Fund - Conservative Plan - Direct Plan - Income Distribution cum Capital Withdrawal Option (IDCW);12.2605;25-Aug-2023</v>
      </c>
      <c r="B10310" s="1"/>
    </row>
    <row r="10311">
      <c r="A10311" s="1" t="str">
        <f>IFERROR(__xludf.DUMMYFUNCTION("""COMPUTED_VALUE"""),"148696;INF200KA1T13;-;SBI Retirement Benefit Fund - Conservative Plan - Regular Plan - Growth;12.0993;25-Aug-2023")</f>
        <v>148696;INF200KA1T13;-;SBI Retirement Benefit Fund - Conservative Plan - Regular Plan - Growth;12.0993;25-Aug-2023</v>
      </c>
      <c r="B10311" s="1"/>
    </row>
    <row r="10312">
      <c r="A10312" s="1" t="str">
        <f>IFERROR(__xludf.DUMMYFUNCTION("""COMPUTED_VALUE"""),"148687;INF200KA1T21;-;SBI Retirement Benefit Fund - Conservative Plan - Regular Plan - Income Distribution cum Capital Withdrawal Option (IDCW);12.0992;25-Aug-2023")</f>
        <v>148687;INF200KA1T21;-;SBI Retirement Benefit Fund - Conservative Plan - Regular Plan - Income Distribution cum Capital Withdrawal Option (IDCW);12.0992;25-Aug-2023</v>
      </c>
      <c r="B10312" s="1"/>
    </row>
    <row r="10313">
      <c r="A10313" s="1"/>
      <c r="B10313" s="1"/>
    </row>
    <row r="10314">
      <c r="A10314" s="1" t="str">
        <f>IFERROR(__xludf.DUMMYFUNCTION("""COMPUTED_VALUE"""),"Tata Mutual Fund")</f>
        <v>Tata Mutual Fund</v>
      </c>
      <c r="B10314" s="1"/>
    </row>
    <row r="10315">
      <c r="A10315" s="1"/>
      <c r="B10315" s="1"/>
    </row>
    <row r="10316">
      <c r="A10316" s="1" t="str">
        <f>IFERROR(__xludf.DUMMYFUNCTION("""COMPUTED_VALUE"""),"119256;INF277K01QM5;-;Tata Retirement Savings Fund- Conservative Plan-Direct Plan-Growth Option;30.6245;25-Aug-2023")</f>
        <v>119256;INF277K01QM5;-;Tata Retirement Savings Fund- Conservative Plan-Direct Plan-Growth Option;30.6245;25-Aug-2023</v>
      </c>
      <c r="B10316" s="1"/>
    </row>
    <row r="10317">
      <c r="A10317" s="1" t="str">
        <f>IFERROR(__xludf.DUMMYFUNCTION("""COMPUTED_VALUE"""),"115944;INF277K01FI6;-;Tata Retirement Savings Fund- Conservative Plan-Regular Plan-Growth Option;26.7450;25-Aug-2023")</f>
        <v>115944;INF277K01FI6;-;Tata Retirement Savings Fund- Conservative Plan-Regular Plan-Growth Option;26.7450;25-Aug-2023</v>
      </c>
      <c r="B10317" s="1"/>
    </row>
    <row r="10318">
      <c r="A10318" s="1" t="str">
        <f>IFERROR(__xludf.DUMMYFUNCTION("""COMPUTED_VALUE"""),"119255;INF277K01QN3;-;Tata Retirement Savings Fund- Moderate Plan -Direct Plan-Growth Option;56.1896;25-Aug-2023")</f>
        <v>119255;INF277K01QN3;-;Tata Retirement Savings Fund- Moderate Plan -Direct Plan-Growth Option;56.1896;25-Aug-2023</v>
      </c>
      <c r="B10318" s="1"/>
    </row>
    <row r="10319">
      <c r="A10319" s="1" t="str">
        <f>IFERROR(__xludf.DUMMYFUNCTION("""COMPUTED_VALUE"""),"115943;INF277K01FH8;-;Tata Retirement Savings Fund- Moderate Plan-Regular Plan-Growth Option;48.4596;25-Aug-2023")</f>
        <v>115943;INF277K01FH8;-;Tata Retirement Savings Fund- Moderate Plan-Regular Plan-Growth Option;48.4596;25-Aug-2023</v>
      </c>
      <c r="B10319" s="1"/>
    </row>
    <row r="10320">
      <c r="A10320" s="1" t="str">
        <f>IFERROR(__xludf.DUMMYFUNCTION("""COMPUTED_VALUE"""),"115942;INF277K01FG0;-;Tata Retirement Savings Fund - Progressive Plan -Regular Plan-Growth Option;48.0293;25-Aug-2023")</f>
        <v>115942;INF277K01FG0;-;Tata Retirement Savings Fund - Progressive Plan -Regular Plan-Growth Option;48.0293;25-Aug-2023</v>
      </c>
      <c r="B10320" s="1"/>
    </row>
    <row r="10321">
      <c r="A10321" s="1" t="str">
        <f>IFERROR(__xludf.DUMMYFUNCTION("""COMPUTED_VALUE"""),"119251;INF277K01QO1;-;Tata Retirement Savings Fund- Progressive Plan -Direct Plan-Growth Option;56.7291;25-Aug-2023")</f>
        <v>119251;INF277K01QO1;-;Tata Retirement Savings Fund- Progressive Plan -Direct Plan-Growth Option;56.7291;25-Aug-2023</v>
      </c>
      <c r="B10321" s="1"/>
    </row>
    <row r="10322">
      <c r="A10322" s="1"/>
      <c r="B10322" s="1"/>
    </row>
    <row r="10323">
      <c r="A10323" s="1" t="str">
        <f>IFERROR(__xludf.DUMMYFUNCTION("""COMPUTED_VALUE"""),"Union Mutual Fund")</f>
        <v>Union Mutual Fund</v>
      </c>
      <c r="B10323" s="1"/>
    </row>
    <row r="10324">
      <c r="A10324" s="1"/>
      <c r="B10324" s="1"/>
    </row>
    <row r="10325">
      <c r="A10325" s="1" t="str">
        <f>IFERROR(__xludf.DUMMYFUNCTION("""COMPUTED_VALUE"""),"150554;INF582M01IK5;-;Union Retirement Fund - Direct Plan - Growth Option;11.66;25-Aug-2023")</f>
        <v>150554;INF582M01IK5;-;Union Retirement Fund - Direct Plan - Growth Option;11.66;25-Aug-2023</v>
      </c>
      <c r="B10325" s="1"/>
    </row>
    <row r="10326">
      <c r="A10326" s="1" t="str">
        <f>IFERROR(__xludf.DUMMYFUNCTION("""COMPUTED_VALUE"""),"150555;INF582M01IL3;-;Union Retirement Fund - Direct Plan - IDCW Option;11.66;25-Aug-2023")</f>
        <v>150555;INF582M01IL3;-;Union Retirement Fund - Direct Plan - IDCW Option;11.66;25-Aug-2023</v>
      </c>
      <c r="B10326" s="1"/>
    </row>
    <row r="10327">
      <c r="A10327" s="1" t="str">
        <f>IFERROR(__xludf.DUMMYFUNCTION("""COMPUTED_VALUE"""),"150552;INF582M01IM1;-;Union Retirement Fund - Regular Plan - Growth Option;11.47;25-Aug-2023")</f>
        <v>150552;INF582M01IM1;-;Union Retirement Fund - Regular Plan - Growth Option;11.47;25-Aug-2023</v>
      </c>
      <c r="B10327" s="1"/>
    </row>
    <row r="10328">
      <c r="A10328" s="1" t="str">
        <f>IFERROR(__xludf.DUMMYFUNCTION("""COMPUTED_VALUE"""),"150553;INF582M01IN9;-;Union Retirement Fund - Regular Plan - IDCW Option;11.47;25-Aug-2023")</f>
        <v>150553;INF582M01IN9;-;Union Retirement Fund - Regular Plan - IDCW Option;11.47;25-Aug-2023</v>
      </c>
      <c r="B10328" s="1"/>
    </row>
    <row r="10329">
      <c r="A10329" s="1"/>
      <c r="B10329" s="1"/>
    </row>
    <row r="10330">
      <c r="A10330" s="1" t="str">
        <f>IFERROR(__xludf.DUMMYFUNCTION("""COMPUTED_VALUE"""),"UTI Mutual Fund")</f>
        <v>UTI Mutual Fund</v>
      </c>
      <c r="B10330" s="1"/>
    </row>
    <row r="10331">
      <c r="A10331" s="1"/>
      <c r="B10331" s="1"/>
    </row>
    <row r="10332">
      <c r="A10332" s="1" t="str">
        <f>IFERROR(__xludf.DUMMYFUNCTION("""COMPUTED_VALUE"""),"100682;-;-;UTI - Retirement Benefit Pension Fund - Regular Plan;39.1094;25-Aug-2023")</f>
        <v>100682;-;-;UTI - Retirement Benefit Pension Fund - Regular Plan;39.1094;25-Aug-2023</v>
      </c>
      <c r="B10332" s="1"/>
    </row>
    <row r="10333">
      <c r="A10333" s="1" t="str">
        <f>IFERROR(__xludf.DUMMYFUNCTION("""COMPUTED_VALUE"""),"120766;-;-;UTI - Retirement Benefit Pension Fund- Direct;41.6949;25-Aug-2023")</f>
        <v>120766;-;-;UTI - Retirement Benefit Pension Fund- Direct;41.6949;25-Aug-2023</v>
      </c>
      <c r="B10333" s="1"/>
    </row>
    <row r="10334">
      <c r="A10334" s="1"/>
      <c r="B10334" s="1"/>
    </row>
    <row r="10335">
      <c r="A10335" s="1" t="str">
        <f>IFERROR(__xludf.DUMMYFUNCTION("""COMPUTED_VALUE"""),"Interval Fund Schemes(Growth)")</f>
        <v>Interval Fund Schemes(Growth)</v>
      </c>
      <c r="B10335" s="1"/>
    </row>
    <row r="10336">
      <c r="A10336" s="1"/>
      <c r="B10336" s="1"/>
    </row>
    <row r="10337">
      <c r="A10337" s="1" t="str">
        <f>IFERROR(__xludf.DUMMYFUNCTION("""COMPUTED_VALUE"""),"360 ONE Mutual Fund (Formerly Known as IIFL Mutual Fund)")</f>
        <v>360 ONE Mutual Fund (Formerly Known as IIFL Mutual Fund)</v>
      </c>
      <c r="B10337" s="1"/>
    </row>
    <row r="10338">
      <c r="A10338" s="1"/>
      <c r="B10338" s="1"/>
    </row>
    <row r="10339">
      <c r="A10339" s="1" t="str">
        <f>IFERROR(__xludf.DUMMYFUNCTION("""COMPUTED_VALUE"""),"143213;INF579M01AE1;-;IIFL CAPITAL ENHANCER FUND SERIES 1-DIRECT PLAN-DIVIDEND PAYOUT;9.9235;11-Oct-2019")</f>
        <v>143213;INF579M01AE1;-;IIFL CAPITAL ENHANCER FUND SERIES 1-DIRECT PLAN-DIVIDEND PAYOUT;9.9235;11-Oct-2019</v>
      </c>
      <c r="B10339" s="1"/>
    </row>
    <row r="10340">
      <c r="A10340" s="1" t="str">
        <f>IFERROR(__xludf.DUMMYFUNCTION("""COMPUTED_VALUE"""),"143212;INF579M01AD3;-;IIFL CAPITAL ENHANCER FUND SERIES 1-DIRECT PLAN-GROWTH;10.4201;11-Oct-2019")</f>
        <v>143212;INF579M01AD3;-;IIFL CAPITAL ENHANCER FUND SERIES 1-DIRECT PLAN-GROWTH;10.4201;11-Oct-2019</v>
      </c>
      <c r="B10340" s="1"/>
    </row>
    <row r="10341">
      <c r="A10341" s="1" t="str">
        <f>IFERROR(__xludf.DUMMYFUNCTION("""COMPUTED_VALUE"""),"143211;INF579M01AB7;-;IIFL CAPITAL ENHANCER FUND SERIES 1-REGULAR PLAN-DIVIDEND PAYOUT;9.9048;11-Oct-2019")</f>
        <v>143211;INF579M01AB7;-;IIFL CAPITAL ENHANCER FUND SERIES 1-REGULAR PLAN-DIVIDEND PAYOUT;9.9048;11-Oct-2019</v>
      </c>
      <c r="B10341" s="1"/>
    </row>
    <row r="10342">
      <c r="A10342" s="1" t="str">
        <f>IFERROR(__xludf.DUMMYFUNCTION("""COMPUTED_VALUE"""),"143214;INF579M01AC5;-;IIFL CAPITAL ENHANCER FUND SERIES 1-REGULAR PLAN-GROWTH;10.2799;11-Oct-2019")</f>
        <v>143214;INF579M01AC5;-;IIFL CAPITAL ENHANCER FUND SERIES 1-REGULAR PLAN-GROWTH;10.2799;11-Oct-2019</v>
      </c>
      <c r="B10342" s="1"/>
    </row>
    <row r="10343">
      <c r="A10343" s="1"/>
      <c r="B10343" s="1"/>
    </row>
    <row r="10344">
      <c r="A10344" s="1" t="str">
        <f>IFERROR(__xludf.DUMMYFUNCTION("""COMPUTED_VALUE"""),"Interval Fund Schemes(Income)")</f>
        <v>Interval Fund Schemes(Income)</v>
      </c>
      <c r="B10344" s="1"/>
    </row>
    <row r="10345">
      <c r="A10345" s="1"/>
      <c r="B10345" s="1"/>
    </row>
    <row r="10346">
      <c r="A10346" s="1" t="str">
        <f>IFERROR(__xludf.DUMMYFUNCTION("""COMPUTED_VALUE"""),"Kotak Mahindra Mutual Fund")</f>
        <v>Kotak Mahindra Mutual Fund</v>
      </c>
      <c r="B10346" s="1"/>
    </row>
    <row r="10347">
      <c r="A10347" s="1"/>
      <c r="B10347" s="1"/>
    </row>
    <row r="10348">
      <c r="A10348" s="1" t="str">
        <f>IFERROR(__xludf.DUMMYFUNCTION("""COMPUTED_VALUE"""),"146839;-;INF174KA1DD0;Kotak Monthly Interval Plan Series 4-Direct Plan- Dividend Reinvestment;10.0087785;17-Apr-2019")</f>
        <v>146839;-;INF174KA1DD0;Kotak Monthly Interval Plan Series 4-Direct Plan- Dividend Reinvestment;10.0087785;17-Apr-2019</v>
      </c>
      <c r="B10348" s="1"/>
    </row>
    <row r="10349">
      <c r="A10349" s="1" t="str">
        <f>IFERROR(__xludf.DUMMYFUNCTION("""COMPUTED_VALUE"""),"146837;INF174KA1DB4;-;Kotak Monthly Interval Plan Series 4-Direct Plan- Growth;0.0001;22-Apr-2019")</f>
        <v>146837;INF174KA1DB4;-;Kotak Monthly Interval Plan Series 4-Direct Plan- Growth;0.0001;22-Apr-2019</v>
      </c>
      <c r="B10349" s="1"/>
    </row>
    <row r="10350">
      <c r="A10350" s="1" t="str">
        <f>IFERROR(__xludf.DUMMYFUNCTION("""COMPUTED_VALUE"""),"146840;-;INF174KA1DC2;Kotak Monthly Interval Plan Series 4-Regular Plan- Dividend Reinvestment;10.00871954;17-Apr-2019")</f>
        <v>146840;-;INF174KA1DC2;Kotak Monthly Interval Plan Series 4-Regular Plan- Dividend Reinvestment;10.00871954;17-Apr-2019</v>
      </c>
      <c r="B10350" s="1"/>
    </row>
    <row r="10351">
      <c r="A10351" s="1" t="str">
        <f>IFERROR(__xludf.DUMMYFUNCTION("""COMPUTED_VALUE"""),"146835;INF174KA1CZ5;-;Kotak Monthly Interval Plan Series 4-Regular Plan- Growth;10.07183073;17-Apr-2019")</f>
        <v>146835;INF174KA1CZ5;-;Kotak Monthly Interval Plan Series 4-Regular Plan- Growth;10.07183073;17-Apr-2019</v>
      </c>
      <c r="B10351" s="1"/>
    </row>
    <row r="10352">
      <c r="A10352" s="1" t="str">
        <f>IFERROR(__xludf.DUMMYFUNCTION("""COMPUTED_VALUE"""),"145440;INF174KA1913;-;Kotak Quarterly Interval Plan Series 12-Direct Plan-Growth;10.40029408;05-May-2019")</f>
        <v>145440;INF174KA1913;-;Kotak Quarterly Interval Plan Series 12-Direct Plan-Growth;10.40029408;05-May-2019</v>
      </c>
      <c r="B10352" s="1"/>
    </row>
    <row r="10353">
      <c r="A10353" s="1" t="str">
        <f>IFERROR(__xludf.DUMMYFUNCTION("""COMPUTED_VALUE"""),"145441;INF174KA1863;-;Kotak Quarterly Interval Plan Series 12-Regular Plan-Dividend Payout;10.018167;05-May-2019")</f>
        <v>145441;INF174KA1863;-;Kotak Quarterly Interval Plan Series 12-Regular Plan-Dividend Payout;10.018167;05-May-2019</v>
      </c>
      <c r="B10353" s="1"/>
    </row>
    <row r="10354">
      <c r="A10354" s="1" t="str">
        <f>IFERROR(__xludf.DUMMYFUNCTION("""COMPUTED_VALUE"""),"145437;INF174KA1889;-;Kotak Quarterly Interval Plan Series 12-Regular Plan-Growth;10.39494886;05-May-2019")</f>
        <v>145437;INF174KA1889;-;Kotak Quarterly Interval Plan Series 12-Regular Plan-Growth;10.39494886;05-May-2019</v>
      </c>
      <c r="B10354" s="1"/>
    </row>
    <row r="10355">
      <c r="A10355" s="1" t="str">
        <f>IFERROR(__xludf.DUMMYFUNCTION("""COMPUTED_VALUE"""),"146602;INF174KA1CI1;-;Kotak Quarterly Interval Plan Series13- Direct Plan- Dividend Payout;10.0036;30-May-2019")</f>
        <v>146602;INF174KA1CI1;-;Kotak Quarterly Interval Plan Series13- Direct Plan- Dividend Payout;10.0036;30-May-2019</v>
      </c>
      <c r="B10355" s="1"/>
    </row>
    <row r="10356">
      <c r="A10356" s="1" t="str">
        <f>IFERROR(__xludf.DUMMYFUNCTION("""COMPUTED_VALUE"""),"146599;INF174KA1CJ9;-;Kotak Quarterly Interval Plan Series13- Direct Plan- Growth;10.1855;30-May-2019")</f>
        <v>146599;INF174KA1CJ9;-;Kotak Quarterly Interval Plan Series13- Direct Plan- Growth;10.1855;30-May-2019</v>
      </c>
      <c r="B10356" s="1"/>
    </row>
    <row r="10357">
      <c r="A10357" s="1" t="str">
        <f>IFERROR(__xludf.DUMMYFUNCTION("""COMPUTED_VALUE"""),"146598;INF174KA1CG5;-;Kotak Quarterly Interval Plan Series13- Regular Plan- Dividend Payout;10.0029;30-May-2019")</f>
        <v>146598;INF174KA1CG5;-;Kotak Quarterly Interval Plan Series13- Regular Plan- Dividend Payout;10.0029;30-May-2019</v>
      </c>
      <c r="B10357" s="1"/>
    </row>
    <row r="10358">
      <c r="A10358" s="1" t="str">
        <f>IFERROR(__xludf.DUMMYFUNCTION("""COMPUTED_VALUE"""),"146601;INF174KA1CH3;-;Kotak Quarterly Interval Plan Series13- Regular Plan- Growth;10.1862;30-May-2019")</f>
        <v>146601;INF174KA1CH3;-;Kotak Quarterly Interval Plan Series13- Regular Plan- Growth;10.1862;30-May-2019</v>
      </c>
      <c r="B10358" s="1"/>
    </row>
    <row r="10359">
      <c r="A10359" s="1"/>
      <c r="B10359" s="1"/>
    </row>
    <row r="10360">
      <c r="A10360" s="1" t="str">
        <f>IFERROR(__xludf.DUMMYFUNCTION("""COMPUTED_VALUE"""),"Nippon India Mutual Fund")</f>
        <v>Nippon India Mutual Fund</v>
      </c>
      <c r="B10360" s="1"/>
    </row>
    <row r="10361">
      <c r="A10361" s="1"/>
      <c r="B10361" s="1"/>
    </row>
    <row r="10362">
      <c r="A10362" s="1" t="str">
        <f>IFERROR(__xludf.DUMMYFUNCTION("""COMPUTED_VALUE"""),"118804;INF204K01B81;-;Nippon India Annual Interval Fund - Series I - Direct Plan Growth Plan - Growth;23.9182;25-Aug-2023")</f>
        <v>118804;INF204K01B81;-;Nippon India Annual Interval Fund - Series I - Direct Plan Growth Plan - Growth;23.9182;25-Aug-2023</v>
      </c>
      <c r="B10362" s="1"/>
    </row>
    <row r="10363">
      <c r="A10363" s="1" t="str">
        <f>IFERROR(__xludf.DUMMYFUNCTION("""COMPUTED_VALUE"""),"105660;INF204K01ED4;INF204K01EE2;NIPPON INDIA ANNUAL INTERVAL FUND - SERIES I - IDCW Option;11.1190;25-Aug-2023")</f>
        <v>105660;INF204K01ED4;INF204K01EE2;NIPPON INDIA ANNUAL INTERVAL FUND - SERIES I - IDCW Option;11.1190;25-Aug-2023</v>
      </c>
      <c r="B10363" s="1"/>
    </row>
    <row r="10364">
      <c r="A10364" s="1" t="str">
        <f>IFERROR(__xludf.DUMMYFUNCTION("""COMPUTED_VALUE"""),"105662;INF204K01EA0;INF204K01EB8;NIPPON INDIA ANNUAL INTERVAL FUND - SERIES I - RETAIL Plan - IDCW Option;11.1014;25-Aug-2023")</f>
        <v>105662;INF204K01EA0;INF204K01EB8;NIPPON INDIA ANNUAL INTERVAL FUND - SERIES I - RETAIL Plan - IDCW Option;11.1014;25-Aug-2023</v>
      </c>
      <c r="B10364" s="1"/>
    </row>
    <row r="10365">
      <c r="A10365" s="1" t="str">
        <f>IFERROR(__xludf.DUMMYFUNCTION("""COMPUTED_VALUE"""),"105663;INF204K01EC6;-;Nippon India Interval Fund Annual Interval Fund Series-I- Growth Option;23.6789;25-Aug-2023")</f>
        <v>105663;INF204K01EC6;-;Nippon India Interval Fund Annual Interval Fund Series-I- Growth Option;23.6789;25-Aug-2023</v>
      </c>
      <c r="B10365" s="1"/>
    </row>
    <row r="10366">
      <c r="A10366" s="1" t="str">
        <f>IFERROR(__xludf.DUMMYFUNCTION("""COMPUTED_VALUE"""),"105661;INF204K01DZ9;-;Nippon India Interval Fund Annual Interval Fund Series-I-Retail Plan Growth Option;31.8813;25-Aug-2023")</f>
        <v>105661;INF204K01DZ9;-;Nippon India Interval Fund Annual Interval Fund Series-I-Retail Plan Growth Option;31.8813;25-Aug-2023</v>
      </c>
      <c r="B10366" s="1"/>
    </row>
    <row r="10367">
      <c r="A10367" s="1" t="str">
        <f>IFERROR(__xludf.DUMMYFUNCTION("""COMPUTED_VALUE"""),"145667;INF204KB1P74;-;Nippon India Interval Fund V - Series 2 - Direct Plan - Dividend Payout Option;10.0000;19-Dec-2019")</f>
        <v>145667;INF204KB1P74;-;Nippon India Interval Fund V - Series 2 - Direct Plan - Dividend Payout Option;10.0000;19-Dec-2019</v>
      </c>
      <c r="B10367" s="1"/>
    </row>
    <row r="10368">
      <c r="A10368" s="1" t="str">
        <f>IFERROR(__xludf.DUMMYFUNCTION("""COMPUTED_VALUE"""),"145670;INF204KB1P66;-;Nippon India Interval Fund V - Series 2 - Direct Plan - Growth Option;10.8556;19-Dec-2019")</f>
        <v>145670;INF204KB1P66;-;Nippon India Interval Fund V - Series 2 - Direct Plan - Growth Option;10.8556;19-Dec-2019</v>
      </c>
      <c r="B10368" s="1"/>
    </row>
    <row r="10369">
      <c r="A10369" s="1" t="str">
        <f>IFERROR(__xludf.DUMMYFUNCTION("""COMPUTED_VALUE"""),"145668;INF204KB1P58;-;Nippon India Interval Fund V - Series 2 - Dividend Payout Option;10.0001;19-Dec-2019")</f>
        <v>145668;INF204KB1P58;-;Nippon India Interval Fund V - Series 2 - Dividend Payout Option;10.0001;19-Dec-2019</v>
      </c>
      <c r="B10369" s="1"/>
    </row>
    <row r="10370">
      <c r="A10370" s="1" t="str">
        <f>IFERROR(__xludf.DUMMYFUNCTION("""COMPUTED_VALUE"""),"145669;INF204KB1P41;-;Nippon India Interval Fund V - Series 2 - Growth Option;10.8332;19-Dec-2019")</f>
        <v>145669;INF204KB1P41;-;Nippon India Interval Fund V - Series 2 - Growth Option;10.8332;19-Dec-2019</v>
      </c>
      <c r="B10370" s="1"/>
    </row>
    <row r="10371">
      <c r="A10371" s="1" t="str">
        <f>IFERROR(__xludf.DUMMYFUNCTION("""COMPUTED_VALUE"""),"145348;INF204KB1M51;-;Nippon India Interval Fund V- Series 1- Direct Plan- Dividend Option;10.0000;31-Oct-2019")</f>
        <v>145348;INF204KB1M51;-;Nippon India Interval Fund V- Series 1- Direct Plan- Dividend Option;10.0000;31-Oct-2019</v>
      </c>
      <c r="B10371" s="1"/>
    </row>
    <row r="10372">
      <c r="A10372" s="1" t="str">
        <f>IFERROR(__xludf.DUMMYFUNCTION("""COMPUTED_VALUE"""),"145350;INF204KB1M44;-;Nippon India Interval Fund V- Series 1- Direct Plan-Growth Option;10.8758;31-Oct-2019")</f>
        <v>145350;INF204KB1M44;-;Nippon India Interval Fund V- Series 1- Direct Plan-Growth Option;10.8758;31-Oct-2019</v>
      </c>
      <c r="B10372" s="1"/>
    </row>
    <row r="10373">
      <c r="A10373" s="1" t="str">
        <f>IFERROR(__xludf.DUMMYFUNCTION("""COMPUTED_VALUE"""),"145349;INF204KB1M36;-;Nippon India Interval Fund V- Series 1- Dividend Option;10.0000;31-Oct-2019")</f>
        <v>145349;INF204KB1M36;-;Nippon India Interval Fund V- Series 1- Dividend Option;10.0000;31-Oct-2019</v>
      </c>
      <c r="B10373" s="1"/>
    </row>
    <row r="10374">
      <c r="A10374" s="1" t="str">
        <f>IFERROR(__xludf.DUMMYFUNCTION("""COMPUTED_VALUE"""),"145347;INF204KB1M28;-;Nippon India Interval Fund V- Series 1- Growth Option;10.8539;31-Oct-2019")</f>
        <v>145347;INF204KB1M28;-;Nippon India Interval Fund V- Series 1- Growth Option;10.8539;31-Oct-2019</v>
      </c>
      <c r="B10374" s="1"/>
    </row>
    <row r="10375">
      <c r="A10375" s="1" t="str">
        <f>IFERROR(__xludf.DUMMYFUNCTION("""COMPUTED_VALUE"""),"105229;INF204K01CV0;-;Nippon India Interval Fund-Monthly Interval Fund-Series-I- Growth Option;30.0127;25-Aug-2023")</f>
        <v>105229;INF204K01CV0;-;Nippon India Interval Fund-Monthly Interval Fund-Series-I- Growth Option;30.0127;25-Aug-2023</v>
      </c>
      <c r="B10375" s="1"/>
    </row>
    <row r="10376">
      <c r="A10376" s="1" t="str">
        <f>IFERROR(__xludf.DUMMYFUNCTION("""COMPUTED_VALUE"""),"105232;INF204K01CZ1;INF204K01DA2;Nippon India Interval Fund-Monthly Interval Fund-Series-I-Institutional Plan-Dividend Option;10.0033;17-Sep-2019")</f>
        <v>105232;INF204K01CZ1;INF204K01DA2;Nippon India Interval Fund-Monthly Interval Fund-Series-I-Institutional Plan-Dividend Option;10.0033;17-Sep-2019</v>
      </c>
      <c r="B10376" s="1"/>
    </row>
    <row r="10377">
      <c r="A10377" s="1" t="str">
        <f>IFERROR(__xludf.DUMMYFUNCTION("""COMPUTED_VALUE"""),"118596;INF204K01ZB3;INF204K01ZC1;NIPPON INDIA MONTHLY INTERVAL FUND - SERIES I - Direct Plan - IDCW Option;10.0002;16-Jun-2021")</f>
        <v>118596;INF204K01ZB3;INF204K01ZC1;NIPPON INDIA MONTHLY INTERVAL FUND - SERIES I - Direct Plan - IDCW Option;10.0002;16-Jun-2021</v>
      </c>
      <c r="B10377" s="1"/>
    </row>
    <row r="10378">
      <c r="A10378" s="1" t="str">
        <f>IFERROR(__xludf.DUMMYFUNCTION("""COMPUTED_VALUE"""),"118598;INF204K01ZA5;-;Nippon India Monthly Interval Fund - Series I - Direct Plan Growth Plan - Growth;30.3536;25-Aug-2023")</f>
        <v>118598;INF204K01ZA5;-;Nippon India Monthly Interval Fund - Series I - Direct Plan Growth Plan - Growth;30.3536;25-Aug-2023</v>
      </c>
      <c r="B10378" s="1"/>
    </row>
    <row r="10379">
      <c r="A10379" s="1" t="str">
        <f>IFERROR(__xludf.DUMMYFUNCTION("""COMPUTED_VALUE"""),"105230;INF204K01CW8;INF204K01CX6;NIPPON INDIA MONTHLY INTERVAL FUND - SERIES I - IDCW Option;10.0160;25-Aug-2023")</f>
        <v>105230;INF204K01CW8;INF204K01CX6;NIPPON INDIA MONTHLY INTERVAL FUND - SERIES I - IDCW Option;10.0160;25-Aug-2023</v>
      </c>
      <c r="B10379" s="1"/>
    </row>
    <row r="10380">
      <c r="A10380" s="1" t="str">
        <f>IFERROR(__xludf.DUMMYFUNCTION("""COMPUTED_VALUE"""),"105400;INF204K01DB0;-;Nippon India Interval Fund-Monthly Interval Fund-Series-II -Growth Option;29.7970;25-Aug-2023")</f>
        <v>105400;INF204K01DB0;-;Nippon India Interval Fund-Monthly Interval Fund-Series-II -Growth Option;29.7970;25-Aug-2023</v>
      </c>
      <c r="B10380" s="1"/>
    </row>
    <row r="10381">
      <c r="A10381" s="1" t="str">
        <f>IFERROR(__xludf.DUMMYFUNCTION("""COMPUTED_VALUE"""),"105402;INF204K01DF1;INF204K01DG9;Nippon India Interval Fund-Monthly Interval Fund-Series-II-Institutional Plan-Dividend Option;10.0291;17-Sep-2019")</f>
        <v>105402;INF204K01DF1;INF204K01DG9;Nippon India Interval Fund-Monthly Interval Fund-Series-II-Institutional Plan-Dividend Option;10.0291;17-Sep-2019</v>
      </c>
      <c r="B10381" s="1"/>
    </row>
    <row r="10382">
      <c r="A10382" s="1" t="str">
        <f>IFERROR(__xludf.DUMMYFUNCTION("""COMPUTED_VALUE"""),"118594;INF204K01ZE7;INF204K01ZF4;NIPPON INDIA MONTHLY INTERVAL FUND - SERIES II - Direct Plan - IDCW Option;10.0442;25-Aug-2023")</f>
        <v>118594;INF204K01ZE7;INF204K01ZF4;NIPPON INDIA MONTHLY INTERVAL FUND - SERIES II - Direct Plan - IDCW Option;10.0442;25-Aug-2023</v>
      </c>
      <c r="B10382" s="1"/>
    </row>
    <row r="10383">
      <c r="A10383" s="1" t="str">
        <f>IFERROR(__xludf.DUMMYFUNCTION("""COMPUTED_VALUE"""),"118595;INF204K01ZD9;-;Nippon India Monthly Interval Fund - Series II - Direct Plan Growth Plan - Growth;30.3030;25-Aug-2023")</f>
        <v>118595;INF204K01ZD9;-;Nippon India Monthly Interval Fund - Series II - Direct Plan Growth Plan - Growth;30.3030;25-Aug-2023</v>
      </c>
      <c r="B10383" s="1"/>
    </row>
    <row r="10384">
      <c r="A10384" s="1" t="str">
        <f>IFERROR(__xludf.DUMMYFUNCTION("""COMPUTED_VALUE"""),"105401;INF204K01DC8;INF204K01DD6;NIPPON INDIA MONTHLY INTERVAL FUND - SERIES II - IDCW Option;10.0439;25-Aug-2023")</f>
        <v>105401;INF204K01DC8;INF204K01DD6;NIPPON INDIA MONTHLY INTERVAL FUND - SERIES II - IDCW Option;10.0439;25-Aug-2023</v>
      </c>
      <c r="B10384" s="1"/>
    </row>
    <row r="10385">
      <c r="A10385" s="1" t="str">
        <f>IFERROR(__xludf.DUMMYFUNCTION("""COMPUTED_VALUE"""),"105691;INF204K01DR6;INF204K01DS4;Nippon India Interval Fund-Quarterly Interval Fund Serie-II-Institutional Plan -Dividend Option;10.0304;07-Nov-2016")</f>
        <v>105691;INF204K01DR6;INF204K01DS4;Nippon India Interval Fund-Quarterly Interval Fund Serie-II-Institutional Plan -Dividend Option;10.0304;07-Nov-2016</v>
      </c>
      <c r="B10385" s="1"/>
    </row>
    <row r="10386">
      <c r="A10386" s="1" t="str">
        <f>IFERROR(__xludf.DUMMYFUNCTION("""COMPUTED_VALUE"""),"105689;INF204K01DN5;-;Nippon India Interval Fund-Quarterly Interval Fund Series-II-Growth Option;31.7678;25-Aug-2023")</f>
        <v>105689;INF204K01DN5;-;Nippon India Interval Fund-Quarterly Interval Fund Series-II-Growth Option;31.7678;25-Aug-2023</v>
      </c>
      <c r="B10386" s="1"/>
    </row>
    <row r="10387">
      <c r="A10387" s="1" t="str">
        <f>IFERROR(__xludf.DUMMYFUNCTION("""COMPUTED_VALUE"""),"118689;INF204K01F46;INF204K01F53;NIPPON INDIA QUARTERLY INTERVAL FUND - SERIES II - Direct Plan - IDCW Option;11.1665;25-Aug-2023")</f>
        <v>118689;INF204K01F46;INF204K01F53;NIPPON INDIA QUARTERLY INTERVAL FUND - SERIES II - Direct Plan - IDCW Option;11.1665;25-Aug-2023</v>
      </c>
      <c r="B10387" s="1"/>
    </row>
    <row r="10388">
      <c r="A10388" s="1" t="str">
        <f>IFERROR(__xludf.DUMMYFUNCTION("""COMPUTED_VALUE"""),"118691;INF204K01F61;-;Nippon India Quarterly Interval Fund - Series II - Direct Plan Growth Plan - Growth;32.2242;25-Aug-2023")</f>
        <v>118691;INF204K01F61;-;Nippon India Quarterly Interval Fund - Series II - Direct Plan Growth Plan - Growth;32.2242;25-Aug-2023</v>
      </c>
      <c r="B10388" s="1"/>
    </row>
    <row r="10389">
      <c r="A10389" s="1" t="str">
        <f>IFERROR(__xludf.DUMMYFUNCTION("""COMPUTED_VALUE"""),"105692;INF204K01DO3;INF204K01DP0;NIPPON INDIA QUARTERLY INTERVAL FUND - SERIES II - IDCW Option;11.1391;25-Aug-2023")</f>
        <v>105692;INF204K01DO3;INF204K01DP0;NIPPON INDIA QUARTERLY INTERVAL FUND - SERIES II - IDCW Option;11.1391;25-Aug-2023</v>
      </c>
      <c r="B10389" s="1"/>
    </row>
    <row r="10390">
      <c r="A10390" s="1" t="str">
        <f>IFERROR(__xludf.DUMMYFUNCTION("""COMPUTED_VALUE"""),"118621;INF204K01XU8;INF204K01XV6;NIPPON INDIA INTERVAL FUND - QUARTERLY PLAN - SERIES I - Direct Plan - IDCW Option;10.0212;03-Apr-2020")</f>
        <v>118621;INF204K01XU8;INF204K01XV6;NIPPON INDIA INTERVAL FUND - QUARTERLY PLAN - SERIES I - Direct Plan - IDCW Option;10.0212;03-Apr-2020</v>
      </c>
      <c r="B10390" s="1"/>
    </row>
    <row r="10391">
      <c r="A10391" s="1" t="str">
        <f>IFERROR(__xludf.DUMMYFUNCTION("""COMPUTED_VALUE"""),"118623;INF204K01XT0;-;Nippon India Interval Fund - Quarterly Plan - Series I - Direct Plan Growth Plan - Growth;30.8443;25-Aug-2023")</f>
        <v>118623;INF204K01XT0;-;Nippon India Interval Fund - Quarterly Plan - Series I - Direct Plan Growth Plan - Growth;30.8443;25-Aug-2023</v>
      </c>
      <c r="B10391" s="1"/>
    </row>
    <row r="10392">
      <c r="A10392" s="1" t="str">
        <f>IFERROR(__xludf.DUMMYFUNCTION("""COMPUTED_VALUE"""),"105434;INF204K01DI5;INF204K01DJ3;NIPPON INDIA INTERVAL FUND - QUARTERLY PLAN - SERIES I - IDCW Option;11.0810;25-Aug-2023")</f>
        <v>105434;INF204K01DI5;INF204K01DJ3;NIPPON INDIA INTERVAL FUND - QUARTERLY PLAN - SERIES I - IDCW Option;11.0810;25-Aug-2023</v>
      </c>
      <c r="B10392" s="1"/>
    </row>
    <row r="10393">
      <c r="A10393" s="1" t="str">
        <f>IFERROR(__xludf.DUMMYFUNCTION("""COMPUTED_VALUE"""),"105436;INF204K01DL9;INF204K01DM7;NIPPON INDIA INTERVAL FUND - QUARTERLY PLAN - SERIES I - INSTITUTIONAL IDCW Option;11.0625;25-Aug-2023")</f>
        <v>105436;INF204K01DL9;INF204K01DM7;NIPPON INDIA INTERVAL FUND - QUARTERLY PLAN - SERIES I - INSTITUTIONAL IDCW Option;11.0625;25-Aug-2023</v>
      </c>
      <c r="B10393" s="1"/>
    </row>
    <row r="10394">
      <c r="A10394" s="1" t="str">
        <f>IFERROR(__xludf.DUMMYFUNCTION("""COMPUTED_VALUE"""),"105433;INF204K01DH7;-;Nippon India Interval Fund-Quarterly Interval Fund-Series-I - Growth Option;30.3185;25-Aug-2023")</f>
        <v>105433;INF204K01DH7;-;Nippon India Interval Fund-Quarterly Interval Fund-Series-I - Growth Option;30.3185;25-Aug-2023</v>
      </c>
      <c r="B10394" s="1"/>
    </row>
    <row r="10395">
      <c r="A10395" s="1" t="str">
        <f>IFERROR(__xludf.DUMMYFUNCTION("""COMPUTED_VALUE"""),"105884;INF204K01DT2;-;Nippon India Interval Fund-Quarterly Interval Fund-Series-III- Growth Option;30.6811;25-Aug-2023")</f>
        <v>105884;INF204K01DT2;-;Nippon India Interval Fund-Quarterly Interval Fund-Series-III- Growth Option;30.6811;25-Aug-2023</v>
      </c>
      <c r="B10395" s="1"/>
    </row>
    <row r="10396">
      <c r="A10396" s="1" t="str">
        <f>IFERROR(__xludf.DUMMYFUNCTION("""COMPUTED_VALUE"""),"105882;INF204K01DW6;-;Nippon India Interval Fund-Quarterly Interval Fund-Series-III-Institutional Plan-Growth Option;17.9330;25-Aug-2023")</f>
        <v>105882;INF204K01DW6;-;Nippon India Interval Fund-Quarterly Interval Fund-Series-III-Institutional Plan-Growth Option;17.9330;25-Aug-2023</v>
      </c>
      <c r="B10396" s="1"/>
    </row>
    <row r="10397">
      <c r="A10397" s="1" t="str">
        <f>IFERROR(__xludf.DUMMYFUNCTION("""COMPUTED_VALUE"""),"118584;INF204K01XX2;INF204K01XY0;NIPPON INDIA QUARTERLY INTERVAL FUND - SERIES III - Direct Plan - IDCW Option;11.1976;25-Aug-2023")</f>
        <v>118584;INF204K01XX2;INF204K01XY0;NIPPON INDIA QUARTERLY INTERVAL FUND - SERIES III - Direct Plan - IDCW Option;11.1976;25-Aug-2023</v>
      </c>
      <c r="B10397" s="1"/>
    </row>
    <row r="10398">
      <c r="A10398" s="1" t="str">
        <f>IFERROR(__xludf.DUMMYFUNCTION("""COMPUTED_VALUE"""),"118583;INF204K01XW4;-;Nippon India Quarterly Interval Fund - Series III - Direct Plan Growth Plan - Growth;18.8938;25-Aug-2023")</f>
        <v>118583;INF204K01XW4;-;Nippon India Quarterly Interval Fund - Series III - Direct Plan Growth Plan - Growth;18.8938;25-Aug-2023</v>
      </c>
      <c r="B10398" s="1"/>
    </row>
    <row r="10399">
      <c r="A10399" s="1" t="str">
        <f>IFERROR(__xludf.DUMMYFUNCTION("""COMPUTED_VALUE"""),"105885;INF204K01DU0;INF204K01DV8;NIPPON INDIA QUARTERLY INTERVAL FUND - SERIES III - IDCW Option;11.1371;25-Aug-2023")</f>
        <v>105885;INF204K01DU0;INF204K01DV8;NIPPON INDIA QUARTERLY INTERVAL FUND - SERIES III - IDCW Option;11.1371;25-Aug-2023</v>
      </c>
      <c r="B10399" s="1"/>
    </row>
    <row r="10400">
      <c r="A10400" s="1" t="str">
        <f>IFERROR(__xludf.DUMMYFUNCTION("""COMPUTED_VALUE"""),"105883;INF204K01DX4;INF204K01DY2;NIPPON INDIA QUARTERLY INTERVAL FUND - SERIES III - INSTITUTIONAL IDCW Option;10.9903;06-Jun-2023")</f>
        <v>105883;INF204K01DX4;INF204K01DY2;NIPPON INDIA QUARTERLY INTERVAL FUND - SERIES III - INSTITUTIONAL IDCW Option;10.9903;06-Jun-2023</v>
      </c>
      <c r="B10400" s="1"/>
    </row>
    <row r="10401">
      <c r="A10401" s="1" t="str">
        <f>IFERROR(__xludf.DUMMYFUNCTION("""COMPUTED_VALUE"""),"120800;INF204K01M47;INF204K01M54;Nippon India Yearly Interval Fund - Series 1 - Direct Plan - Dividend Plan - Dividend Option;10.0000;23-Feb-2021")</f>
        <v>120800;INF204K01M47;INF204K01M54;Nippon India Yearly Interval Fund - Series 1 - Direct Plan - Dividend Plan - Dividend Option;10.0000;23-Feb-2021</v>
      </c>
      <c r="B10401" s="1"/>
    </row>
    <row r="10402">
      <c r="A10402" s="1" t="str">
        <f>IFERROR(__xludf.DUMMYFUNCTION("""COMPUTED_VALUE"""),"120799;INF204K01M39;-;Nippon India Yearly Interval Fund - Series 1 - Direct Plan - Growth Plan - Growth Option;18.4492;23-Feb-2021")</f>
        <v>120799;INF204K01M39;-;Nippon India Yearly Interval Fund - Series 1 - Direct Plan - Growth Plan - Growth Option;18.4492;23-Feb-2021</v>
      </c>
      <c r="B10402" s="1"/>
    </row>
    <row r="10403">
      <c r="A10403" s="1" t="str">
        <f>IFERROR(__xludf.DUMMYFUNCTION("""COMPUTED_VALUE"""),"120802;INF204K01M13;INF204K01M21;Nippon India Yearly Interval Fund - Series 1 - Dividend Plan - Dividend Option;10.0000;23-Feb-2021")</f>
        <v>120802;INF204K01M13;INF204K01M21;Nippon India Yearly Interval Fund - Series 1 - Dividend Plan - Dividend Option;10.0000;23-Feb-2021</v>
      </c>
      <c r="B10403" s="1"/>
    </row>
    <row r="10404">
      <c r="A10404" s="1" t="str">
        <f>IFERROR(__xludf.DUMMYFUNCTION("""COMPUTED_VALUE"""),"120798;INF204K01M05;-;Nippon India Yearly Interval Fund - Series 1 - Growth Plan - Growth Option;18.3223;23-Feb-2021")</f>
        <v>120798;INF204K01M05;-;Nippon India Yearly Interval Fund - Series 1 - Growth Plan - Growth Option;18.3223;23-Feb-2021</v>
      </c>
      <c r="B10404" s="1"/>
    </row>
    <row r="10405">
      <c r="A10405" s="1" t="str">
        <f>IFERROR(__xludf.DUMMYFUNCTION("""COMPUTED_VALUE"""),"134888;INF204KA12F4;-;Reliance Interval Fund -IV -Series 2 - Direct Plan - Dividend Payout Option;12.9909;02-Jul-2018")</f>
        <v>134888;INF204KA12F4;-;Reliance Interval Fund -IV -Series 2 - Direct Plan - Dividend Payout Option;12.9909;02-Jul-2018</v>
      </c>
      <c r="B10405" s="1"/>
    </row>
    <row r="10406">
      <c r="A10406" s="1" t="str">
        <f>IFERROR(__xludf.DUMMYFUNCTION("""COMPUTED_VALUE"""),"134890;INF204KA13F2;-;Reliance Interval Fund -IV -Series 2 - Direct Plan - Growth Option;12.9909;02-Jul-2018")</f>
        <v>134890;INF204KA13F2;-;Reliance Interval Fund -IV -Series 2 - Direct Plan - Growth Option;12.9909;02-Jul-2018</v>
      </c>
      <c r="B10406" s="1"/>
    </row>
    <row r="10407">
      <c r="A10407" s="1" t="str">
        <f>IFERROR(__xludf.DUMMYFUNCTION("""COMPUTED_VALUE"""),"134889;INF204KA10F8;-;Reliance Interval Fund -IV -Series 2 - Dividend Payout Option;12.721;02-Jul-2018")</f>
        <v>134889;INF204KA10F8;-;Reliance Interval Fund -IV -Series 2 - Dividend Payout Option;12.721;02-Jul-2018</v>
      </c>
      <c r="B10407" s="1"/>
    </row>
    <row r="10408">
      <c r="A10408" s="1" t="str">
        <f>IFERROR(__xludf.DUMMYFUNCTION("""COMPUTED_VALUE"""),"134891;INF204KA11F6;-;Reliance Interval Fund -IV -Series 2 - Growth Option;12.721;02-Jul-2018")</f>
        <v>134891;INF204KA11F6;-;Reliance Interval Fund -IV -Series 2 - Growth Option;12.721;02-Jul-2018</v>
      </c>
      <c r="B10408" s="1"/>
    </row>
    <row r="10409">
      <c r="A10409" s="1" t="str">
        <f>IFERROR(__xludf.DUMMYFUNCTION("""COMPUTED_VALUE"""),"135001;INF204KA14I4;-;Reliance Interval Fund IV- Series 3- Direct Plan-Dividend Payout Option;12.6668;02-Jul-2018")</f>
        <v>135001;INF204KA14I4;-;Reliance Interval Fund IV- Series 3- Direct Plan-Dividend Payout Option;12.6668;02-Jul-2018</v>
      </c>
      <c r="B10409" s="1"/>
    </row>
    <row r="10410">
      <c r="A10410" s="1" t="str">
        <f>IFERROR(__xludf.DUMMYFUNCTION("""COMPUTED_VALUE"""),"134999;INF204KA15I1;-;Reliance Interval Fund IV- Series 3- Direct Plan-Growth option;12.6668;02-Jul-2018")</f>
        <v>134999;INF204KA15I1;-;Reliance Interval Fund IV- Series 3- Direct Plan-Growth option;12.6668;02-Jul-2018</v>
      </c>
      <c r="B10410" s="1"/>
    </row>
    <row r="10411">
      <c r="A10411" s="1" t="str">
        <f>IFERROR(__xludf.DUMMYFUNCTION("""COMPUTED_VALUE"""),"135000;INF204KA12I8;-;Reliance Interval Fund IV- Series 3- Dividend Payout Option;12.4325;02-Jul-2018")</f>
        <v>135000;INF204KA12I8;-;Reliance Interval Fund IV- Series 3- Dividend Payout Option;12.4325;02-Jul-2018</v>
      </c>
      <c r="B10411" s="1"/>
    </row>
    <row r="10412">
      <c r="A10412" s="1" t="str">
        <f>IFERROR(__xludf.DUMMYFUNCTION("""COMPUTED_VALUE"""),"135002;INF204KA13I6;-;Reliance Interval Fund IV- Series 3- Growth option;12.4325;02-Jul-2018")</f>
        <v>135002;INF204KA13I6;-;Reliance Interval Fund IV- Series 3- Growth option;12.4325;02-Jul-2018</v>
      </c>
      <c r="B10412" s="1"/>
    </row>
    <row r="10413">
      <c r="A10413" s="1"/>
      <c r="B10413" s="1"/>
    </row>
    <row r="10414">
      <c r="A10414" s="1" t="str">
        <f>IFERROR(__xludf.DUMMYFUNCTION("""COMPUTED_VALUE"""),"Close Ended Schemes(ELSS)")</f>
        <v>Close Ended Schemes(ELSS)</v>
      </c>
      <c r="B10414" s="1"/>
    </row>
    <row r="10415">
      <c r="A10415" s="1"/>
      <c r="B10415" s="1"/>
    </row>
    <row r="10416">
      <c r="A10416" s="1" t="str">
        <f>IFERROR(__xludf.DUMMYFUNCTION("""COMPUTED_VALUE"""),"Bank of India Mutual Fund")</f>
        <v>Bank of India Mutual Fund</v>
      </c>
      <c r="B10416" s="1"/>
    </row>
    <row r="10417">
      <c r="A10417" s="1"/>
      <c r="B10417" s="1"/>
    </row>
    <row r="10418">
      <c r="A10418" s="1" t="str">
        <f>IFERROR(__xludf.DUMMYFUNCTION("""COMPUTED_VALUE"""),"141950;INF761K01DS3;-;BANK OF INDIA Mid Cap Tax Fund Series 1 Direct Plan Growth;19.86;25-Aug-2023")</f>
        <v>141950;INF761K01DS3;-;BANK OF INDIA Mid Cap Tax Fund Series 1 Direct Plan Growth;19.86;25-Aug-2023</v>
      </c>
      <c r="B10418" s="1"/>
    </row>
    <row r="10419">
      <c r="A10419" s="1" t="str">
        <f>IFERROR(__xludf.DUMMYFUNCTION("""COMPUTED_VALUE"""),"141949;INF761K01DT1;-;BANK OF INDIA Mid Cap Tax Fund Series 1 Direct Plan IDCW;19.86;25-Aug-2023")</f>
        <v>141949;INF761K01DT1;-;BANK OF INDIA Mid Cap Tax Fund Series 1 Direct Plan IDCW;19.86;25-Aug-2023</v>
      </c>
      <c r="B10419" s="1"/>
    </row>
    <row r="10420">
      <c r="A10420" s="1" t="str">
        <f>IFERROR(__xludf.DUMMYFUNCTION("""COMPUTED_VALUE"""),"141952;INF761K01DU9;-;BANK OF INDIA Mid Cap Tax Fund Series 1 Regular Plan Growth;19.19;25-Aug-2023")</f>
        <v>141952;INF761K01DU9;-;BANK OF INDIA Mid Cap Tax Fund Series 1 Regular Plan Growth;19.19;25-Aug-2023</v>
      </c>
      <c r="B10420" s="1"/>
    </row>
    <row r="10421">
      <c r="A10421" s="1" t="str">
        <f>IFERROR(__xludf.DUMMYFUNCTION("""COMPUTED_VALUE"""),"141951;INF761K01DV7;-;BANK OF INDIA Mid Cap Tax Fund Series 1 Regular Plan IDCW;19.19;25-Aug-2023")</f>
        <v>141951;INF761K01DV7;-;BANK OF INDIA Mid Cap Tax Fund Series 1 Regular Plan IDCW;19.19;25-Aug-2023</v>
      </c>
      <c r="B10421" s="1"/>
    </row>
    <row r="10422">
      <c r="A10422" s="1" t="str">
        <f>IFERROR(__xludf.DUMMYFUNCTION("""COMPUTED_VALUE"""),"144315;INF761K01EL6;-;BANK OF INDIA Midcap Tax Fund Series 2 Direct Plan Growth;23.58;25-Aug-2023")</f>
        <v>144315;INF761K01EL6;-;BANK OF INDIA Midcap Tax Fund Series 2 Direct Plan Growth;23.58;25-Aug-2023</v>
      </c>
      <c r="B10422" s="1"/>
    </row>
    <row r="10423">
      <c r="A10423" s="1" t="str">
        <f>IFERROR(__xludf.DUMMYFUNCTION("""COMPUTED_VALUE"""),"144309;INF761K01EK8;-;BANK OF INDIA Midcap Tax Fund Series 2 Direct Plan IDCW;23.58;25-Aug-2023")</f>
        <v>144309;INF761K01EK8;-;BANK OF INDIA Midcap Tax Fund Series 2 Direct Plan IDCW;23.58;25-Aug-2023</v>
      </c>
      <c r="B10423" s="1"/>
    </row>
    <row r="10424">
      <c r="A10424" s="1" t="str">
        <f>IFERROR(__xludf.DUMMYFUNCTION("""COMPUTED_VALUE"""),"144314;INF761K01EN2;-;BANK OF INDIA Midcap Tax Fund Series 2 Regular Plan Growth;22.65;25-Aug-2023")</f>
        <v>144314;INF761K01EN2;-;BANK OF INDIA Midcap Tax Fund Series 2 Regular Plan Growth;22.65;25-Aug-2023</v>
      </c>
      <c r="B10424" s="1"/>
    </row>
    <row r="10425">
      <c r="A10425" s="1" t="str">
        <f>IFERROR(__xludf.DUMMYFUNCTION("""COMPUTED_VALUE"""),"144316;INF761K01EM4;-;BANK OF INDIA Midcap Tax Fund Series 2 Regular Plan IDCW;22.66;25-Aug-2023")</f>
        <v>144316;INF761K01EM4;-;BANK OF INDIA Midcap Tax Fund Series 2 Regular Plan IDCW;22.66;25-Aug-2023</v>
      </c>
      <c r="B10425" s="1"/>
    </row>
    <row r="10426">
      <c r="A10426" s="1"/>
      <c r="B10426" s="1"/>
    </row>
    <row r="10427">
      <c r="A10427" s="1" t="str">
        <f>IFERROR(__xludf.DUMMYFUNCTION("""COMPUTED_VALUE"""),"ICICI Prudential Mutual Fund")</f>
        <v>ICICI Prudential Mutual Fund</v>
      </c>
      <c r="B10427" s="1"/>
    </row>
    <row r="10428">
      <c r="A10428" s="1"/>
      <c r="B10428" s="1"/>
    </row>
    <row r="10429">
      <c r="A10429" s="1" t="str">
        <f>IFERROR(__xludf.DUMMYFUNCTION("""COMPUTED_VALUE"""),"142136;INF109KC1077;-;ICICI Prudential Long Term Wealth Enhancement Fund - Cumulative Option;19.34;25-Aug-2023")</f>
        <v>142136;INF109KC1077;-;ICICI Prudential Long Term Wealth Enhancement Fund - Cumulative Option;19.34;25-Aug-2023</v>
      </c>
      <c r="B10429" s="1"/>
    </row>
    <row r="10430">
      <c r="A10430" s="1" t="str">
        <f>IFERROR(__xludf.DUMMYFUNCTION("""COMPUTED_VALUE"""),"142134;INF109KC1093;-;ICICI Prudential Long Term Wealth Enhancement Fund - Direct Plan Cumulative Option;20.04;25-Aug-2023")</f>
        <v>142134;INF109KC1093;-;ICICI Prudential Long Term Wealth Enhancement Fund - Direct Plan Cumulative Option;20.04;25-Aug-2023</v>
      </c>
      <c r="B10430" s="1"/>
    </row>
    <row r="10431">
      <c r="A10431" s="1" t="str">
        <f>IFERROR(__xludf.DUMMYFUNCTION("""COMPUTED_VALUE"""),"142133;INF109KC1101;-;ICICI Prudential Long Term Wealth Enhancement Fund - Direct Plan IDCW Option;20.04;25-Aug-2023")</f>
        <v>142133;INF109KC1101;-;ICICI Prudential Long Term Wealth Enhancement Fund - Direct Plan IDCW Option;20.04;25-Aug-2023</v>
      </c>
      <c r="B10431" s="1"/>
    </row>
    <row r="10432">
      <c r="A10432" s="1" t="str">
        <f>IFERROR(__xludf.DUMMYFUNCTION("""COMPUTED_VALUE"""),"142135;INF109KC1085;-;ICICI Prudential Long Term Wealth Enhancement Fund - IDCW Option;19.34;25-Aug-2023")</f>
        <v>142135;INF109KC1085;-;ICICI Prudential Long Term Wealth Enhancement Fund - IDCW Option;19.34;25-Aug-2023</v>
      </c>
      <c r="B10432" s="1"/>
    </row>
    <row r="10433">
      <c r="A10433" s="1" t="str">
        <f>IFERROR(__xludf.DUMMYFUNCTION("""COMPUTED_VALUE"""),"112101;INF109KA1XQ0;-;ICICI Prudential R.I.G.H.T. Fund Dividend;22.73;26-Sep-2019")</f>
        <v>112101;INF109KA1XQ0;-;ICICI Prudential R.I.G.H.T. Fund Dividend;22.73;26-Sep-2019</v>
      </c>
      <c r="B10433" s="1"/>
    </row>
    <row r="10434">
      <c r="A10434" s="1" t="str">
        <f>IFERROR(__xludf.DUMMYFUNCTION("""COMPUTED_VALUE"""),"112100;INF109KA1XP2;-;ICICI Prudential R.I.G.H.T. Fund Growth;39.09;26-Sep-2019")</f>
        <v>112100;INF109KA1XP2;-;ICICI Prudential R.I.G.H.T. Fund Growth;39.09;26-Sep-2019</v>
      </c>
      <c r="B10434" s="1"/>
    </row>
    <row r="10435">
      <c r="A10435" s="1"/>
      <c r="B10435" s="1"/>
    </row>
    <row r="10436">
      <c r="A10436" s="1" t="str">
        <f>IFERROR(__xludf.DUMMYFUNCTION("""COMPUTED_VALUE"""),"Nippon India Mutual Fund")</f>
        <v>Nippon India Mutual Fund</v>
      </c>
      <c r="B10436" s="1"/>
    </row>
    <row r="10437">
      <c r="A10437" s="1"/>
      <c r="B10437" s="1"/>
    </row>
    <row r="10438">
      <c r="A10438" s="1" t="str">
        <f>IFERROR(__xludf.DUMMYFUNCTION("""COMPUTED_VALUE"""),"107900;INF204K01ON2;-;Reliance Equity Linked Saving Fund - Series I - Dividend Plan;32.0820;02-Apr-2018")</f>
        <v>107900;INF204K01ON2;-;Reliance Equity Linked Saving Fund - Series I - Dividend Plan;32.0820;02-Apr-2018</v>
      </c>
      <c r="B10438" s="1"/>
    </row>
    <row r="10439">
      <c r="A10439" s="1" t="str">
        <f>IFERROR(__xludf.DUMMYFUNCTION("""COMPUTED_VALUE"""),"107901;INF204K01OM4;-;Reliance Equity Linked Saving Fund - Series I - Growth Plan;32.0820;02-Apr-2018")</f>
        <v>107901;INF204K01OM4;-;Reliance Equity Linked Saving Fund - Series I - Growth Plan;32.0820;02-Apr-2018</v>
      </c>
      <c r="B10439" s="1"/>
    </row>
    <row r="10440">
      <c r="A10440" s="1"/>
      <c r="B10440" s="1"/>
    </row>
    <row r="10441">
      <c r="A10441" s="1" t="str">
        <f>IFERROR(__xludf.DUMMYFUNCTION("""COMPUTED_VALUE"""),"SBI Mutual Fund")</f>
        <v>SBI Mutual Fund</v>
      </c>
      <c r="B10441" s="1"/>
    </row>
    <row r="10442">
      <c r="A10442" s="1"/>
      <c r="B10442" s="1"/>
    </row>
    <row r="10443">
      <c r="A10443" s="1" t="str">
        <f>IFERROR(__xludf.DUMMYFUNCTION("""COMPUTED_VALUE"""),"132933;INF200K018X9;-;SBI LONG TERM ADVANTAGE FUND - SERIES I - DIRECT PLAN - GROWTH;31.1579;25-Aug-2023")</f>
        <v>132933;INF200K018X9;-;SBI LONG TERM ADVANTAGE FUND - SERIES I - DIRECT PLAN - GROWTH;31.1579;25-Aug-2023</v>
      </c>
      <c r="B10443" s="1"/>
    </row>
    <row r="10444">
      <c r="A10444" s="1" t="str">
        <f>IFERROR(__xludf.DUMMYFUNCTION("""COMPUTED_VALUE"""),"132934;INF200K019X7;-;SBI Long Term Advantage Fund - Series I - Direct Plan - Income Distribution cum Capital Withdrawal Option (IDCW);26.2618;25-Aug-2023")</f>
        <v>132934;INF200K019X7;-;SBI Long Term Advantage Fund - Series I - Direct Plan - Income Distribution cum Capital Withdrawal Option (IDCW);26.2618;25-Aug-2023</v>
      </c>
      <c r="B10444" s="1"/>
    </row>
    <row r="10445">
      <c r="A10445" s="1" t="str">
        <f>IFERROR(__xludf.DUMMYFUNCTION("""COMPUTED_VALUE"""),"132924;INF200K016X3;-;SBI LONG TERM ADVANTAGE FUND - SERIES I - REGULAR PLAN - GROWTH;30.1684;25-Aug-2023")</f>
        <v>132924;INF200K016X3;-;SBI LONG TERM ADVANTAGE FUND - SERIES I - REGULAR PLAN - GROWTH;30.1684;25-Aug-2023</v>
      </c>
      <c r="B10445" s="1"/>
    </row>
    <row r="10446">
      <c r="A10446" s="1" t="str">
        <f>IFERROR(__xludf.DUMMYFUNCTION("""COMPUTED_VALUE"""),"132923;INF200K017X1;-;SBI Long Term Advantage Fund - Series I - Regular Plan - Income Distribution cum Capital Withdrawal Option (IDCW);25.4022;25-Aug-2023")</f>
        <v>132923;INF200K017X1;-;SBI Long Term Advantage Fund - Series I - Regular Plan - Income Distribution cum Capital Withdrawal Option (IDCW);25.4022;25-Aug-2023</v>
      </c>
      <c r="B10446" s="1"/>
    </row>
    <row r="10447">
      <c r="A10447" s="1" t="str">
        <f>IFERROR(__xludf.DUMMYFUNCTION("""COMPUTED_VALUE"""),"133364;INF200KA1333;-;SBI LONG TERM ADVANTAGE FUND - SERIES II - DIRECT PLAN - GROWTH;32.5167;25-Aug-2023")</f>
        <v>133364;INF200KA1333;-;SBI LONG TERM ADVANTAGE FUND - SERIES II - DIRECT PLAN - GROWTH;32.5167;25-Aug-2023</v>
      </c>
      <c r="B10447" s="1"/>
    </row>
    <row r="10448">
      <c r="A10448" s="1" t="str">
        <f>IFERROR(__xludf.DUMMYFUNCTION("""COMPUTED_VALUE"""),"133363;INF200KA1341;-;SBI Long Term Advantage Fund - Series II - Direct Plan - Income Distribution cum Capital Withdrawal Option (IDCW);27.5180;25-Aug-2023")</f>
        <v>133363;INF200KA1341;-;SBI Long Term Advantage Fund - Series II - Direct Plan - Income Distribution cum Capital Withdrawal Option (IDCW);27.5180;25-Aug-2023</v>
      </c>
      <c r="B10448" s="1"/>
    </row>
    <row r="10449">
      <c r="A10449" s="1" t="str">
        <f>IFERROR(__xludf.DUMMYFUNCTION("""COMPUTED_VALUE"""),"133361;INF200KA1317;-;SBI LONG TERM ADVANTAGE FUND - SERIES II - REGULAR PLAN - GROWTH;31.4946;25-Aug-2023")</f>
        <v>133361;INF200KA1317;-;SBI LONG TERM ADVANTAGE FUND - SERIES II - REGULAR PLAN - GROWTH;31.4946;25-Aug-2023</v>
      </c>
      <c r="B10449" s="1"/>
    </row>
    <row r="10450">
      <c r="A10450" s="1" t="str">
        <f>IFERROR(__xludf.DUMMYFUNCTION("""COMPUTED_VALUE"""),"133362;INF200KA1325;-;SBI Long Term Advantage Fund - Series II - Regular Plan - Income Distribution cum Capital Withdrawal Option (IDCW);26.6328;25-Aug-2023")</f>
        <v>133362;INF200KA1325;-;SBI Long Term Advantage Fund - Series II - Regular Plan - Income Distribution cum Capital Withdrawal Option (IDCW);26.6328;25-Aug-2023</v>
      </c>
      <c r="B10450" s="1"/>
    </row>
    <row r="10451">
      <c r="A10451" s="1" t="str">
        <f>IFERROR(__xludf.DUMMYFUNCTION("""COMPUTED_VALUE"""),"136007;INF200KA1HN8;-;SBI Long Term Advantage Fund - Series III - Direct Plan - Growth;32.9337;25-Aug-2023")</f>
        <v>136007;INF200KA1HN8;-;SBI Long Term Advantage Fund - Series III - Direct Plan - Growth;32.9337;25-Aug-2023</v>
      </c>
      <c r="B10451" s="1"/>
    </row>
    <row r="10452">
      <c r="A10452" s="1" t="str">
        <f>IFERROR(__xludf.DUMMYFUNCTION("""COMPUTED_VALUE"""),"136006;INF200KA1HO6;-;SBI Long Term Advantage Fund - Series III - Direct Plan - Income Distribution cum Capital Withdrawal Option (IDCW);27.7559;25-Aug-2023")</f>
        <v>136006;INF200KA1HO6;-;SBI Long Term Advantage Fund - Series III - Direct Plan - Income Distribution cum Capital Withdrawal Option (IDCW);27.7559;25-Aug-2023</v>
      </c>
      <c r="B10452" s="1"/>
    </row>
    <row r="10453">
      <c r="A10453" s="1" t="str">
        <f>IFERROR(__xludf.DUMMYFUNCTION("""COMPUTED_VALUE"""),"136004;INF200KA1HL2;-;SBI Long Term Advantage Fund - Series III - Regular Plan - Growth;31.1180;25-Aug-2023")</f>
        <v>136004;INF200KA1HL2;-;SBI Long Term Advantage Fund - Series III - Regular Plan - Growth;31.1180;25-Aug-2023</v>
      </c>
      <c r="B10453" s="1"/>
    </row>
    <row r="10454">
      <c r="A10454" s="1" t="str">
        <f>IFERROR(__xludf.DUMMYFUNCTION("""COMPUTED_VALUE"""),"136005;INF200KA1HM0;-;SBI Long Term Advantage Fund - Series III - Regular Plan - Income Distribution cum Capital Withdrawal Option (IDCW);26.3495;25-Aug-2023")</f>
        <v>136005;INF200KA1HM0;-;SBI Long Term Advantage Fund - Series III - Regular Plan - Income Distribution cum Capital Withdrawal Option (IDCW);26.3495;25-Aug-2023</v>
      </c>
      <c r="B10454" s="1"/>
    </row>
    <row r="10455">
      <c r="A10455" s="1" t="str">
        <f>IFERROR(__xludf.DUMMYFUNCTION("""COMPUTED_VALUE"""),"140487;INF200KA1LS9;-;SBI Long Term Advantage Fund - Series IV - Direct Plan - Growth;37.1044;25-Aug-2023")</f>
        <v>140487;INF200KA1LS9;-;SBI Long Term Advantage Fund - Series IV - Direct Plan - Growth;37.1044;25-Aug-2023</v>
      </c>
      <c r="B10455" s="1"/>
    </row>
    <row r="10456">
      <c r="A10456" s="1" t="str">
        <f>IFERROR(__xludf.DUMMYFUNCTION("""COMPUTED_VALUE"""),"140486;INF200KA1LT7;-;SBI Long Term Advantage Fund - Series IV - Direct Plan - Income Distribution cum Capital Withdrawal Option (IDCW);31.4840;25-Aug-2023")</f>
        <v>140486;INF200KA1LT7;-;SBI Long Term Advantage Fund - Series IV - Direct Plan - Income Distribution cum Capital Withdrawal Option (IDCW);31.4840;25-Aug-2023</v>
      </c>
      <c r="B10456" s="1"/>
    </row>
    <row r="10457">
      <c r="A10457" s="1" t="str">
        <f>IFERROR(__xludf.DUMMYFUNCTION("""COMPUTED_VALUE"""),"140488;INF200KA1LQ3;-;SBI Long Term Advantage Fund - Series IV - Regular Plan - Growth;35.6420;25-Aug-2023")</f>
        <v>140488;INF200KA1LQ3;-;SBI Long Term Advantage Fund - Series IV - Regular Plan - Growth;35.6420;25-Aug-2023</v>
      </c>
      <c r="B10457" s="1"/>
    </row>
    <row r="10458">
      <c r="A10458" s="1" t="str">
        <f>IFERROR(__xludf.DUMMYFUNCTION("""COMPUTED_VALUE"""),"140489;INF200KA1LR1;-;SBI Long Term Advantage Fund - Series IV - Regular Plan - Income Distribution cum Capital Withdrawal Option (IDCW);30.1958;25-Aug-2023")</f>
        <v>140489;INF200KA1LR1;-;SBI Long Term Advantage Fund - Series IV - Regular Plan - Income Distribution cum Capital Withdrawal Option (IDCW);30.1958;25-Aug-2023</v>
      </c>
      <c r="B10458" s="1"/>
    </row>
    <row r="10459">
      <c r="A10459" s="1" t="str">
        <f>IFERROR(__xludf.DUMMYFUNCTION("""COMPUTED_VALUE"""),"142138;INF200KA1RW8;-;SBI Long Term Advantage Fund - Series V - Direct Plan - Growth;18.7208;25-Aug-2023")</f>
        <v>142138;INF200KA1RW8;-;SBI Long Term Advantage Fund - Series V - Direct Plan - Growth;18.7208;25-Aug-2023</v>
      </c>
      <c r="B10459" s="1"/>
    </row>
    <row r="10460">
      <c r="A10460" s="1" t="str">
        <f>IFERROR(__xludf.DUMMYFUNCTION("""COMPUTED_VALUE"""),"142140;INF200KA1RX6;-;SBI Long Term Advantage Fund - Series V - Direct Plan - Income Distribution cum Capital Withdrawal Option (IDCW);18.7215;25-Aug-2023")</f>
        <v>142140;INF200KA1RX6;-;SBI Long Term Advantage Fund - Series V - Direct Plan - Income Distribution cum Capital Withdrawal Option (IDCW);18.7215;25-Aug-2023</v>
      </c>
      <c r="B10460" s="1"/>
    </row>
    <row r="10461">
      <c r="A10461" s="1" t="str">
        <f>IFERROR(__xludf.DUMMYFUNCTION("""COMPUTED_VALUE"""),"142137;INF200KA1RV0;-;SBI Long Term Advantage Fund - Series V - Regular Plan - Income Distribution cum Capital Withdrawal Option (IDCW);18.1309;25-Aug-2023")</f>
        <v>142137;INF200KA1RV0;-;SBI Long Term Advantage Fund - Series V - Regular Plan - Income Distribution cum Capital Withdrawal Option (IDCW);18.1309;25-Aug-2023</v>
      </c>
      <c r="B10461" s="1"/>
    </row>
    <row r="10462">
      <c r="A10462" s="1" t="str">
        <f>IFERROR(__xludf.DUMMYFUNCTION("""COMPUTED_VALUE"""),"142139;INF200KA1RU2;-;SBI Long Term Advantage Fund Series V - Regular Plan - Growth;18.1390;25-Aug-2023")</f>
        <v>142139;INF200KA1RU2;-;SBI Long Term Advantage Fund Series V - Regular Plan - Growth;18.1390;25-Aug-2023</v>
      </c>
      <c r="B10462" s="1"/>
    </row>
    <row r="10463">
      <c r="A10463" s="1" t="str">
        <f>IFERROR(__xludf.DUMMYFUNCTION("""COMPUTED_VALUE"""),"143178;INF200KA1TO1;-;SBI Long Term Advantage Fund - Series VI - Direct Plan - Growth;23.4120;25-Aug-2023")</f>
        <v>143178;INF200KA1TO1;-;SBI Long Term Advantage Fund - Series VI - Direct Plan - Growth;23.4120;25-Aug-2023</v>
      </c>
      <c r="B10463" s="1"/>
    </row>
    <row r="10464">
      <c r="A10464" s="1" t="str">
        <f>IFERROR(__xludf.DUMMYFUNCTION("""COMPUTED_VALUE"""),"143179;INF200KA1TP8;-;SBI Long Term Advantage Fund - Series VI - Direct Plan - Income Distribution cum Capital Withdrawal Option (IDCW);23.3922;25-Aug-2023")</f>
        <v>143179;INF200KA1TP8;-;SBI Long Term Advantage Fund - Series VI - Direct Plan - Income Distribution cum Capital Withdrawal Option (IDCW);23.3922;25-Aug-2023</v>
      </c>
      <c r="B10464" s="1"/>
    </row>
    <row r="10465">
      <c r="A10465" s="1" t="str">
        <f>IFERROR(__xludf.DUMMYFUNCTION("""COMPUTED_VALUE"""),"143176;INF200KA1TM5;-;SBI Long Term Advantage Fund - Series VI - Regular Plan - Growth;22.6918;25-Aug-2023")</f>
        <v>143176;INF200KA1TM5;-;SBI Long Term Advantage Fund - Series VI - Regular Plan - Growth;22.6918;25-Aug-2023</v>
      </c>
      <c r="B10465" s="1"/>
    </row>
    <row r="10466">
      <c r="A10466" s="1" t="str">
        <f>IFERROR(__xludf.DUMMYFUNCTION("""COMPUTED_VALUE"""),"143177;INF200KA1TN3;-;SBI Long Term Advantage Fund - Series VI - Regular Plan - Income Distribution cum Capital Withdrawal Option (IDCW);22.6966;25-Aug-2023")</f>
        <v>143177;INF200KA1TN3;-;SBI Long Term Advantage Fund - Series VI - Regular Plan - Income Distribution cum Capital Withdrawal Option (IDCW);22.6966;25-Aug-2023</v>
      </c>
      <c r="B10466" s="1"/>
    </row>
    <row r="10467">
      <c r="A10467" s="1" t="str">
        <f>IFERROR(__xludf.DUMMYFUNCTION("""COMPUTED_VALUE"""),"116352;INF200K01JF6;-;SBI TAX ADVANTAGE FUND - SERIES II - GROWTH;79.8534;28-Mar-2022")</f>
        <v>116352;INF200K01JF6;-;SBI TAX ADVANTAGE FUND - SERIES II - GROWTH;79.8534;28-Mar-2022</v>
      </c>
      <c r="B10467" s="1"/>
    </row>
    <row r="10468">
      <c r="A10468" s="1" t="str">
        <f>IFERROR(__xludf.DUMMYFUNCTION("""COMPUTED_VALUE"""),"116353;INF200K01JG4;-;SBI Tax Advantage Fund-Series- II - Income Distribution cum Capital Withdrawal Option (IDCW);58.7332;28-Mar-2022")</f>
        <v>116353;INF200K01JG4;-;SBI Tax Advantage Fund-Series- II - Income Distribution cum Capital Withdrawal Option (IDCW);58.7332;28-Mar-2022</v>
      </c>
      <c r="B10468" s="1"/>
    </row>
    <row r="10469">
      <c r="A10469" s="1" t="str">
        <f>IFERROR(__xludf.DUMMYFUNCTION("""COMPUTED_VALUE"""),"126279;INF200K01X06;-;SBI Tax Advantage Fund - Series III - Direct Plan - Growth Option;72.1329;25-Aug-2023")</f>
        <v>126279;INF200K01X06;-;SBI Tax Advantage Fund - Series III - Direct Plan - Growth Option;72.1329;25-Aug-2023</v>
      </c>
      <c r="B10469" s="1"/>
    </row>
    <row r="10470">
      <c r="A10470" s="1" t="str">
        <f>IFERROR(__xludf.DUMMYFUNCTION("""COMPUTED_VALUE"""),"126379;INF200K01W80;-;SBI Tax Advantage Fund - Series III - Regular Plan - Growth;69.4340;25-Aug-2023")</f>
        <v>126379;INF200K01W80;-;SBI Tax Advantage Fund - Series III - Regular Plan - Growth;69.4340;25-Aug-2023</v>
      </c>
      <c r="B10470" s="1"/>
    </row>
    <row r="10471">
      <c r="A10471" s="1" t="str">
        <f>IFERROR(__xludf.DUMMYFUNCTION("""COMPUTED_VALUE"""),"126278;INF200K01X14;-;SBI Tax Advantage Fund-Series- III - Direct Plan - Income Distribution cum Capital Withdrawal Option (IDCW);57.4474;25-Aug-2023")</f>
        <v>126278;INF200K01X14;-;SBI Tax Advantage Fund-Series- III - Direct Plan - Income Distribution cum Capital Withdrawal Option (IDCW);57.4474;25-Aug-2023</v>
      </c>
      <c r="B10471" s="1"/>
    </row>
    <row r="10472">
      <c r="A10472" s="1" t="str">
        <f>IFERROR(__xludf.DUMMYFUNCTION("""COMPUTED_VALUE"""),"126378;INF200K01W98;-;SBI Tax Advantage Fund-Series- III - Regular Plan - Income Distribution cum Capital Withdrawal Option (IDCW);55.2486;25-Aug-2023")</f>
        <v>126378;INF200K01W98;-;SBI Tax Advantage Fund-Series- III - Regular Plan - Income Distribution cum Capital Withdrawal Option (IDCW);55.2486;25-Aug-2023</v>
      </c>
      <c r="B10472" s="1"/>
    </row>
    <row r="10473">
      <c r="A10473" s="1"/>
      <c r="B10473" s="1"/>
    </row>
    <row r="10474">
      <c r="A10474" s="1" t="str">
        <f>IFERROR(__xludf.DUMMYFUNCTION("""COMPUTED_VALUE"""),"Sundaram Mutual Fund")</f>
        <v>Sundaram Mutual Fund</v>
      </c>
      <c r="B10474" s="1"/>
    </row>
    <row r="10475">
      <c r="A10475" s="1"/>
      <c r="B10475" s="1"/>
    </row>
    <row r="10476">
      <c r="A10476" s="1" t="str">
        <f>IFERROR(__xludf.DUMMYFUNCTION("""COMPUTED_VALUE"""),"139711;INF903JA1443;-;Sundaram Long Term Micro Cap Tax Advantage Fund Series III Direct Plan - Growth;25.3249;25-Aug-2023")</f>
        <v>139711;INF903JA1443;-;Sundaram Long Term Micro Cap Tax Advantage Fund Series III Direct Plan - Growth;25.3249;25-Aug-2023</v>
      </c>
      <c r="B10476" s="1"/>
    </row>
    <row r="10477">
      <c r="A10477" s="1" t="str">
        <f>IFERROR(__xludf.DUMMYFUNCTION("""COMPUTED_VALUE"""),"139710;INF903JA1450;-;Sundaram Long Term Micro Cap Tax Advantage Fund Series III Direct Plan - Payout of Income Distribution cum Capital Withdrawal (IDCW);23.3260;25-Aug-2023")</f>
        <v>139710;INF903JA1450;-;Sundaram Long Term Micro Cap Tax Advantage Fund Series III Direct Plan - Payout of Income Distribution cum Capital Withdrawal (IDCW);23.3260;25-Aug-2023</v>
      </c>
      <c r="B10477" s="1"/>
    </row>
    <row r="10478">
      <c r="A10478" s="1" t="str">
        <f>IFERROR(__xludf.DUMMYFUNCTION("""COMPUTED_VALUE"""),"139709;INF903JA1427;-;Sundaram Long Term Micro Cap Tax Advantage Fund Series III Regular Plan - Growth;24.6781;25-Aug-2023")</f>
        <v>139709;INF903JA1427;-;Sundaram Long Term Micro Cap Tax Advantage Fund Series III Regular Plan - Growth;24.6781;25-Aug-2023</v>
      </c>
      <c r="B10478" s="1"/>
    </row>
    <row r="10479">
      <c r="A10479" s="1" t="str">
        <f>IFERROR(__xludf.DUMMYFUNCTION("""COMPUTED_VALUE"""),"139712;INF903JA1435;-;Sundaram Long Term Micro Cap Tax Advantage Fund Series III Regular Plan - Payout of Income Distribution cum Capital Withdrawal (IDCW);22.7091;25-Aug-2023")</f>
        <v>139712;INF903JA1435;-;Sundaram Long Term Micro Cap Tax Advantage Fund Series III Regular Plan - Payout of Income Distribution cum Capital Withdrawal (IDCW);22.7091;25-Aug-2023</v>
      </c>
      <c r="B10479" s="1"/>
    </row>
    <row r="10480">
      <c r="A10480" s="1" t="str">
        <f>IFERROR(__xludf.DUMMYFUNCTION("""COMPUTED_VALUE"""),"139990;INF903JA1526;-;Sundaram Long Term Micro Cap Tax Advantage Fund Series IV Direct Plan - Growth;21.8372;25-Aug-2023")</f>
        <v>139990;INF903JA1526;-;Sundaram Long Term Micro Cap Tax Advantage Fund Series IV Direct Plan - Growth;21.8372;25-Aug-2023</v>
      </c>
      <c r="B10480" s="1"/>
    </row>
    <row r="10481">
      <c r="A10481" s="1" t="str">
        <f>IFERROR(__xludf.DUMMYFUNCTION("""COMPUTED_VALUE"""),"139989;INF903JA1534;-;Sundaram Long Term Micro Cap Tax Advantage Fund Series IV Direct Plan - Payout of Income Distribution cum Capital Withdrawal (IDCW);21.8372;25-Aug-2023")</f>
        <v>139989;INF903JA1534;-;Sundaram Long Term Micro Cap Tax Advantage Fund Series IV Direct Plan - Payout of Income Distribution cum Capital Withdrawal (IDCW);21.8372;25-Aug-2023</v>
      </c>
      <c r="B10481" s="1"/>
    </row>
    <row r="10482">
      <c r="A10482" s="1" t="str">
        <f>IFERROR(__xludf.DUMMYFUNCTION("""COMPUTED_VALUE"""),"139992;INF903JA1500;-;Sundaram Long Term Micro Cap Tax Advantage Fund Series IV Regular Plan - Growth;21.4024;25-Aug-2023")</f>
        <v>139992;INF903JA1500;-;Sundaram Long Term Micro Cap Tax Advantage Fund Series IV Regular Plan - Growth;21.4024;25-Aug-2023</v>
      </c>
      <c r="B10482" s="1"/>
    </row>
    <row r="10483">
      <c r="A10483" s="1" t="str">
        <f>IFERROR(__xludf.DUMMYFUNCTION("""COMPUTED_VALUE"""),"139991;INF903JA1518;-;Sundaram Long Term Micro Cap Tax Advantage Fund Series IV Regular Plan - Payout of Income Distribution cum Capital Withdrawal (IDCW);21.4021;25-Aug-2023")</f>
        <v>139991;INF903JA1518;-;Sundaram Long Term Micro Cap Tax Advantage Fund Series IV Regular Plan - Payout of Income Distribution cum Capital Withdrawal (IDCW);21.4021;25-Aug-2023</v>
      </c>
      <c r="B10483" s="1"/>
    </row>
    <row r="10484">
      <c r="A10484" s="1" t="str">
        <f>IFERROR(__xludf.DUMMYFUNCTION("""COMPUTED_VALUE"""),"141564;INF903JA1AZ0;-;Sundaram Long Term Micro Cap Tax Advantage Fund Series VI Direct Plan - Growth;20.5897;25-Aug-2023")</f>
        <v>141564;INF903JA1AZ0;-;Sundaram Long Term Micro Cap Tax Advantage Fund Series VI Direct Plan - Growth;20.5897;25-Aug-2023</v>
      </c>
      <c r="B10484" s="1"/>
    </row>
    <row r="10485">
      <c r="A10485" s="1" t="str">
        <f>IFERROR(__xludf.DUMMYFUNCTION("""COMPUTED_VALUE"""),"141567;INF903JA1BA1;-;Sundaram Long Term Micro Cap Tax Advantage Fund Series VI Direct Plan - Payout of Income Distribution cum Capital Withdrawal (IDCW);20.5897;25-Aug-2023")</f>
        <v>141567;INF903JA1BA1;-;Sundaram Long Term Micro Cap Tax Advantage Fund Series VI Direct Plan - Payout of Income Distribution cum Capital Withdrawal (IDCW);20.5897;25-Aug-2023</v>
      </c>
      <c r="B10485" s="1"/>
    </row>
    <row r="10486">
      <c r="A10486" s="1" t="str">
        <f>IFERROR(__xludf.DUMMYFUNCTION("""COMPUTED_VALUE"""),"141565;INF903JA1AX5;-;Sundaram Long Term Micro Cap Tax Advantage Fund Series VI Regular Plan - Growth;19.7330;25-Aug-2023")</f>
        <v>141565;INF903JA1AX5;-;Sundaram Long Term Micro Cap Tax Advantage Fund Series VI Regular Plan - Growth;19.7330;25-Aug-2023</v>
      </c>
      <c r="B10486" s="1"/>
    </row>
    <row r="10487">
      <c r="A10487" s="1" t="str">
        <f>IFERROR(__xludf.DUMMYFUNCTION("""COMPUTED_VALUE"""),"141566;INF903JA1AY3;-;Sundaram Long Term Micro Cap Tax Advantage Fund Series VI Regular Plan - Payout of Income Distribution cum Capital Withdrawal (IDCW);19.7330;25-Aug-2023")</f>
        <v>141566;INF903JA1AY3;-;Sundaram Long Term Micro Cap Tax Advantage Fund Series VI Regular Plan - Payout of Income Distribution cum Capital Withdrawal (IDCW);19.7330;25-Aug-2023</v>
      </c>
      <c r="B10487" s="1"/>
    </row>
    <row r="10488">
      <c r="A10488" s="1" t="str">
        <f>IFERROR(__xludf.DUMMYFUNCTION("""COMPUTED_VALUE"""),"141141;INF903JA1955;-;Sundaram Long Term Micro Cap Tax Advantage Fund Series V Direct Plan - Growth;21.1014;25-Aug-2023")</f>
        <v>141141;INF903JA1955;-;Sundaram Long Term Micro Cap Tax Advantage Fund Series V Direct Plan - Growth;21.1014;25-Aug-2023</v>
      </c>
      <c r="B10488" s="1"/>
    </row>
    <row r="10489">
      <c r="A10489" s="1" t="str">
        <f>IFERROR(__xludf.DUMMYFUNCTION("""COMPUTED_VALUE"""),"141142;INF903JA1963;-;Sundaram Long Term Micro Cap Tax Advantage Fund Series V Direct Plan - Payout of Income Distribution cum Capital Withdrawal (IDCW);21.1014;25-Aug-2023")</f>
        <v>141142;INF903JA1963;-;Sundaram Long Term Micro Cap Tax Advantage Fund Series V Direct Plan - Payout of Income Distribution cum Capital Withdrawal (IDCW);21.1014;25-Aug-2023</v>
      </c>
      <c r="B10489" s="1"/>
    </row>
    <row r="10490">
      <c r="A10490" s="1" t="str">
        <f>IFERROR(__xludf.DUMMYFUNCTION("""COMPUTED_VALUE"""),"141139;INF903JA1930;-;Sundaram Long Term Micro Cap Tax Advantage Fund Series V Regular Plan - Growth;20.6031;25-Aug-2023")</f>
        <v>141139;INF903JA1930;-;Sundaram Long Term Micro Cap Tax Advantage Fund Series V Regular Plan - Growth;20.6031;25-Aug-2023</v>
      </c>
      <c r="B10490" s="1"/>
    </row>
    <row r="10491">
      <c r="A10491" s="1" t="str">
        <f>IFERROR(__xludf.DUMMYFUNCTION("""COMPUTED_VALUE"""),"141140;INF903JA1948;-;Sundaram Long Term Micro Cap Tax Advantage Fund Series V Regular Plan - Payout of Income Distribution cum Capital Withdrawal (IDCW);20.6031;25-Aug-2023")</f>
        <v>141140;INF903JA1948;-;Sundaram Long Term Micro Cap Tax Advantage Fund Series V Regular Plan - Payout of Income Distribution cum Capital Withdrawal (IDCW);20.6031;25-Aug-2023</v>
      </c>
      <c r="B10491" s="1"/>
    </row>
    <row r="10492">
      <c r="A10492" s="1" t="str">
        <f>IFERROR(__xludf.DUMMYFUNCTION("""COMPUTED_VALUE"""),"133324;INF903J014A9;-;Sundaram Long Term Tax Advantage Fund Series I Direct Plan - Growth;25.5235;25-Aug-2023")</f>
        <v>133324;INF903J014A9;-;Sundaram Long Term Tax Advantage Fund Series I Direct Plan - Growth;25.5235;25-Aug-2023</v>
      </c>
      <c r="B10492" s="1"/>
    </row>
    <row r="10493">
      <c r="A10493" s="1" t="str">
        <f>IFERROR(__xludf.DUMMYFUNCTION("""COMPUTED_VALUE"""),"133325;INF903J015A6;-;Sundaram Long Term Tax Advantage Fund Series I Direct Plan - Payout of Income Distribution cum Capital Withdrawal (IDCW);21.2621;25-Aug-2023")</f>
        <v>133325;INF903J015A6;-;Sundaram Long Term Tax Advantage Fund Series I Direct Plan - Payout of Income Distribution cum Capital Withdrawal (IDCW);21.2621;25-Aug-2023</v>
      </c>
      <c r="B10493" s="1"/>
    </row>
    <row r="10494">
      <c r="A10494" s="1" t="str">
        <f>IFERROR(__xludf.DUMMYFUNCTION("""COMPUTED_VALUE"""),"133322;INF903J012A3;-;Sundaram Long Term Tax Advantage Fund Series I Regular Plan - Growth;24.9434;25-Aug-2023")</f>
        <v>133322;INF903J012A3;-;Sundaram Long Term Tax Advantage Fund Series I Regular Plan - Growth;24.9434;25-Aug-2023</v>
      </c>
      <c r="B10494" s="1"/>
    </row>
    <row r="10495">
      <c r="A10495" s="1" t="str">
        <f>IFERROR(__xludf.DUMMYFUNCTION("""COMPUTED_VALUE"""),"133323;INF903J013A1;-;Sundaram Long Term Tax Advantage Fund Series I Regular Plan - Payout of Income Distribution cum Capital Withdrawal (IDCW);20.7079;25-Aug-2023")</f>
        <v>133323;INF903J013A1;-;Sundaram Long Term Tax Advantage Fund Series I Regular Plan - Payout of Income Distribution cum Capital Withdrawal (IDCW);20.7079;25-Aug-2023</v>
      </c>
      <c r="B10495" s="1"/>
    </row>
    <row r="10496">
      <c r="A10496" s="1" t="str">
        <f>IFERROR(__xludf.DUMMYFUNCTION("""COMPUTED_VALUE"""),"142153;INF903JA1BT1;-;Sundaram Long Term Tax Advantage Fund Series III Direct Plan - Growth;21.6035;25-Aug-2023")</f>
        <v>142153;INF903JA1BT1;-;Sundaram Long Term Tax Advantage Fund Series III Direct Plan - Growth;21.6035;25-Aug-2023</v>
      </c>
      <c r="B10496" s="1"/>
    </row>
    <row r="10497">
      <c r="A10497" s="1" t="str">
        <f>IFERROR(__xludf.DUMMYFUNCTION("""COMPUTED_VALUE"""),"142154;INF903JA1BU9;-;Sundaram Long Term Tax Advantage Fund Series III Direct Plan - Payout of Income Distribution cum Capital Withdrawal (IDCW);21.6035;25-Aug-2023")</f>
        <v>142154;INF903JA1BU9;-;Sundaram Long Term Tax Advantage Fund Series III Direct Plan - Payout of Income Distribution cum Capital Withdrawal (IDCW);21.6035;25-Aug-2023</v>
      </c>
      <c r="B10497" s="1"/>
    </row>
    <row r="10498">
      <c r="A10498" s="1" t="str">
        <f>IFERROR(__xludf.DUMMYFUNCTION("""COMPUTED_VALUE"""),"142151;INF903JA1BR5;-;Sundaram Long Term Tax Advantage Fund Series III Regular Plan - Growth;21.0202;25-Aug-2023")</f>
        <v>142151;INF903JA1BR5;-;Sundaram Long Term Tax Advantage Fund Series III Regular Plan - Growth;21.0202;25-Aug-2023</v>
      </c>
      <c r="B10498" s="1"/>
    </row>
    <row r="10499">
      <c r="A10499" s="1" t="str">
        <f>IFERROR(__xludf.DUMMYFUNCTION("""COMPUTED_VALUE"""),"142152;INF903JA1BS3;-;Sundaram Long Term Tax Advantage Fund Series III Regular Plan - Payout of Income Distribution cum Capital Withdrawal (IDCW);21.0203;25-Aug-2023")</f>
        <v>142152;INF903JA1BS3;-;Sundaram Long Term Tax Advantage Fund Series III Regular Plan - Payout of Income Distribution cum Capital Withdrawal (IDCW);21.0203;25-Aug-2023</v>
      </c>
      <c r="B10499" s="1"/>
    </row>
    <row r="10500">
      <c r="A10500" s="1" t="str">
        <f>IFERROR(__xludf.DUMMYFUNCTION("""COMPUTED_VALUE"""),"143079;INF903JA1CZ6;-;Sundaram Long Term Tax Advantage Fund Series IV Direct Plan - Growth;24.7362;25-Aug-2023")</f>
        <v>143079;INF903JA1CZ6;-;Sundaram Long Term Tax Advantage Fund Series IV Direct Plan - Growth;24.7362;25-Aug-2023</v>
      </c>
      <c r="B10500" s="1"/>
    </row>
    <row r="10501">
      <c r="A10501" s="1" t="str">
        <f>IFERROR(__xludf.DUMMYFUNCTION("""COMPUTED_VALUE"""),"143080;INF903JA1DA7;-;Sundaram Long Term Tax Advantage Fund Series IV Direct Plan - Payout of Income Distribution cum Capital Withdrawal (IDCW);23.8866;25-Aug-2023")</f>
        <v>143080;INF903JA1DA7;-;Sundaram Long Term Tax Advantage Fund Series IV Direct Plan - Payout of Income Distribution cum Capital Withdrawal (IDCW);23.8866;25-Aug-2023</v>
      </c>
      <c r="B10501" s="1"/>
    </row>
    <row r="10502">
      <c r="A10502" s="1" t="str">
        <f>IFERROR(__xludf.DUMMYFUNCTION("""COMPUTED_VALUE"""),"143077;INF903JA1CX1;-;Sundaram Long Term Tax Advantage Fund Series IV Regular Plan - Growth;24.3535;25-Aug-2023")</f>
        <v>143077;INF903JA1CX1;-;Sundaram Long Term Tax Advantage Fund Series IV Regular Plan - Growth;24.3535;25-Aug-2023</v>
      </c>
      <c r="B10502" s="1"/>
    </row>
    <row r="10503">
      <c r="A10503" s="1" t="str">
        <f>IFERROR(__xludf.DUMMYFUNCTION("""COMPUTED_VALUE"""),"143078;INF903JA1CY9;-;Sundaram Long Term Tax Advantage Fund Series IV Regular Plan - Payout of Income Distribution cum Capital Withdrawal (IDCW);23.5085;25-Aug-2023")</f>
        <v>143078;INF903JA1CY9;-;Sundaram Long Term Tax Advantage Fund Series IV Regular Plan - Payout of Income Distribution cum Capital Withdrawal (IDCW);23.5085;25-Aug-2023</v>
      </c>
      <c r="B10503" s="1"/>
    </row>
    <row r="10504">
      <c r="A10504" s="1" t="str">
        <f>IFERROR(__xludf.DUMMYFUNCTION("""COMPUTED_VALUE"""),"135682;INF903J011W9;-;Sundaram Long Term Tax Advantage Fund Series II Direct Plan - Growth;27.6666;25-Aug-2023")</f>
        <v>135682;INF903J011W9;-;Sundaram Long Term Tax Advantage Fund Series II Direct Plan - Growth;27.6666;25-Aug-2023</v>
      </c>
      <c r="B10504" s="1"/>
    </row>
    <row r="10505">
      <c r="A10505" s="1" t="str">
        <f>IFERROR(__xludf.DUMMYFUNCTION("""COMPUTED_VALUE"""),"135681;INF903J012W7;-;Sundaram Long Term Tax Advantage Fund Series II Direct Plan - Payout of Income Distribution cum Capital Withdrawal (IDCW);22.4165;25-Aug-2023")</f>
        <v>135681;INF903J012W7;-;Sundaram Long Term Tax Advantage Fund Series II Direct Plan - Payout of Income Distribution cum Capital Withdrawal (IDCW);22.4165;25-Aug-2023</v>
      </c>
      <c r="B10505" s="1"/>
    </row>
    <row r="10506">
      <c r="A10506" s="1" t="str">
        <f>IFERROR(__xludf.DUMMYFUNCTION("""COMPUTED_VALUE"""),"135684;INF903J019V4;-;Sundaram Long Term Tax Advantage Fund Series II Regular Plan - Growth;26.9436;25-Aug-2023")</f>
        <v>135684;INF903J019V4;-;Sundaram Long Term Tax Advantage Fund Series II Regular Plan - Growth;26.9436;25-Aug-2023</v>
      </c>
      <c r="B10506" s="1"/>
    </row>
    <row r="10507">
      <c r="A10507" s="1" t="str">
        <f>IFERROR(__xludf.DUMMYFUNCTION("""COMPUTED_VALUE"""),"135683;INF903J010W1;-;Sundaram Long Term Tax Advantage Fund Series II Regular Plan - Payout of Income Distribution cum Capital Withdrawal (IDCW);21.7469;25-Aug-2023")</f>
        <v>135683;INF903J010W1;-;Sundaram Long Term Tax Advantage Fund Series II Regular Plan - Payout of Income Distribution cum Capital Withdrawal (IDCW);21.7469;25-Aug-2023</v>
      </c>
      <c r="B10507" s="1"/>
    </row>
    <row r="10508">
      <c r="A10508" s="1"/>
      <c r="B10508" s="1"/>
    </row>
    <row r="10509">
      <c r="A10509" s="1" t="str">
        <f>IFERROR(__xludf.DUMMYFUNCTION("""COMPUTED_VALUE"""),"UTI Mutual Fund")</f>
        <v>UTI Mutual Fund</v>
      </c>
      <c r="B10509" s="1"/>
    </row>
    <row r="10510">
      <c r="A10510" s="1"/>
      <c r="B10510" s="1"/>
    </row>
    <row r="10511">
      <c r="A10511" s="1" t="str">
        <f>IFERROR(__xludf.DUMMYFUNCTION("""COMPUTED_VALUE"""),"135962;INF789FB19N1;-;UTI Long Term Advantage Fund Series III - Direct Plan - Growth Option;23.2926;24-Sep-2021")</f>
        <v>135962;INF789FB19N1;-;UTI Long Term Advantage Fund Series III - Direct Plan - Growth Option;23.2926;24-Sep-2021</v>
      </c>
      <c r="B10511" s="1"/>
    </row>
    <row r="10512">
      <c r="A10512" s="1" t="str">
        <f>IFERROR(__xludf.DUMMYFUNCTION("""COMPUTED_VALUE"""),"135965;INF789FB18N3;-;UTI Long Term Advantage Fund Series III - Direct Plan - IDCW;21.1683;24-Sep-2021")</f>
        <v>135965;INF789FB18N3;-;UTI Long Term Advantage Fund Series III - Direct Plan - IDCW;21.1683;24-Sep-2021</v>
      </c>
      <c r="B10512" s="1"/>
    </row>
    <row r="10513">
      <c r="A10513" s="1" t="str">
        <f>IFERROR(__xludf.DUMMYFUNCTION("""COMPUTED_VALUE"""),"135964;INF789FB17N5;-;UTI Long Term Advantage Fund Series III - Regular Plan - Growth Option;22.0771;24-Sep-2021")</f>
        <v>135964;INF789FB17N5;-;UTI Long Term Advantage Fund Series III - Regular Plan - Growth Option;22.0771;24-Sep-2021</v>
      </c>
      <c r="B10513" s="1"/>
    </row>
    <row r="10514">
      <c r="A10514" s="1" t="str">
        <f>IFERROR(__xludf.DUMMYFUNCTION("""COMPUTED_VALUE"""),"135963;INF789FB16N7;-;UTI Long Term Advantage Fund Series III - Regular Plan - IDCW;19.9881;24-Sep-2021")</f>
        <v>135963;INF789FB16N7;-;UTI Long Term Advantage Fund Series III - Regular Plan - IDCW;19.9881;24-Sep-2021</v>
      </c>
      <c r="B10514" s="1"/>
    </row>
    <row r="10515">
      <c r="A10515" s="1" t="str">
        <f>IFERROR(__xludf.DUMMYFUNCTION("""COMPUTED_VALUE"""),"140046;INF789FC1FE5;-;UTI Long Term Advantage Fund Series IV - Direct Plan - Growth Option;16.4953;24-Sep-2021")</f>
        <v>140046;INF789FC1FE5;-;UTI Long Term Advantage Fund Series IV - Direct Plan - Growth Option;16.4953;24-Sep-2021</v>
      </c>
      <c r="B10515" s="1"/>
    </row>
    <row r="10516">
      <c r="A10516" s="1" t="str">
        <f>IFERROR(__xludf.DUMMYFUNCTION("""COMPUTED_VALUE"""),"140044;INF789FC1FD7;-;UTI Long Term Advantage Fund Series IV - Direct Plan - IDCW;16.4953;24-Sep-2021")</f>
        <v>140044;INF789FC1FD7;-;UTI Long Term Advantage Fund Series IV - Direct Plan - IDCW;16.4953;24-Sep-2021</v>
      </c>
      <c r="B10516" s="1"/>
    </row>
    <row r="10517">
      <c r="A10517" s="1" t="str">
        <f>IFERROR(__xludf.DUMMYFUNCTION("""COMPUTED_VALUE"""),"140045;INF789FC1FC9;-;UTI Long Term Advantage Fund Series IV - Regular Plan - Growth Option;15.7183;24-Sep-2021")</f>
        <v>140045;INF789FC1FC9;-;UTI Long Term Advantage Fund Series IV - Regular Plan - Growth Option;15.7183;24-Sep-2021</v>
      </c>
      <c r="B10517" s="1"/>
    </row>
    <row r="10518">
      <c r="A10518" s="1" t="str">
        <f>IFERROR(__xludf.DUMMYFUNCTION("""COMPUTED_VALUE"""),"140043;INF789FC1FB1;-;UTI Long Term Advantage Fund Series IV - Regular Plan - IDCW;15.7183;24-Sep-2021")</f>
        <v>140043;INF789FC1FB1;-;UTI Long Term Advantage Fund Series IV - Regular Plan - IDCW;15.7183;24-Sep-2021</v>
      </c>
      <c r="B10518" s="1"/>
    </row>
    <row r="10519">
      <c r="A10519" s="1" t="str">
        <f>IFERROR(__xludf.DUMMYFUNCTION("""COMPUTED_VALUE"""),"140454;INF789FC1HT9;-;UTI Long Term Advantage Fund Series V - Direct Plan - Growth Option;15.4735;24-Sep-2021")</f>
        <v>140454;INF789FC1HT9;-;UTI Long Term Advantage Fund Series V - Direct Plan - Growth Option;15.4735;24-Sep-2021</v>
      </c>
      <c r="B10519" s="1"/>
    </row>
    <row r="10520">
      <c r="A10520" s="1" t="str">
        <f>IFERROR(__xludf.DUMMYFUNCTION("""COMPUTED_VALUE"""),"140457;INF789FC1HS1;-;UTI Long Term Advantage Fund Series V - Direct Plan - IDCW;15.4735;24-Sep-2021")</f>
        <v>140457;INF789FC1HS1;-;UTI Long Term Advantage Fund Series V - Direct Plan - IDCW;15.4735;24-Sep-2021</v>
      </c>
      <c r="B10520" s="1"/>
    </row>
    <row r="10521">
      <c r="A10521" s="1" t="str">
        <f>IFERROR(__xludf.DUMMYFUNCTION("""COMPUTED_VALUE"""),"140455;INF789FC1HR3;-;UTI Long Term Advantage Fund Series V - Regular Plan - Growth Option;14.7433;24-Sep-2021")</f>
        <v>140455;INF789FC1HR3;-;UTI Long Term Advantage Fund Series V - Regular Plan - Growth Option;14.7433;24-Sep-2021</v>
      </c>
      <c r="B10521" s="1"/>
    </row>
    <row r="10522">
      <c r="A10522" s="1" t="str">
        <f>IFERROR(__xludf.DUMMYFUNCTION("""COMPUTED_VALUE"""),"140456;INF789FC1HQ5;-;UTI Long Term Advantage Fund Series V - Regular Plan - IDCW;14.7433;24-Sep-2021")</f>
        <v>140456;INF789FC1HQ5;-;UTI Long Term Advantage Fund Series V - Regular Plan - IDCW;14.7433;24-Sep-2021</v>
      </c>
      <c r="B10522" s="1"/>
    </row>
    <row r="10523">
      <c r="A10523" s="1" t="str">
        <f>IFERROR(__xludf.DUMMYFUNCTION("""COMPUTED_VALUE"""),"141892;INF789FC1V82;-;UTI Long Term Advantage Fund Series VI - Direct Plan - Growth Option;12.7086;24-Sep-2021")</f>
        <v>141892;INF789FC1V82;-;UTI Long Term Advantage Fund Series VI - Direct Plan - Growth Option;12.7086;24-Sep-2021</v>
      </c>
      <c r="B10523" s="1"/>
    </row>
    <row r="10524">
      <c r="A10524" s="1" t="str">
        <f>IFERROR(__xludf.DUMMYFUNCTION("""COMPUTED_VALUE"""),"141894;INF789FC1V74;-;UTI Long Term Advantage Fund Series VI - Direct Plan - IDCW;12.708;24-Sep-2021")</f>
        <v>141894;INF789FC1V74;-;UTI Long Term Advantage Fund Series VI - Direct Plan - IDCW;12.708;24-Sep-2021</v>
      </c>
      <c r="B10524" s="1"/>
    </row>
    <row r="10525">
      <c r="A10525" s="1" t="str">
        <f>IFERROR(__xludf.DUMMYFUNCTION("""COMPUTED_VALUE"""),"141893;INF789FC1V66;-;UTI Long Term Advantage Fund Series VI - Regular Plan - Growth Option;12.2198;24-Sep-2021")</f>
        <v>141893;INF789FC1V66;-;UTI Long Term Advantage Fund Series VI - Regular Plan - Growth Option;12.2198;24-Sep-2021</v>
      </c>
      <c r="B10525" s="1"/>
    </row>
    <row r="10526">
      <c r="A10526" s="1" t="str">
        <f>IFERROR(__xludf.DUMMYFUNCTION("""COMPUTED_VALUE"""),"141891;INF789FC1V58;-;UTI Long Term Advantage Fund Series VI - Regular Plan - IDCW;12.2199;24-Sep-2021")</f>
        <v>141891;INF789FC1V58;-;UTI Long Term Advantage Fund Series VI - Regular Plan - IDCW;12.2199;24-Sep-2021</v>
      </c>
      <c r="B10526" s="1"/>
    </row>
    <row r="10527">
      <c r="A10527" s="1" t="str">
        <f>IFERROR(__xludf.DUMMYFUNCTION("""COMPUTED_VALUE"""),"101834;-;-;UTI - Master Equity Plan Unit Scheme;174.544;25-Aug-2023")</f>
        <v>101834;-;-;UTI - Master Equity Plan Unit Scheme;174.544;25-Aug-2023</v>
      </c>
      <c r="B10527" s="1"/>
    </row>
    <row r="10528">
      <c r="A10528" s="1"/>
      <c r="B10528" s="1"/>
    </row>
    <row r="10529">
      <c r="A10529" s="1" t="str">
        <f>IFERROR(__xludf.DUMMYFUNCTION("""COMPUTED_VALUE"""),"Close Ended Schemes(Growth)")</f>
        <v>Close Ended Schemes(Growth)</v>
      </c>
      <c r="B10529" s="1"/>
    </row>
    <row r="10530">
      <c r="A10530" s="1"/>
      <c r="B10530" s="1"/>
    </row>
    <row r="10531">
      <c r="A10531" s="1" t="str">
        <f>IFERROR(__xludf.DUMMYFUNCTION("""COMPUTED_VALUE"""),"HDFC Mutual Fund")</f>
        <v>HDFC Mutual Fund</v>
      </c>
      <c r="B10531" s="1"/>
    </row>
    <row r="10532">
      <c r="A10532" s="1"/>
      <c r="B10532" s="1"/>
    </row>
    <row r="10533">
      <c r="A10533" s="1" t="str">
        <f>IFERROR(__xludf.DUMMYFUNCTION("""COMPUTED_VALUE"""),"141581;INF179KC1AL2;-;HDFC Equity Opp Fund - II - 1100D June 2017 (1) - Growth Option;13.298;20-Jan-2022")</f>
        <v>141581;INF179KC1AL2;-;HDFC Equity Opp Fund - II - 1100D June 2017 (1) - Growth Option;13.298;20-Jan-2022</v>
      </c>
      <c r="B10533" s="1"/>
    </row>
    <row r="10534">
      <c r="A10534" s="1" t="str">
        <f>IFERROR(__xludf.DUMMYFUNCTION("""COMPUTED_VALUE"""),"141580;INF179KC1AJ6;-;HDFC Equity Opp Fund - II - 1100D June 2017 (1) - Growth Option - Direct Plan;13.895;20-Jan-2022")</f>
        <v>141580;INF179KC1AJ6;-;HDFC Equity Opp Fund - II - 1100D June 2017 (1) - Growth Option - Direct Plan;13.895;20-Jan-2022</v>
      </c>
      <c r="B10534" s="1"/>
    </row>
    <row r="10535">
      <c r="A10535" s="1" t="str">
        <f>IFERROR(__xludf.DUMMYFUNCTION("""COMPUTED_VALUE"""),"141579;INF179KC1AM0;-;HDFC Equity Opp Fund - II - 1100D June 2017 (1) - IDCW Option;10.000;20-Jan-2022")</f>
        <v>141579;INF179KC1AM0;-;HDFC Equity Opp Fund - II - 1100D June 2017 (1) - IDCW Option;10.000;20-Jan-2022</v>
      </c>
      <c r="B10535" s="1"/>
    </row>
    <row r="10536">
      <c r="A10536" s="1" t="str">
        <f>IFERROR(__xludf.DUMMYFUNCTION("""COMPUTED_VALUE"""),"141578;INF179KC1AK4;-;HDFC Equity Opp Fund - II - 1100D June 2017 (1) - IDCW Option - Direct Plan;10.000;20-Jan-2022")</f>
        <v>141578;INF179KC1AK4;-;HDFC Equity Opp Fund - II - 1100D June 2017 (1) - IDCW Option - Direct Plan;10.000;20-Jan-2022</v>
      </c>
      <c r="B10536" s="1"/>
    </row>
    <row r="10537">
      <c r="A10537" s="1" t="str">
        <f>IFERROR(__xludf.DUMMYFUNCTION("""COMPUTED_VALUE"""),"141429;INF179KC1AH0;-;HDFC Equity Opp Fund - II - 1126D May 2017 (1) - Growth Option;14.316;14-Jan-2022")</f>
        <v>141429;INF179KC1AH0;-;HDFC Equity Opp Fund - II - 1126D May 2017 (1) - Growth Option;14.316;14-Jan-2022</v>
      </c>
      <c r="B10537" s="1"/>
    </row>
    <row r="10538">
      <c r="A10538" s="1" t="str">
        <f>IFERROR(__xludf.DUMMYFUNCTION("""COMPUTED_VALUE"""),"141430;INF179KC1AF4;-;HDFC Equity Opp Fund - II - 1126D May 2017 (1) - Growth Option - Direct Plan;14.837;14-Jan-2022")</f>
        <v>141430;INF179KC1AF4;-;HDFC Equity Opp Fund - II - 1126D May 2017 (1) - Growth Option - Direct Plan;14.837;14-Jan-2022</v>
      </c>
      <c r="B10538" s="1"/>
    </row>
    <row r="10539">
      <c r="A10539" s="1" t="str">
        <f>IFERROR(__xludf.DUMMYFUNCTION("""COMPUTED_VALUE"""),"141431;INF179KC1AI8;-;HDFC Equity Opp Fund - II - 1126D May 2017 (1) - IDCW Option;10;14-Jan-2022")</f>
        <v>141431;INF179KC1AI8;-;HDFC Equity Opp Fund - II - 1126D May 2017 (1) - IDCW Option;10;14-Jan-2022</v>
      </c>
      <c r="B10539" s="1"/>
    </row>
    <row r="10540">
      <c r="A10540" s="1" t="str">
        <f>IFERROR(__xludf.DUMMYFUNCTION("""COMPUTED_VALUE"""),"141428;INF179KC1AG2;-;HDFC Equity Opp Fund - II - 1126D May 2017 (1) - IDCW Option - Direct Plan;10;14-Jan-2022")</f>
        <v>141428;INF179KC1AG2;-;HDFC Equity Opp Fund - II - 1126D May 2017 (1) - IDCW Option - Direct Plan;10;14-Jan-2022</v>
      </c>
      <c r="B10540" s="1"/>
    </row>
    <row r="10541">
      <c r="A10541" s="1"/>
      <c r="B10541" s="1"/>
    </row>
    <row r="10542">
      <c r="A10542" s="1" t="str">
        <f>IFERROR(__xludf.DUMMYFUNCTION("""COMPUTED_VALUE"""),"ICICI Prudential Mutual Fund")</f>
        <v>ICICI Prudential Mutual Fund</v>
      </c>
      <c r="B10542" s="1"/>
    </row>
    <row r="10543">
      <c r="A10543" s="1"/>
      <c r="B10543" s="1"/>
    </row>
    <row r="10544">
      <c r="A10544" s="1" t="str">
        <f>IFERROR(__xludf.DUMMYFUNCTION("""COMPUTED_VALUE"""),"142952;INF109KC1BL5;-;ICICI Prudential Bharat Consumption Fund - Series 1 - Cumulative Option;15.62;01-Nov-2021")</f>
        <v>142952;INF109KC1BL5;-;ICICI Prudential Bharat Consumption Fund - Series 1 - Cumulative Option;15.62;01-Nov-2021</v>
      </c>
      <c r="B10544" s="1"/>
    </row>
    <row r="10545">
      <c r="A10545" s="1" t="str">
        <f>IFERROR(__xludf.DUMMYFUNCTION("""COMPUTED_VALUE"""),"142951;INF109KC1BN1;-;ICICI Prudential Bharat Consumption Fund - Series 1 - Direct Plan - Cumulative Option;16.04;01-Nov-2021")</f>
        <v>142951;INF109KC1BN1;-;ICICI Prudential Bharat Consumption Fund - Series 1 - Direct Plan - Cumulative Option;16.04;01-Nov-2021</v>
      </c>
      <c r="B10545" s="1"/>
    </row>
    <row r="10546">
      <c r="A10546" s="1" t="str">
        <f>IFERROR(__xludf.DUMMYFUNCTION("""COMPUTED_VALUE"""),"142950;INF109KC1BO9;-;ICICI Prudential Bharat Consumption Fund - Series 1 - Direct Plan - IDCW Option;16.04;01-Nov-2021")</f>
        <v>142950;INF109KC1BO9;-;ICICI Prudential Bharat Consumption Fund - Series 1 - Direct Plan - IDCW Option;16.04;01-Nov-2021</v>
      </c>
      <c r="B10546" s="1"/>
    </row>
    <row r="10547">
      <c r="A10547" s="1" t="str">
        <f>IFERROR(__xludf.DUMMYFUNCTION("""COMPUTED_VALUE"""),"142949;INF109KC1BM3;-;ICICI Prudential Bharat Consumption Fund - Series 1 - IDCW Option;15.62;01-Nov-2021")</f>
        <v>142949;INF109KC1BM3;-;ICICI Prudential Bharat Consumption Fund - Series 1 - IDCW Option;15.62;01-Nov-2021</v>
      </c>
      <c r="B10547" s="1"/>
    </row>
    <row r="10548">
      <c r="A10548" s="1" t="str">
        <f>IFERROR(__xludf.DUMMYFUNCTION("""COMPUTED_VALUE"""),"143152;INF109KC1CV2;-;ICICI Prudential Bharat Consumption Fund - Series 2 - Cumulative Option;15.77;23-Nov-2021")</f>
        <v>143152;INF109KC1CV2;-;ICICI Prudential Bharat Consumption Fund - Series 2 - Cumulative Option;15.77;23-Nov-2021</v>
      </c>
      <c r="B10548" s="1"/>
    </row>
    <row r="10549">
      <c r="A10549" s="1" t="str">
        <f>IFERROR(__xludf.DUMMYFUNCTION("""COMPUTED_VALUE"""),"143153;INF109KC1CX8;-;ICICI Prudential Bharat Consumption Fund - Series 2 - Direct Plan - Cumulative Option;16.14;23-Nov-2021")</f>
        <v>143153;INF109KC1CX8;-;ICICI Prudential Bharat Consumption Fund - Series 2 - Direct Plan - Cumulative Option;16.14;23-Nov-2021</v>
      </c>
      <c r="B10549" s="1"/>
    </row>
    <row r="10550">
      <c r="A10550" s="1" t="str">
        <f>IFERROR(__xludf.DUMMYFUNCTION("""COMPUTED_VALUE"""),"143154;INF109KC1CY6;-;ICICI Prudential Bharat Consumption Fund - Series 2 - Direct Plan - IDCW Option;16.14;23-Nov-2021")</f>
        <v>143154;INF109KC1CY6;-;ICICI Prudential Bharat Consumption Fund - Series 2 - Direct Plan - IDCW Option;16.14;23-Nov-2021</v>
      </c>
      <c r="B10550" s="1"/>
    </row>
    <row r="10551">
      <c r="A10551" s="1" t="str">
        <f>IFERROR(__xludf.DUMMYFUNCTION("""COMPUTED_VALUE"""),"143155;INF109KC1CW0;-;ICICI Prudential Bharat Consumption Fund - Series 2 - IDCW Option;15.77;23-Nov-2021")</f>
        <v>143155;INF109KC1CW0;-;ICICI Prudential Bharat Consumption Fund - Series 2 - IDCW Option;15.77;23-Nov-2021</v>
      </c>
      <c r="B10551" s="1"/>
    </row>
    <row r="10552">
      <c r="A10552" s="1" t="str">
        <f>IFERROR(__xludf.DUMMYFUNCTION("""COMPUTED_VALUE"""),"143964;INF109KC1GQ3;-;ICICI Prudential Bharat Consumption Fund - Series 3 - Cumulative Option;16.55;07-Feb-2022")</f>
        <v>143964;INF109KC1GQ3;-;ICICI Prudential Bharat Consumption Fund - Series 3 - Cumulative Option;16.55;07-Feb-2022</v>
      </c>
      <c r="B10552" s="1"/>
    </row>
    <row r="10553">
      <c r="A10553" s="1" t="str">
        <f>IFERROR(__xludf.DUMMYFUNCTION("""COMPUTED_VALUE"""),"143961;INF109KC1GS9;-;ICICI Prudential Bharat Consumption Fund - Series 3 - Direct Plan - Cumulative Option;17.01;07-Feb-2022")</f>
        <v>143961;INF109KC1GS9;-;ICICI Prudential Bharat Consumption Fund - Series 3 - Direct Plan - Cumulative Option;17.01;07-Feb-2022</v>
      </c>
      <c r="B10553" s="1"/>
    </row>
    <row r="10554">
      <c r="A10554" s="1" t="str">
        <f>IFERROR(__xludf.DUMMYFUNCTION("""COMPUTED_VALUE"""),"143962;INF109KC1GT7;-;ICICI Prudential Bharat Consumption Fund - Series 3 - Direct Plan - IDCW Option;17.01;07-Feb-2022")</f>
        <v>143962;INF109KC1GT7;-;ICICI Prudential Bharat Consumption Fund - Series 3 - Direct Plan - IDCW Option;17.01;07-Feb-2022</v>
      </c>
      <c r="B10554" s="1"/>
    </row>
    <row r="10555">
      <c r="A10555" s="1" t="str">
        <f>IFERROR(__xludf.DUMMYFUNCTION("""COMPUTED_VALUE"""),"143963;INF109KC1GR1;-;ICICI Prudential Bharat Consumption Fund - Series 3 - IDCW Option;16.55;07-Feb-2022")</f>
        <v>143963;INF109KC1GR1;-;ICICI Prudential Bharat Consumption Fund - Series 3 - IDCW Option;16.55;07-Feb-2022</v>
      </c>
      <c r="B10555" s="1"/>
    </row>
    <row r="10556">
      <c r="A10556" s="1" t="str">
        <f>IFERROR(__xludf.DUMMYFUNCTION("""COMPUTED_VALUE"""),"144445;INF109KC1IU1;-;ICICI Prudential Bharat Consumption Fund - Series 4 - Cumulative Option;14.76;11-Mar-2022")</f>
        <v>144445;INF109KC1IU1;-;ICICI Prudential Bharat Consumption Fund - Series 4 - Cumulative Option;14.76;11-Mar-2022</v>
      </c>
      <c r="B10556" s="1"/>
    </row>
    <row r="10557">
      <c r="A10557" s="1" t="str">
        <f>IFERROR(__xludf.DUMMYFUNCTION("""COMPUTED_VALUE"""),"144448;INF109KC1IW7;-;ICICI Prudential Bharat Consumption Fund - Series 4 - Direct Plan - Cumulative Option;15.13;11-Mar-2022")</f>
        <v>144448;INF109KC1IW7;-;ICICI Prudential Bharat Consumption Fund - Series 4 - Direct Plan - Cumulative Option;15.13;11-Mar-2022</v>
      </c>
      <c r="B10557" s="1"/>
    </row>
    <row r="10558">
      <c r="A10558" s="1" t="str">
        <f>IFERROR(__xludf.DUMMYFUNCTION("""COMPUTED_VALUE"""),"144447;INF109KC1IX5;-;ICICI Prudential Bharat Consumption Fund - Series 4 - Direct Plan - IDCW Option;15.13;11-Mar-2022")</f>
        <v>144447;INF109KC1IX5;-;ICICI Prudential Bharat Consumption Fund - Series 4 - Direct Plan - IDCW Option;15.13;11-Mar-2022</v>
      </c>
      <c r="B10558" s="1"/>
    </row>
    <row r="10559">
      <c r="A10559" s="1" t="str">
        <f>IFERROR(__xludf.DUMMYFUNCTION("""COMPUTED_VALUE"""),"144446;INF109KC1IV9;-;ICICI Prudential Bharat Consumption Fund - Series 4 - IDCW Option;14.76;11-Mar-2022")</f>
        <v>144446;INF109KC1IV9;-;ICICI Prudential Bharat Consumption Fund - Series 4 - IDCW Option;14.76;11-Mar-2022</v>
      </c>
      <c r="B10559" s="1"/>
    </row>
    <row r="10560">
      <c r="A10560" s="1" t="str">
        <f>IFERROR(__xludf.DUMMYFUNCTION("""COMPUTED_VALUE"""),"145446;INF109KC1NO4;-;ICICI Prudential Bharat Consumption Fund - Series 5 - Cumulative Option;18.19;01-Dec-2021")</f>
        <v>145446;INF109KC1NO4;-;ICICI Prudential Bharat Consumption Fund - Series 5 - Cumulative Option;18.19;01-Dec-2021</v>
      </c>
      <c r="B10560" s="1"/>
    </row>
    <row r="10561">
      <c r="A10561" s="1" t="str">
        <f>IFERROR(__xludf.DUMMYFUNCTION("""COMPUTED_VALUE"""),"145443;INF109KC1NQ9;-;ICICI Prudential Bharat Consumption Fund - Series 5 - Direct Plan - Cumulative Option;18.51;01-Dec-2021")</f>
        <v>145443;INF109KC1NQ9;-;ICICI Prudential Bharat Consumption Fund - Series 5 - Direct Plan - Cumulative Option;18.51;01-Dec-2021</v>
      </c>
      <c r="B10561" s="1"/>
    </row>
    <row r="10562">
      <c r="A10562" s="1" t="str">
        <f>IFERROR(__xludf.DUMMYFUNCTION("""COMPUTED_VALUE"""),"145444;INF109KC1NR7;-;ICICI Prudential Bharat Consumption Fund - Series 5 - Direct Plan - IDCW Option;18.51;01-Dec-2021")</f>
        <v>145444;INF109KC1NR7;-;ICICI Prudential Bharat Consumption Fund - Series 5 - Direct Plan - IDCW Option;18.51;01-Dec-2021</v>
      </c>
      <c r="B10562" s="1"/>
    </row>
    <row r="10563">
      <c r="A10563" s="1" t="str">
        <f>IFERROR(__xludf.DUMMYFUNCTION("""COMPUTED_VALUE"""),"145445;INF109KC1NP1;-;ICICI Prudential Bharat Consumption Fund - Series 5 - IDCW Option;18.19;01-Dec-2021")</f>
        <v>145445;INF109KC1NP1;-;ICICI Prudential Bharat Consumption Fund - Series 5 - IDCW Option;18.19;01-Dec-2021</v>
      </c>
      <c r="B10563" s="1"/>
    </row>
    <row r="10564">
      <c r="A10564" s="1" t="str">
        <f>IFERROR(__xludf.DUMMYFUNCTION("""COMPUTED_VALUE"""),"135406;INF109KB1MX8;-;ICICI Prudential Business Cycle Fund - Series 1  Cumulative Option;12.80;09-Apr-2019")</f>
        <v>135406;INF109KB1MX8;-;ICICI Prudential Business Cycle Fund - Series 1  Cumulative Option;12.80;09-Apr-2019</v>
      </c>
      <c r="B10564" s="1"/>
    </row>
    <row r="10565">
      <c r="A10565" s="1" t="str">
        <f>IFERROR(__xludf.DUMMYFUNCTION("""COMPUTED_VALUE"""),"135404;INF109KB1MV2;-;ICICI Prudential Business Cycle Fund - Series 1 Direct Plan Cumulative Option;13.27;09-Apr-2019")</f>
        <v>135404;INF109KB1MV2;-;ICICI Prudential Business Cycle Fund - Series 1 Direct Plan Cumulative Option;13.27;09-Apr-2019</v>
      </c>
      <c r="B10565" s="1"/>
    </row>
    <row r="10566">
      <c r="A10566" s="1" t="str">
        <f>IFERROR(__xludf.DUMMYFUNCTION("""COMPUTED_VALUE"""),"135405;INF109KB1MW0;-;ICICI Prudential Business Cycle Fund - Series 1 Direct Plan Dividend Option;10.01;09-Apr-2019")</f>
        <v>135405;INF109KB1MW0;-;ICICI Prudential Business Cycle Fund - Series 1 Direct Plan Dividend Option;10.01;09-Apr-2019</v>
      </c>
      <c r="B10566" s="1"/>
    </row>
    <row r="10567">
      <c r="A10567" s="1" t="str">
        <f>IFERROR(__xludf.DUMMYFUNCTION("""COMPUTED_VALUE"""),"135407;INF109KB1MY6;-;ICICI Prudential Business Cycle Fund - Series 1 Dividend Option;9.61;09-Apr-2019")</f>
        <v>135407;INF109KB1MY6;-;ICICI Prudential Business Cycle Fund - Series 1 Dividend Option;9.61;09-Apr-2019</v>
      </c>
      <c r="B10567" s="1"/>
    </row>
    <row r="10568">
      <c r="A10568" s="1" t="str">
        <f>IFERROR(__xludf.DUMMYFUNCTION("""COMPUTED_VALUE"""),"135550;INF109KB1OH7;-;ICICI Prudential Business Cycle Fund - Series 2  Cumulative Option;13.99;22-Feb-2019")</f>
        <v>135550;INF109KB1OH7;-;ICICI Prudential Business Cycle Fund - Series 2  Cumulative Option;13.99;22-Feb-2019</v>
      </c>
      <c r="B10568" s="1"/>
    </row>
    <row r="10569">
      <c r="A10569" s="1" t="str">
        <f>IFERROR(__xludf.DUMMYFUNCTION("""COMPUTED_VALUE"""),"135549;INF109KB1OI5;-;ICICI Prudential Business Cycle Fund - Series 2  Dividend Option;10.29;22-Feb-2019")</f>
        <v>135549;INF109KB1OI5;-;ICICI Prudential Business Cycle Fund - Series 2  Dividend Option;10.29;22-Feb-2019</v>
      </c>
      <c r="B10569" s="1"/>
    </row>
    <row r="10570">
      <c r="A10570" s="1" t="str">
        <f>IFERROR(__xludf.DUMMYFUNCTION("""COMPUTED_VALUE"""),"135547;INF109KB1OF1;-;ICICI Prudential Business Cycle Fund - Series 2 Direct Plan Cumulative Option;14.46;22-Feb-2019")</f>
        <v>135547;INF109KB1OF1;-;ICICI Prudential Business Cycle Fund - Series 2 Direct Plan Cumulative Option;14.46;22-Feb-2019</v>
      </c>
      <c r="B10570" s="1"/>
    </row>
    <row r="10571">
      <c r="A10571" s="1" t="str">
        <f>IFERROR(__xludf.DUMMYFUNCTION("""COMPUTED_VALUE"""),"135548;INF109KB1OG9;-;ICICI Prudential Business Cycle Fund - Series 2 Direct Plan Dividend Option;10.69;22-Feb-2019")</f>
        <v>135548;INF109KB1OG9;-;ICICI Prudential Business Cycle Fund - Series 2 Direct Plan Dividend Option;10.69;22-Feb-2019</v>
      </c>
      <c r="B10571" s="1"/>
    </row>
    <row r="10572">
      <c r="A10572" s="1" t="str">
        <f>IFERROR(__xludf.DUMMYFUNCTION("""COMPUTED_VALUE"""),"135996;INF109KB1PX1;-;ICICI Prudential Business Cycle Fund - Series 3 Cumulative option;13.56;25-Feb-2019")</f>
        <v>135996;INF109KB1PX1;-;ICICI Prudential Business Cycle Fund - Series 3 Cumulative option;13.56;25-Feb-2019</v>
      </c>
      <c r="B10572" s="1"/>
    </row>
    <row r="10573">
      <c r="A10573" s="1" t="str">
        <f>IFERROR(__xludf.DUMMYFUNCTION("""COMPUTED_VALUE"""),"135998;INF109KB1PZ6;-;ICICI Prudential Business Cycle Fund - Series 3 Direct Plan Cumulative option;14.19;25-Feb-2019")</f>
        <v>135998;INF109KB1PZ6;-;ICICI Prudential Business Cycle Fund - Series 3 Direct Plan Cumulative option;14.19;25-Feb-2019</v>
      </c>
      <c r="B10573" s="1"/>
    </row>
    <row r="10574">
      <c r="A10574" s="1" t="str">
        <f>IFERROR(__xludf.DUMMYFUNCTION("""COMPUTED_VALUE"""),"135999;INF109KB1QA7;-;ICICI Prudential Business Cycle Fund - Series 3 Direct Plan Dividend option;9.68;25-Feb-2019")</f>
        <v>135999;INF109KB1QA7;-;ICICI Prudential Business Cycle Fund - Series 3 Direct Plan Dividend option;9.68;25-Feb-2019</v>
      </c>
      <c r="B10574" s="1"/>
    </row>
    <row r="10575">
      <c r="A10575" s="1" t="str">
        <f>IFERROR(__xludf.DUMMYFUNCTION("""COMPUTED_VALUE"""),"135997;INF109KB1PY9;-;ICICI Prudential Business Cycle Fund - Series 3 Dividend option;9.15;25-Feb-2019")</f>
        <v>135997;INF109KB1PY9;-;ICICI Prudential Business Cycle Fund - Series 3 Dividend option;9.15;25-Feb-2019</v>
      </c>
      <c r="B10575" s="1"/>
    </row>
    <row r="10576">
      <c r="A10576" s="1" t="str">
        <f>IFERROR(__xludf.DUMMYFUNCTION("""COMPUTED_VALUE"""),"126677;INF109KA1LK8;-;ICICI Prudential Equity Savings Fund - Series 1  - Dividend;12.06;22-Feb-2017")</f>
        <v>126677;INF109KA1LK8;-;ICICI Prudential Equity Savings Fund - Series 1  - Dividend;12.06;22-Feb-2017</v>
      </c>
      <c r="B10576" s="1"/>
    </row>
    <row r="10577">
      <c r="A10577" s="1" t="str">
        <f>IFERROR(__xludf.DUMMYFUNCTION("""COMPUTED_VALUE"""),"126675;INF109KA1LJ0;-;ICICI Prudential Equity Savings Fund - Series 1 - Cumulative;20.54;22-Feb-2017")</f>
        <v>126675;INF109KA1LJ0;-;ICICI Prudential Equity Savings Fund - Series 1 - Cumulative;20.54;22-Feb-2017</v>
      </c>
      <c r="B10577" s="1"/>
    </row>
    <row r="10578">
      <c r="A10578" s="1" t="str">
        <f>IFERROR(__xludf.DUMMYFUNCTION("""COMPUTED_VALUE"""),"126676;INF109KA1LL6;-;ICICI Prudential Equity Savings Fund - Series 1 Direct Plan - Cumulative;21.08;22-Feb-2017")</f>
        <v>126676;INF109KA1LL6;-;ICICI Prudential Equity Savings Fund - Series 1 Direct Plan - Cumulative;21.08;22-Feb-2017</v>
      </c>
      <c r="B10578" s="1"/>
    </row>
    <row r="10579">
      <c r="A10579" s="1" t="str">
        <f>IFERROR(__xludf.DUMMYFUNCTION("""COMPUTED_VALUE"""),"126678;INF109KA1LM4;-;ICICI Prudential Equity Savings Fund - Series 1 Direct Plan - Dividend;12.48;22-Feb-2017")</f>
        <v>126678;INF109KA1LM4;-;ICICI Prudential Equity Savings Fund - Series 1 Direct Plan - Dividend;12.48;22-Feb-2017</v>
      </c>
      <c r="B10579" s="1"/>
    </row>
    <row r="10580">
      <c r="A10580" s="1" t="str">
        <f>IFERROR(__xludf.DUMMYFUNCTION("""COMPUTED_VALUE"""),"130003;INF109KB12R8;-;ICICI Prudential Growth Fund- Series 1 Direct Dividend;14.47;31-Dec-2020")</f>
        <v>130003;INF109KB12R8;-;ICICI Prudential Growth Fund- Series 1 Direct Dividend;14.47;31-Dec-2020</v>
      </c>
      <c r="B10580" s="1"/>
    </row>
    <row r="10581">
      <c r="A10581" s="1" t="str">
        <f>IFERROR(__xludf.DUMMYFUNCTION("""COMPUTED_VALUE"""),"130004;INF109KB13R6;-;ICICI Prudential Growth Fund- Series 1 Dividend;13.23;31-Dec-2020")</f>
        <v>130004;INF109KB13R6;-;ICICI Prudential Growth Fund- Series 1 Dividend;13.23;31-Dec-2020</v>
      </c>
      <c r="B10581" s="1"/>
    </row>
    <row r="10582">
      <c r="A10582" s="1" t="str">
        <f>IFERROR(__xludf.DUMMYFUNCTION("""COMPUTED_VALUE"""),"130593;INF109KC1796;-;ICICI Prudential Growth Fund - Series 2 Direct Dividend;16.02;01-Feb-2021")</f>
        <v>130593;INF109KC1796;-;ICICI Prudential Growth Fund - Series 2 Direct Dividend;16.02;01-Feb-2021</v>
      </c>
      <c r="B10582" s="1"/>
    </row>
    <row r="10583">
      <c r="A10583" s="1" t="str">
        <f>IFERROR(__xludf.DUMMYFUNCTION("""COMPUTED_VALUE"""),"130594;INF109KC1804;-;ICICI Prudential Growth Fund - Series 2 Dividend;14.68;01-Feb-2021")</f>
        <v>130594;INF109KC1804;-;ICICI Prudential Growth Fund - Series 2 Dividend;14.68;01-Feb-2021</v>
      </c>
      <c r="B10583" s="1"/>
    </row>
    <row r="10584">
      <c r="A10584" s="1" t="str">
        <f>IFERROR(__xludf.DUMMYFUNCTION("""COMPUTED_VALUE"""),"131317;INF109KA1S17;-;ICICI Prudential Growth Fund - Series 3 Direct IDCW;13.67;03-May-2021")</f>
        <v>131317;INF109KA1S17;-;ICICI Prudential Growth Fund - Series 3 Direct IDCW;13.67;03-May-2021</v>
      </c>
      <c r="B10584" s="1"/>
    </row>
    <row r="10585">
      <c r="A10585" s="1" t="str">
        <f>IFERROR(__xludf.DUMMYFUNCTION("""COMPUTED_VALUE"""),"131318;INF109KA1S09;-;ICICI Prudential Growth Fund - Series 3 IDCW;12.50;03-May-2021")</f>
        <v>131318;INF109KA1S09;-;ICICI Prudential Growth Fund - Series 3 IDCW;12.50;03-May-2021</v>
      </c>
      <c r="B10585" s="1"/>
    </row>
    <row r="10586">
      <c r="A10586" s="1" t="str">
        <f>IFERROR(__xludf.DUMMYFUNCTION("""COMPUTED_VALUE"""),"131545;INF109KA1Y76;-;ICICI Prudential Growth Fund - Series 4 Direct Dividend;11.62;02-May-2018")</f>
        <v>131545;INF109KA1Y76;-;ICICI Prudential Growth Fund - Series 4 Direct Dividend;11.62;02-May-2018</v>
      </c>
      <c r="B10586" s="1"/>
    </row>
    <row r="10587">
      <c r="A10587" s="1" t="str">
        <f>IFERROR(__xludf.DUMMYFUNCTION("""COMPUTED_VALUE"""),"131546;INF109KA1Y68;-;ICICI Prudential Growth Fund - Series 4 Dividend;10.89;02-May-2018")</f>
        <v>131546;INF109KA1Y68;-;ICICI Prudential Growth Fund - Series 4 Dividend;10.89;02-May-2018</v>
      </c>
      <c r="B10587" s="1"/>
    </row>
    <row r="10588">
      <c r="A10588" s="1" t="str">
        <f>IFERROR(__xludf.DUMMYFUNCTION("""COMPUTED_VALUE"""),"133128;INF109KA13K3;-;ICICI Prudential Growth Fund - Series 5 Direct Dividend;11.11;19-Jun-2018")</f>
        <v>133128;INF109KA13K3;-;ICICI Prudential Growth Fund - Series 5 Direct Dividend;11.11;19-Jun-2018</v>
      </c>
      <c r="B10588" s="1"/>
    </row>
    <row r="10589">
      <c r="A10589" s="1" t="str">
        <f>IFERROR(__xludf.DUMMYFUNCTION("""COMPUTED_VALUE"""),"133129;INF109KA12K5;-;ICICI Prudential Growth Fund - Series 5 Dividend;10.47;19-Jun-2018")</f>
        <v>133129;INF109KA12K5;-;ICICI Prudential Growth Fund - Series 5 Dividend;10.47;19-Jun-2018</v>
      </c>
      <c r="B10589" s="1"/>
    </row>
    <row r="10590">
      <c r="A10590" s="1" t="str">
        <f>IFERROR(__xludf.DUMMYFUNCTION("""COMPUTED_VALUE"""),"133274;INF109KA14O3;-;ICICI Prudential Growth Fund - Series 6  Dividend;10.29;09-Jul-2018")</f>
        <v>133274;INF109KA14O3;-;ICICI Prudential Growth Fund - Series 6  Dividend;10.29;09-Jul-2018</v>
      </c>
      <c r="B10590" s="1"/>
    </row>
    <row r="10591">
      <c r="A10591" s="1" t="str">
        <f>IFERROR(__xludf.DUMMYFUNCTION("""COMPUTED_VALUE"""),"133275;INF109KA15O0;-;ICICI Prudential Growth Fund - Series 6 Direct Dividend;10.97;09-Jul-2018")</f>
        <v>133275;INF109KA15O0;-;ICICI Prudential Growth Fund - Series 6 Direct Dividend;10.97;09-Jul-2018</v>
      </c>
      <c r="B10591" s="1"/>
    </row>
    <row r="10592">
      <c r="A10592" s="1" t="str">
        <f>IFERROR(__xludf.DUMMYFUNCTION("""COMPUTED_VALUE"""),"133425;INF109KA18P1;-;ICICI Prudential Growth Fund - Series 7  Dividend;9.98;25-Jul-2018")</f>
        <v>133425;INF109KA18P1;-;ICICI Prudential Growth Fund - Series 7  Dividend;9.98;25-Jul-2018</v>
      </c>
      <c r="B10592" s="1"/>
    </row>
    <row r="10593">
      <c r="A10593" s="1" t="str">
        <f>IFERROR(__xludf.DUMMYFUNCTION("""COMPUTED_VALUE"""),"133426;INF109KA19P9;-;ICICI Prudential Growth Fund - Series 7 Direct Dividend;10.54;25-Jul-2018")</f>
        <v>133426;INF109KA19P9;-;ICICI Prudential Growth Fund - Series 7 Direct Dividend;10.54;25-Jul-2018</v>
      </c>
      <c r="B10593" s="1"/>
    </row>
    <row r="10594">
      <c r="A10594" s="1" t="str">
        <f>IFERROR(__xludf.DUMMYFUNCTION("""COMPUTED_VALUE"""),"133468;INF109KA19R5;-;ICICI Prudential Growth Fund - Series 8  Dividend;10.71;29-Jan-2018")</f>
        <v>133468;INF109KA19R5;-;ICICI Prudential Growth Fund - Series 8  Dividend;10.71;29-Jan-2018</v>
      </c>
      <c r="B10594" s="1"/>
    </row>
    <row r="10595">
      <c r="A10595" s="1" t="str">
        <f>IFERROR(__xludf.DUMMYFUNCTION("""COMPUTED_VALUE"""),"133467;INF109KA10S2;-;ICICI Prudential Growth Fund - Series 8 Direct Dividend;10.82;29-Jan-2018")</f>
        <v>133467;INF109KA10S2;-;ICICI Prudential Growth Fund - Series 8 Direct Dividend;10.82;29-Jan-2018</v>
      </c>
      <c r="B10595" s="1"/>
    </row>
    <row r="10596">
      <c r="A10596" s="1" t="str">
        <f>IFERROR(__xludf.DUMMYFUNCTION("""COMPUTED_VALUE"""),"133965;INF109KB1128;-;ICICI Prudential India Recovery Fund - Series 1 Direct Dividend;9.95;03-Oct-2018")</f>
        <v>133965;INF109KB1128;-;ICICI Prudential India Recovery Fund - Series 1 Direct Dividend;9.95;03-Oct-2018</v>
      </c>
      <c r="B10596" s="1"/>
    </row>
    <row r="10597">
      <c r="A10597" s="1" t="str">
        <f>IFERROR(__xludf.DUMMYFUNCTION("""COMPUTED_VALUE"""),"133966;INF109KB1110;-;ICICI Prudential India Recovery Fund - Series 1 Dividend;9.46;03-Oct-2018")</f>
        <v>133966;INF109KB1110;-;ICICI Prudential India Recovery Fund - Series 1 Dividend;9.46;03-Oct-2018</v>
      </c>
      <c r="B10597" s="1"/>
    </row>
    <row r="10598">
      <c r="A10598" s="1" t="str">
        <f>IFERROR(__xludf.DUMMYFUNCTION("""COMPUTED_VALUE"""),"134043;INF109KB1300;-;ICICI Prudential India Recovery Fund - Series 2 Direct Dividend;10.54;09-Oct-2018")</f>
        <v>134043;INF109KB1300;-;ICICI Prudential India Recovery Fund - Series 2 Direct Dividend;10.54;09-Oct-2018</v>
      </c>
      <c r="B10598" s="1"/>
    </row>
    <row r="10599">
      <c r="A10599" s="1" t="str">
        <f>IFERROR(__xludf.DUMMYFUNCTION("""COMPUTED_VALUE"""),"134042;INF109KB1292;-;ICICI Prudential India Recovery Fund - Series 2 Dividend;9.89;09-Oct-2018")</f>
        <v>134042;INF109KB1292;-;ICICI Prudential India Recovery Fund - Series 2 Dividend;9.89;09-Oct-2018</v>
      </c>
      <c r="B10599" s="1"/>
    </row>
    <row r="10600">
      <c r="A10600" s="1" t="str">
        <f>IFERROR(__xludf.DUMMYFUNCTION("""COMPUTED_VALUE"""),"135323;INF109KB1MD0;-;ICICI Prudential India Recovery Fund - Series 3 Cumulative Option;13.82;31-Aug-2018")</f>
        <v>135323;INF109KB1MD0;-;ICICI Prudential India Recovery Fund - Series 3 Cumulative Option;13.82;31-Aug-2018</v>
      </c>
      <c r="B10600" s="1"/>
    </row>
    <row r="10601">
      <c r="A10601" s="1" t="str">
        <f>IFERROR(__xludf.DUMMYFUNCTION("""COMPUTED_VALUE"""),"135322;INF109KB1ME8;-;ICICI Prudential India Recovery Fund - Series 3 Direct Plan Cumulative Option;14.35;31-Aug-2018")</f>
        <v>135322;INF109KB1ME8;-;ICICI Prudential India Recovery Fund - Series 3 Direct Plan Cumulative Option;14.35;31-Aug-2018</v>
      </c>
      <c r="B10601" s="1"/>
    </row>
    <row r="10602">
      <c r="A10602" s="1" t="str">
        <f>IFERROR(__xludf.DUMMYFUNCTION("""COMPUTED_VALUE"""),"135216;INF109KB1LQ4;-;ICICI Prudential India Recovery Fund - Series 3 Direct Plan Dividend Option;10.22;31-Aug-2018")</f>
        <v>135216;INF109KB1LQ4;-;ICICI Prudential India Recovery Fund - Series 3 Direct Plan Dividend Option;10.22;31-Aug-2018</v>
      </c>
      <c r="B10602" s="1"/>
    </row>
    <row r="10603">
      <c r="A10603" s="1" t="str">
        <f>IFERROR(__xludf.DUMMYFUNCTION("""COMPUTED_VALUE"""),"135217;INF109KB1LP6;-;ICICI Prudential India Recovery Fund - Series 3 Dividend Option;9.96;31-Aug-2018")</f>
        <v>135217;INF109KB1LP6;-;ICICI Prudential India Recovery Fund - Series 3 Dividend Option;9.96;31-Aug-2018</v>
      </c>
      <c r="B10603" s="1"/>
    </row>
    <row r="10604">
      <c r="A10604" s="1" t="str">
        <f>IFERROR(__xludf.DUMMYFUNCTION("""COMPUTED_VALUE"""),"136180;INF109KB1QX9;-;ICICI Prudential India Recovery Fund - Series 4 Cumulative Option;16.56;27-Feb-2019")</f>
        <v>136180;INF109KB1QX9;-;ICICI Prudential India Recovery Fund - Series 4 Cumulative Option;16.56;27-Feb-2019</v>
      </c>
      <c r="B10604" s="1"/>
    </row>
    <row r="10605">
      <c r="A10605" s="1" t="str">
        <f>IFERROR(__xludf.DUMMYFUNCTION("""COMPUTED_VALUE"""),"136181;INF109KB1QY7;-;ICICI Prudential India Recovery Fund - Series 4 Direct Plan Cumulative Option;17.28;27-Feb-2019")</f>
        <v>136181;INF109KB1QY7;-;ICICI Prudential India Recovery Fund - Series 4 Direct Plan Cumulative Option;17.28;27-Feb-2019</v>
      </c>
      <c r="B10605" s="1"/>
    </row>
    <row r="10606">
      <c r="A10606" s="1" t="str">
        <f>IFERROR(__xludf.DUMMYFUNCTION("""COMPUTED_VALUE"""),"136182;INF109KB1QW1;-;ICICI Prudential India Recovery Fund - Series 4 Direct Plan Dividend Option;12.19;27-Feb-2019")</f>
        <v>136182;INF109KB1QW1;-;ICICI Prudential India Recovery Fund - Series 4 Direct Plan Dividend Option;12.19;27-Feb-2019</v>
      </c>
      <c r="B10606" s="1"/>
    </row>
    <row r="10607">
      <c r="A10607" s="1" t="str">
        <f>IFERROR(__xludf.DUMMYFUNCTION("""COMPUTED_VALUE"""),"136183;INF109KB1QV3;-;ICICI Prudential India Recovery Fund - Series 4 Dividend Option;11.58;27-Feb-2019")</f>
        <v>136183;INF109KB1QV3;-;ICICI Prudential India Recovery Fund - Series 4 Dividend Option;11.58;27-Feb-2019</v>
      </c>
      <c r="B10607" s="1"/>
    </row>
    <row r="10608">
      <c r="A10608" s="1" t="str">
        <f>IFERROR(__xludf.DUMMYFUNCTION("""COMPUTED_VALUE"""),"139263;INF109KB1UT9;-;ICICI Prudential India Recovery Fund - Series 5 Cumulative Option;13.78;15-May-2019")</f>
        <v>139263;INF109KB1UT9;-;ICICI Prudential India Recovery Fund - Series 5 Cumulative Option;13.78;15-May-2019</v>
      </c>
      <c r="B10608" s="1"/>
    </row>
    <row r="10609">
      <c r="A10609" s="1" t="str">
        <f>IFERROR(__xludf.DUMMYFUNCTION("""COMPUTED_VALUE"""),"139264;INF109KB1UU7;-;ICICI Prudential India Recovery Fund - Series 5 Direct Plan Cumulative Option;14.28;15-May-2019")</f>
        <v>139264;INF109KB1UU7;-;ICICI Prudential India Recovery Fund - Series 5 Direct Plan Cumulative Option;14.28;15-May-2019</v>
      </c>
      <c r="B10609" s="1"/>
    </row>
    <row r="10610">
      <c r="A10610" s="1" t="str">
        <f>IFERROR(__xludf.DUMMYFUNCTION("""COMPUTED_VALUE"""),"139261;INF109KB1US1;-;ICICI Prudential India Recovery Fund - Series 5 Direct Plan Dividend Option;10.85;15-May-2019")</f>
        <v>139261;INF109KB1US1;-;ICICI Prudential India Recovery Fund - Series 5 Direct Plan Dividend Option;10.85;15-May-2019</v>
      </c>
      <c r="B10610" s="1"/>
    </row>
    <row r="10611">
      <c r="A10611" s="1" t="str">
        <f>IFERROR(__xludf.DUMMYFUNCTION("""COMPUTED_VALUE"""),"139262;INF109KB1UR3;-;ICICI Prudential India Recovery Fund - Series 5 Dividend Option;10.47;15-May-2019")</f>
        <v>139262;INF109KB1UR3;-;ICICI Prudential India Recovery Fund - Series 5 Dividend Option;10.47;15-May-2019</v>
      </c>
      <c r="B10611" s="1"/>
    </row>
    <row r="10612">
      <c r="A10612" s="1" t="str">
        <f>IFERROR(__xludf.DUMMYFUNCTION("""COMPUTED_VALUE"""),"139408;INF109KB1WJ6;-;ICICI Prudential India Recovery Fund - Series 7 Direct Plan Dividend Option;11.90;26-Jun-2019")</f>
        <v>139408;INF109KB1WJ6;-;ICICI Prudential India Recovery Fund - Series 7 Direct Plan Dividend Option;11.90;26-Jun-2019</v>
      </c>
      <c r="B10612" s="1"/>
    </row>
    <row r="10613">
      <c r="A10613" s="1" t="str">
        <f>IFERROR(__xludf.DUMMYFUNCTION("""COMPUTED_VALUE"""),"139409;INF109KB1WI8;-;ICICI Prudential India Recovery Fund - Series 7 Dividend Option;11.35;26-Jun-2019")</f>
        <v>139409;INF109KB1WI8;-;ICICI Prudential India Recovery Fund - Series 7 Dividend Option;11.35;26-Jun-2019</v>
      </c>
      <c r="B10613" s="1"/>
    </row>
    <row r="10614">
      <c r="A10614" s="1" t="str">
        <f>IFERROR(__xludf.DUMMYFUNCTION("""COMPUTED_VALUE"""),"124842;INF109KB1J57;-;ICICI Prudential Value Fund - Series 1 - Direct Dividend;11.43;31-Dec-2018")</f>
        <v>124842;INF109KB1J57;-;ICICI Prudential Value Fund - Series 1 - Direct Dividend;11.43;31-Dec-2018</v>
      </c>
      <c r="B10614" s="1"/>
    </row>
    <row r="10615">
      <c r="A10615" s="1" t="str">
        <f>IFERROR(__xludf.DUMMYFUNCTION("""COMPUTED_VALUE"""),"124843;INF109KB1J40;-;ICICI Prudential Value Fund - Series 1 -Dividend;10.42;31-Dec-2018")</f>
        <v>124843;INF109KB1J40;-;ICICI Prudential Value Fund - Series 1 -Dividend;10.42;31-Dec-2018</v>
      </c>
      <c r="B10615" s="1"/>
    </row>
    <row r="10616">
      <c r="A10616" s="1" t="str">
        <f>IFERROR(__xludf.DUMMYFUNCTION("""COMPUTED_VALUE"""),"140435;INF109KB1L87;-;ICICI Prudential Value Fund - Series 10 - Cumulative Option;11.89;13-Jan-2020")</f>
        <v>140435;INF109KB1L87;-;ICICI Prudential Value Fund - Series 10 - Cumulative Option;11.89;13-Jan-2020</v>
      </c>
      <c r="B10616" s="1"/>
    </row>
    <row r="10617">
      <c r="A10617" s="1" t="str">
        <f>IFERROR(__xludf.DUMMYFUNCTION("""COMPUTED_VALUE"""),"140433;INF109KB1M03;-;ICICI Prudential Value Fund - Series 10 - Direct Plan - Cumulative Option;12.32;13-Jan-2020")</f>
        <v>140433;INF109KB1M03;-;ICICI Prudential Value Fund - Series 10 - Direct Plan - Cumulative Option;12.32;13-Jan-2020</v>
      </c>
      <c r="B10617" s="1"/>
    </row>
    <row r="10618">
      <c r="A10618" s="1" t="str">
        <f>IFERROR(__xludf.DUMMYFUNCTION("""COMPUTED_VALUE"""),"140436;INF109KB1M11;-;ICICI Prudential Value Fund - Series 10 - Direct Plan - Dividend Option;10.91;13-Jan-2020")</f>
        <v>140436;INF109KB1M11;-;ICICI Prudential Value Fund - Series 10 - Direct Plan - Dividend Option;10.91;13-Jan-2020</v>
      </c>
      <c r="B10618" s="1"/>
    </row>
    <row r="10619">
      <c r="A10619" s="1" t="str">
        <f>IFERROR(__xludf.DUMMYFUNCTION("""COMPUTED_VALUE"""),"140434;INF109KB1L95;-;ICICI Prudential Value Fund - Series 10 - Dividend Option;10.50;13-Jan-2020")</f>
        <v>140434;INF109KB1L95;-;ICICI Prudential Value Fund - Series 10 - Dividend Option;10.50;13-Jan-2020</v>
      </c>
      <c r="B10619" s="1"/>
    </row>
    <row r="10620">
      <c r="A10620" s="1" t="str">
        <f>IFERROR(__xludf.DUMMYFUNCTION("""COMPUTED_VALUE"""),"140500;INF109KB1M60;-;ICICI Prudential Value Fund - Series 11 - Cumulative Option;13.09;29-Jan-2020")</f>
        <v>140500;INF109KB1M60;-;ICICI Prudential Value Fund - Series 11 - Cumulative Option;13.09;29-Jan-2020</v>
      </c>
      <c r="B10620" s="1"/>
    </row>
    <row r="10621">
      <c r="A10621" s="1" t="str">
        <f>IFERROR(__xludf.DUMMYFUNCTION("""COMPUTED_VALUE"""),"140502;INF109KB1M86;-;ICICI Prudential Value Fund - Series 11 - Direct Plan - Cumulative Option;13.54;29-Jan-2020")</f>
        <v>140502;INF109KB1M86;-;ICICI Prudential Value Fund - Series 11 - Direct Plan - Cumulative Option;13.54;29-Jan-2020</v>
      </c>
      <c r="B10621" s="1"/>
    </row>
    <row r="10622">
      <c r="A10622" s="1" t="str">
        <f>IFERROR(__xludf.DUMMYFUNCTION("""COMPUTED_VALUE"""),"140503;INF109KB1M94;-;ICICI Prudential Value Fund - Series 11 - Direct Plan - Dividend Option;11.69;29-Jan-2020")</f>
        <v>140503;INF109KB1M94;-;ICICI Prudential Value Fund - Series 11 - Direct Plan - Dividend Option;11.69;29-Jan-2020</v>
      </c>
      <c r="B10622" s="1"/>
    </row>
    <row r="10623">
      <c r="A10623" s="1" t="str">
        <f>IFERROR(__xludf.DUMMYFUNCTION("""COMPUTED_VALUE"""),"140501;INF109KB1M78;-;ICICI Prudential Value Fund - Series 11 - Dividend Option;11.27;29-Jan-2020")</f>
        <v>140501;INF109KB1M78;-;ICICI Prudential Value Fund - Series 11 - Dividend Option;11.27;29-Jan-2020</v>
      </c>
      <c r="B10623" s="1"/>
    </row>
    <row r="10624">
      <c r="A10624" s="1" t="str">
        <f>IFERROR(__xludf.DUMMYFUNCTION("""COMPUTED_VALUE"""),"141108;INF109KB1X91;-;ICICI Prudential Value Fund - Series 12 - Direct Plan - Dividend Option;12.21;05-Jan-2021")</f>
        <v>141108;INF109KB1X91;-;ICICI Prudential Value Fund - Series 12 - Direct Plan - Dividend Option;12.21;05-Jan-2021</v>
      </c>
      <c r="B10624" s="1"/>
    </row>
    <row r="10625">
      <c r="A10625" s="1" t="str">
        <f>IFERROR(__xludf.DUMMYFUNCTION("""COMPUTED_VALUE"""),"141110;INF109KB1X75;-;ICICI Prudential Value Fund - Series 12 - Dividend Option;11.68;05-Jan-2021")</f>
        <v>141110;INF109KB1X75;-;ICICI Prudential Value Fund - Series 12 - Dividend Option;11.68;05-Jan-2021</v>
      </c>
      <c r="B10625" s="1"/>
    </row>
    <row r="10626">
      <c r="A10626" s="1" t="str">
        <f>IFERROR(__xludf.DUMMYFUNCTION("""COMPUTED_VALUE"""),"141286;INF109KB13C8;-;ICICI Prudential Value Fund - Series 13 - Direct Plan - Dividend Option;11.95;04-Jan-2021")</f>
        <v>141286;INF109KB13C8;-;ICICI Prudential Value Fund - Series 13 - Direct Plan - Dividend Option;11.95;04-Jan-2021</v>
      </c>
      <c r="B10626" s="1"/>
    </row>
    <row r="10627">
      <c r="A10627" s="1" t="str">
        <f>IFERROR(__xludf.DUMMYFUNCTION("""COMPUTED_VALUE"""),"141285;INF109KB11C2;-;ICICI Prudential Value Fund - Series 13 - Dividend Option;11.46;04-Jan-2021")</f>
        <v>141285;INF109KB11C2;-;ICICI Prudential Value Fund - Series 13 - Dividend Option;11.46;04-Jan-2021</v>
      </c>
      <c r="B10627" s="1"/>
    </row>
    <row r="10628">
      <c r="A10628" s="1" t="str">
        <f>IFERROR(__xludf.DUMMYFUNCTION("""COMPUTED_VALUE"""),"141558;INF109KB16J6;-;ICICI Prudential Value Fund - Series 14 - Cumulative Option;12.39;02-Feb-2021")</f>
        <v>141558;INF109KB16J6;-;ICICI Prudential Value Fund - Series 14 - Cumulative Option;12.39;02-Feb-2021</v>
      </c>
      <c r="B10628" s="1"/>
    </row>
    <row r="10629">
      <c r="A10629" s="1" t="str">
        <f>IFERROR(__xludf.DUMMYFUNCTION("""COMPUTED_VALUE"""),"141559;INF109KB18J2;-;ICICI Prudential Value Fund - Series 14 - Direct Plan - Cumulative Option;12.99;02-Feb-2021")</f>
        <v>141559;INF109KB18J2;-;ICICI Prudential Value Fund - Series 14 - Direct Plan - Cumulative Option;12.99;02-Feb-2021</v>
      </c>
      <c r="B10629" s="1"/>
    </row>
    <row r="10630">
      <c r="A10630" s="1" t="str">
        <f>IFERROR(__xludf.DUMMYFUNCTION("""COMPUTED_VALUE"""),"141427;INF109KB19J0;-;ICICI Prudential Value Fund - Series 14 - Direct Plan - Dividend Option;12.39;02-Feb-2021")</f>
        <v>141427;INF109KB19J0;-;ICICI Prudential Value Fund - Series 14 - Direct Plan - Dividend Option;12.39;02-Feb-2021</v>
      </c>
      <c r="B10630" s="1"/>
    </row>
    <row r="10631">
      <c r="A10631" s="1" t="str">
        <f>IFERROR(__xludf.DUMMYFUNCTION("""COMPUTED_VALUE"""),"141426;INF109KB17J4;-;ICICI Prudential Value Fund - Series 14 - Dividend Option;11.81;02-Feb-2021")</f>
        <v>141426;INF109KB17J4;-;ICICI Prudential Value Fund - Series 14 - Dividend Option;11.81;02-Feb-2021</v>
      </c>
      <c r="B10631" s="1"/>
    </row>
    <row r="10632">
      <c r="A10632" s="1" t="str">
        <f>IFERROR(__xludf.DUMMYFUNCTION("""COMPUTED_VALUE"""),"141601;INF109KB16S7;-;ICICI Prudential Value Fund - Series 15 - Cumulative Option;12.70;04-Feb-2021")</f>
        <v>141601;INF109KB16S7;-;ICICI Prudential Value Fund - Series 15 - Cumulative Option;12.70;04-Feb-2021</v>
      </c>
      <c r="B10632" s="1"/>
    </row>
    <row r="10633">
      <c r="A10633" s="1" t="str">
        <f>IFERROR(__xludf.DUMMYFUNCTION("""COMPUTED_VALUE"""),"141604;INF109KB18S3;-;ICICI Prudential Value Fund - Series 15 - Direct Plan - Cumulative Option;13.18;04-Feb-2021")</f>
        <v>141604;INF109KB18S3;-;ICICI Prudential Value Fund - Series 15 - Direct Plan - Cumulative Option;13.18;04-Feb-2021</v>
      </c>
      <c r="B10633" s="1"/>
    </row>
    <row r="10634">
      <c r="A10634" s="1" t="str">
        <f>IFERROR(__xludf.DUMMYFUNCTION("""COMPUTED_VALUE"""),"141602;INF109KB19S1;-;ICICI Prudential Value Fund - Series 15 - Direct Plan - Dividend Option;12.70;04-Feb-2021")</f>
        <v>141602;INF109KB19S1;-;ICICI Prudential Value Fund - Series 15 - Direct Plan - Dividend Option;12.70;04-Feb-2021</v>
      </c>
      <c r="B10634" s="1"/>
    </row>
    <row r="10635">
      <c r="A10635" s="1" t="str">
        <f>IFERROR(__xludf.DUMMYFUNCTION("""COMPUTED_VALUE"""),"141603;INF109KB17S5;-;ICICI Prudential Value Fund - Series 15 - Dividend Option;12.39;04-Feb-2021")</f>
        <v>141603;INF109KB17S5;-;ICICI Prudential Value Fund - Series 15 - Dividend Option;12.39;04-Feb-2021</v>
      </c>
      <c r="B10635" s="1"/>
    </row>
    <row r="10636">
      <c r="A10636" s="1" t="str">
        <f>IFERROR(__xludf.DUMMYFUNCTION("""COMPUTED_VALUE"""),"141677;INF109KB15T7;-;ICICI Prudential Value Fund - Series 16 - Cumulative Option;12.52;02-Mar-2021")</f>
        <v>141677;INF109KB15T7;-;ICICI Prudential Value Fund - Series 16 - Cumulative Option;12.52;02-Mar-2021</v>
      </c>
      <c r="B10636" s="1"/>
    </row>
    <row r="10637">
      <c r="A10637" s="1" t="str">
        <f>IFERROR(__xludf.DUMMYFUNCTION("""COMPUTED_VALUE"""),"141678;INF109KB17T3;-;ICICI Prudential Value Fund - Series 16 - Direct Plan - Cumulative Option;12.93;02-Mar-2021")</f>
        <v>141678;INF109KB17T3;-;ICICI Prudential Value Fund - Series 16 - Direct Plan - Cumulative Option;12.93;02-Mar-2021</v>
      </c>
      <c r="B10637" s="1"/>
    </row>
    <row r="10638">
      <c r="A10638" s="1" t="str">
        <f>IFERROR(__xludf.DUMMYFUNCTION("""COMPUTED_VALUE"""),"141679;INF109KB18T1;-;ICICI Prudential Value Fund - Series 16 - Direct Plan - Dividend Option;12.32;02-Mar-2021")</f>
        <v>141679;INF109KB18T1;-;ICICI Prudential Value Fund - Series 16 - Direct Plan - Dividend Option;12.32;02-Mar-2021</v>
      </c>
      <c r="B10638" s="1"/>
    </row>
    <row r="10639">
      <c r="A10639" s="1" t="str">
        <f>IFERROR(__xludf.DUMMYFUNCTION("""COMPUTED_VALUE"""),"141676;INF109KB16T5;-;ICICI Prudential Value Fund - Series 16 - Dividend Option;12.01;02-Mar-2021")</f>
        <v>141676;INF109KB16T5;-;ICICI Prudential Value Fund - Series 16 - Dividend Option;12.01;02-Mar-2021</v>
      </c>
      <c r="B10639" s="1"/>
    </row>
    <row r="10640">
      <c r="A10640" s="1" t="str">
        <f>IFERROR(__xludf.DUMMYFUNCTION("""COMPUTED_VALUE"""),"141790;INF109KB11W0;-;ICICI Prudential Value Fund - Series 17 - Cumulative Option;12.90;09-Apr-2021")</f>
        <v>141790;INF109KB11W0;-;ICICI Prudential Value Fund - Series 17 - Cumulative Option;12.90;09-Apr-2021</v>
      </c>
      <c r="B10640" s="1"/>
    </row>
    <row r="10641">
      <c r="A10641" s="1" t="str">
        <f>IFERROR(__xludf.DUMMYFUNCTION("""COMPUTED_VALUE"""),"141788;INF109KB19V5;-;ICICI Prudential Value Fund - Series 17 - Direct Plan - Cumulative Option;13.36;09-Apr-2021")</f>
        <v>141788;INF109KB19V5;-;ICICI Prudential Value Fund - Series 17 - Direct Plan - Cumulative Option;13.36;09-Apr-2021</v>
      </c>
      <c r="B10641" s="1"/>
    </row>
    <row r="10642">
      <c r="A10642" s="1" t="str">
        <f>IFERROR(__xludf.DUMMYFUNCTION("""COMPUTED_VALUE"""),"141787;INF109KB10W2;-;ICICI Prudential Value Fund - Series 17 - Direct Plan - IDCW Option;13.04;09-Apr-2021")</f>
        <v>141787;INF109KB10W2;-;ICICI Prudential Value Fund - Series 17 - Direct Plan - IDCW Option;13.04;09-Apr-2021</v>
      </c>
      <c r="B10642" s="1"/>
    </row>
    <row r="10643">
      <c r="A10643" s="1" t="str">
        <f>IFERROR(__xludf.DUMMYFUNCTION("""COMPUTED_VALUE"""),"141789;INF109KB12W8;-;ICICI Prudential Value Fund - Series 17 - IDCW Option;12.59;09-Apr-2021")</f>
        <v>141789;INF109KB12W8;-;ICICI Prudential Value Fund - Series 17 - IDCW Option;12.59;09-Apr-2021</v>
      </c>
      <c r="B10643" s="1"/>
    </row>
    <row r="10644">
      <c r="A10644" s="1" t="str">
        <f>IFERROR(__xludf.DUMMYFUNCTION("""COMPUTED_VALUE"""),"141879;INF109KB11Y6;-;ICICI Prudential Value Fund - Series 18 - Cumulative Option;14.75;17-May-2021")</f>
        <v>141879;INF109KB11Y6;-;ICICI Prudential Value Fund - Series 18 - Cumulative Option;14.75;17-May-2021</v>
      </c>
      <c r="B10644" s="1"/>
    </row>
    <row r="10645">
      <c r="A10645" s="1" t="str">
        <f>IFERROR(__xludf.DUMMYFUNCTION("""COMPUTED_VALUE"""),"141882;INF109KB13Y2;-;ICICI Prudential Value Fund - Series 18 - Direct Plan - Cumulative Option;15.23;17-May-2021")</f>
        <v>141882;INF109KB13Y2;-;ICICI Prudential Value Fund - Series 18 - Direct Plan - Cumulative Option;15.23;17-May-2021</v>
      </c>
      <c r="B10645" s="1"/>
    </row>
    <row r="10646">
      <c r="A10646" s="1" t="str">
        <f>IFERROR(__xludf.DUMMYFUNCTION("""COMPUTED_VALUE"""),"141880;INF109KB14Y0;-;ICICI Prudential Value Fund - Series 18 - Direct Plan - IDCW Option;14.87;17-May-2021")</f>
        <v>141880;INF109KB14Y0;-;ICICI Prudential Value Fund - Series 18 - Direct Plan - IDCW Option;14.87;17-May-2021</v>
      </c>
      <c r="B10646" s="1"/>
    </row>
    <row r="10647">
      <c r="A10647" s="1" t="str">
        <f>IFERROR(__xludf.DUMMYFUNCTION("""COMPUTED_VALUE"""),"141881;INF109KB12Y4;-;ICICI Prudential Value Fund - Series 18 - IDCW Option;14.41;17-May-2021")</f>
        <v>141881;INF109KB12Y4;-;ICICI Prudential Value Fund - Series 18 - IDCW Option;14.41;17-May-2021</v>
      </c>
      <c r="B10647" s="1"/>
    </row>
    <row r="10648">
      <c r="A10648" s="1" t="str">
        <f>IFERROR(__xludf.DUMMYFUNCTION("""COMPUTED_VALUE"""),"142071;INF109KB16Z2;-;ICICI Prudential Value Fund - Series 19 - Cumulative Option;14.45;24-Jun-2021")</f>
        <v>142071;INF109KB16Z2;-;ICICI Prudential Value Fund - Series 19 - Cumulative Option;14.45;24-Jun-2021</v>
      </c>
      <c r="B10648" s="1"/>
    </row>
    <row r="10649">
      <c r="A10649" s="1" t="str">
        <f>IFERROR(__xludf.DUMMYFUNCTION("""COMPUTED_VALUE"""),"142072;INF109KB18Z8;-;ICICI Prudential Value Fund - Series 19 - Direct Plan - Cumulative Option;14.94;24-Jun-2021")</f>
        <v>142072;INF109KB18Z8;-;ICICI Prudential Value Fund - Series 19 - Direct Plan - Cumulative Option;14.94;24-Jun-2021</v>
      </c>
      <c r="B10649" s="1"/>
    </row>
    <row r="10650">
      <c r="A10650" s="1" t="str">
        <f>IFERROR(__xludf.DUMMYFUNCTION("""COMPUTED_VALUE"""),"142073;INF109KB19Z6;-;ICICI Prudential Value Fund - Series 19 - Direct Plan - IDCW Option;14.94;24-Jun-2021")</f>
        <v>142073;INF109KB19Z6;-;ICICI Prudential Value Fund - Series 19 - Direct Plan - IDCW Option;14.94;24-Jun-2021</v>
      </c>
      <c r="B10650" s="1"/>
    </row>
    <row r="10651">
      <c r="A10651" s="1" t="str">
        <f>IFERROR(__xludf.DUMMYFUNCTION("""COMPUTED_VALUE"""),"142074;INF109KB17Z0;-;ICICI Prudential Value Fund - Series 19 - IDCW Option;14.45;24-Jun-2021")</f>
        <v>142074;INF109KB17Z0;-;ICICI Prudential Value Fund - Series 19 - IDCW Option;14.45;24-Jun-2021</v>
      </c>
      <c r="B10651" s="1"/>
    </row>
    <row r="10652">
      <c r="A10652" s="1" t="str">
        <f>IFERROR(__xludf.DUMMYFUNCTION("""COMPUTED_VALUE"""),"125410;INF109KB1L38;-;ICICI Prudential Value Fund - Series 2 - Direct Dividend;11.51;31-Dec-2018")</f>
        <v>125410;INF109KB1L38;-;ICICI Prudential Value Fund - Series 2 - Direct Dividend;11.51;31-Dec-2018</v>
      </c>
      <c r="B10652" s="1"/>
    </row>
    <row r="10653">
      <c r="A10653" s="1" t="str">
        <f>IFERROR(__xludf.DUMMYFUNCTION("""COMPUTED_VALUE"""),"125411;INF109KB1L20;-;ICICI Prudential Value Fund - Series 2 - Dividend;10.48;31-Dec-2018")</f>
        <v>125411;INF109KB1L20;-;ICICI Prudential Value Fund - Series 2 - Dividend;10.48;31-Dec-2018</v>
      </c>
      <c r="B10653" s="1"/>
    </row>
    <row r="10654">
      <c r="A10654" s="1" t="str">
        <f>IFERROR(__xludf.DUMMYFUNCTION("""COMPUTED_VALUE"""),"142288;INF109KC1333;-;ICICI Prudential Value Fund - Series 20 - Cumulative Option;13.43;22-Jul-2021")</f>
        <v>142288;INF109KC1333;-;ICICI Prudential Value Fund - Series 20 - Cumulative Option;13.43;22-Jul-2021</v>
      </c>
      <c r="B10654" s="1"/>
    </row>
    <row r="10655">
      <c r="A10655" s="1" t="str">
        <f>IFERROR(__xludf.DUMMYFUNCTION("""COMPUTED_VALUE"""),"142289;INF109KC1358;-;ICICI Prudential Value Fund - Series 20 - Direct Plan - Cumulative Option;13.78;22-Jul-2021")</f>
        <v>142289;INF109KC1358;-;ICICI Prudential Value Fund - Series 20 - Direct Plan - Cumulative Option;13.78;22-Jul-2021</v>
      </c>
      <c r="B10655" s="1"/>
    </row>
    <row r="10656">
      <c r="A10656" s="1" t="str">
        <f>IFERROR(__xludf.DUMMYFUNCTION("""COMPUTED_VALUE"""),"142291;INF109KC1366;-;ICICI Prudential Value Fund - Series 20 - Direct Plan - IDCW Option;13.78;22-Jul-2021")</f>
        <v>142291;INF109KC1366;-;ICICI Prudential Value Fund - Series 20 - Direct Plan - IDCW Option;13.78;22-Jul-2021</v>
      </c>
      <c r="B10656" s="1"/>
    </row>
    <row r="10657">
      <c r="A10657" s="1" t="str">
        <f>IFERROR(__xludf.DUMMYFUNCTION("""COMPUTED_VALUE"""),"142290;INF109KC1341;-;ICICI Prudential Value Fund - Series 20 - IDCW Option;13.43;22-Jul-2021")</f>
        <v>142290;INF109KC1341;-;ICICI Prudential Value Fund - Series 20 - IDCW Option;13.43;22-Jul-2021</v>
      </c>
      <c r="B10657" s="1"/>
    </row>
    <row r="10658">
      <c r="A10658" s="1" t="str">
        <f>IFERROR(__xludf.DUMMYFUNCTION("""COMPUTED_VALUE"""),"127628;INF109KA1OE5;-;ICICI Prudential Value Fund - Series 3 - Direct Dividend;11.48;25-Mar-2019")</f>
        <v>127628;INF109KA1OE5;-;ICICI Prudential Value Fund - Series 3 - Direct Dividend;11.48;25-Mar-2019</v>
      </c>
      <c r="B10658" s="1"/>
    </row>
    <row r="10659">
      <c r="A10659" s="1" t="str">
        <f>IFERROR(__xludf.DUMMYFUNCTION("""COMPUTED_VALUE"""),"127629;INF109KA1OD7;-;ICICI Prudential Value Fund - Series 3 - Dividend;10.49;25-Mar-2019")</f>
        <v>127629;INF109KA1OD7;-;ICICI Prudential Value Fund - Series 3 - Dividend;10.49;25-Mar-2019</v>
      </c>
      <c r="B10659" s="1"/>
    </row>
    <row r="10660">
      <c r="A10660" s="1" t="str">
        <f>IFERROR(__xludf.DUMMYFUNCTION("""COMPUTED_VALUE"""),"129229;INF109KA1TQ8;-;ICICI Prudential Value Fund - Series 4  Dividend;10.17;08-May-2019")</f>
        <v>129229;INF109KA1TQ8;-;ICICI Prudential Value Fund - Series 4  Dividend;10.17;08-May-2019</v>
      </c>
      <c r="B10660" s="1"/>
    </row>
    <row r="10661">
      <c r="A10661" s="1" t="str">
        <f>IFERROR(__xludf.DUMMYFUNCTION("""COMPUTED_VALUE"""),"129235;INF109KA1TP0;-;ICICI Prudential Value Fund - Series 4 Cumulative Option;21.15;08-May-2019")</f>
        <v>129235;INF109KA1TP0;-;ICICI Prudential Value Fund - Series 4 Cumulative Option;21.15;08-May-2019</v>
      </c>
      <c r="B10661" s="1"/>
    </row>
    <row r="10662">
      <c r="A10662" s="1" t="str">
        <f>IFERROR(__xludf.DUMMYFUNCTION("""COMPUTED_VALUE"""),"129234;INF109KA1TR6;-;ICICI Prudential Value Fund - Series 4 Direct Plan Cumulative Option;22.23;08-May-2019")</f>
        <v>129234;INF109KA1TR6;-;ICICI Prudential Value Fund - Series 4 Direct Plan Cumulative Option;22.23;08-May-2019</v>
      </c>
      <c r="B10662" s="1"/>
    </row>
    <row r="10663">
      <c r="A10663" s="1" t="str">
        <f>IFERROR(__xludf.DUMMYFUNCTION("""COMPUTED_VALUE"""),"129228;INF109KA1TS4;-;ICICI Prudential Value Fund - Series 4 Direct Plan Dividend;10.82;08-May-2019")</f>
        <v>129228;INF109KA1TS4;-;ICICI Prudential Value Fund - Series 4 Direct Plan Dividend;10.82;08-May-2019</v>
      </c>
      <c r="B10663" s="1"/>
    </row>
    <row r="10664">
      <c r="A10664" s="1" t="str">
        <f>IFERROR(__xludf.DUMMYFUNCTION("""COMPUTED_VALUE"""),"130987;INF109KA1J00;-;ICICI Prudential Value Fund - Series 5  Cumulative Option;14.71;12-Feb-2019")</f>
        <v>130987;INF109KA1J00;-;ICICI Prudential Value Fund - Series 5  Cumulative Option;14.71;12-Feb-2019</v>
      </c>
      <c r="B10664" s="1"/>
    </row>
    <row r="10665">
      <c r="A10665" s="1" t="str">
        <f>IFERROR(__xludf.DUMMYFUNCTION("""COMPUTED_VALUE"""),"130988;INF109KA1J26;-;ICICI Prudential Value Fund - Series 5 Direct Plan Cumulative Option;15.46;12-Feb-2019")</f>
        <v>130988;INF109KA1J26;-;ICICI Prudential Value Fund - Series 5 Direct Plan Cumulative Option;15.46;12-Feb-2019</v>
      </c>
      <c r="B10665" s="1"/>
    </row>
    <row r="10666">
      <c r="A10666" s="1" t="str">
        <f>IFERROR(__xludf.DUMMYFUNCTION("""COMPUTED_VALUE"""),"130986;INF109KA1J34;-;ICICI Prudential Value Fund - Series 5 Direct Plan Dividend Option;11.26;12-Feb-2019")</f>
        <v>130986;INF109KA1J34;-;ICICI Prudential Value Fund - Series 5 Direct Plan Dividend Option;11.26;12-Feb-2019</v>
      </c>
      <c r="B10666" s="1"/>
    </row>
    <row r="10667">
      <c r="A10667" s="1" t="str">
        <f>IFERROR(__xludf.DUMMYFUNCTION("""COMPUTED_VALUE"""),"130985;INF109KA1J18;-;ICICI Prudential Value Fund - Series 5 Dividend Option;10.59;12-Feb-2019")</f>
        <v>130985;INF109KA1J18;-;ICICI Prudential Value Fund - Series 5 Dividend Option;10.59;12-Feb-2019</v>
      </c>
      <c r="B10667" s="1"/>
    </row>
    <row r="10668">
      <c r="A10668" s="1" t="str">
        <f>IFERROR(__xludf.DUMMYFUNCTION("""COMPUTED_VALUE"""),"134192;INF109KB1557;-;ICICI Prudential Value Fund - Series 6  Cumulative Option;12.66;28-Jun-2018")</f>
        <v>134192;INF109KB1557;-;ICICI Prudential Value Fund - Series 6  Cumulative Option;12.66;28-Jun-2018</v>
      </c>
      <c r="B10668" s="1"/>
    </row>
    <row r="10669">
      <c r="A10669" s="1" t="str">
        <f>IFERROR(__xludf.DUMMYFUNCTION("""COMPUTED_VALUE"""),"134191;INF109KB1565;-;ICICI Prudential Value Fund - Series 6  Dividend Option;9.96;28-Jun-2018")</f>
        <v>134191;INF109KB1565;-;ICICI Prudential Value Fund - Series 6  Dividend Option;9.96;28-Jun-2018</v>
      </c>
      <c r="B10669" s="1"/>
    </row>
    <row r="10670">
      <c r="A10670" s="1" t="str">
        <f>IFERROR(__xludf.DUMMYFUNCTION("""COMPUTED_VALUE"""),"134189;INF109KB1573;-;ICICI Prudential Value Fund - Series 6 Direct Plan Cumulative Option;13.25;28-Jun-2018")</f>
        <v>134189;INF109KB1573;-;ICICI Prudential Value Fund - Series 6 Direct Plan Cumulative Option;13.25;28-Jun-2018</v>
      </c>
      <c r="B10670" s="1"/>
    </row>
    <row r="10671">
      <c r="A10671" s="1" t="str">
        <f>IFERROR(__xludf.DUMMYFUNCTION("""COMPUTED_VALUE"""),"134190;INF109KB1581;-;ICICI Prudential Value Fund - Series 6 Direct Plan Dividend Option;10.43;28-Jun-2018")</f>
        <v>134190;INF109KB1581;-;ICICI Prudential Value Fund - Series 6 Direct Plan Dividend Option;10.43;28-Jun-2018</v>
      </c>
      <c r="B10671" s="1"/>
    </row>
    <row r="10672">
      <c r="A10672" s="1" t="str">
        <f>IFERROR(__xludf.DUMMYFUNCTION("""COMPUTED_VALUE"""),"134657;INF109KB1EW7;-;ICICI Prudential Value Fund - Series 7 Direct Plan Dividend Option;10.98;11-Jun-2018")</f>
        <v>134657;INF109KB1EW7;-;ICICI Prudential Value Fund - Series 7 Direct Plan Dividend Option;10.98;11-Jun-2018</v>
      </c>
      <c r="B10672" s="1"/>
    </row>
    <row r="10673">
      <c r="A10673" s="1" t="str">
        <f>IFERROR(__xludf.DUMMYFUNCTION("""COMPUTED_VALUE"""),"134656;INF109KB1EU1;-;ICICI Prudential Value Fund - Series 7 Dividend Option;10.51;11-Jun-2018")</f>
        <v>134656;INF109KB1EU1;-;ICICI Prudential Value Fund - Series 7 Dividend Option;10.51;11-Jun-2018</v>
      </c>
      <c r="B10673" s="1"/>
    </row>
    <row r="10674">
      <c r="A10674" s="1" t="str">
        <f>IFERROR(__xludf.DUMMYFUNCTION("""COMPUTED_VALUE"""),"135035;INF109KC1JK0;-;ICICI Prudential Value Fund - Series 8 Direct Plan Dividend Option;10.88;24-Aug-2020")</f>
        <v>135035;INF109KC1JK0;-;ICICI Prudential Value Fund - Series 8 Direct Plan Dividend Option;10.88;24-Aug-2020</v>
      </c>
      <c r="B10674" s="1"/>
    </row>
    <row r="10675">
      <c r="A10675" s="1" t="str">
        <f>IFERROR(__xludf.DUMMYFUNCTION("""COMPUTED_VALUE"""),"135036;INF109KC1JJ2;-;ICICI Prudential Value Fund - Series 8 Dividend Option;10.17;24-Aug-2020")</f>
        <v>135036;INF109KC1JJ2;-;ICICI Prudential Value Fund - Series 8 Dividend Option;10.17;24-Aug-2020</v>
      </c>
      <c r="B10675" s="1"/>
    </row>
    <row r="10676">
      <c r="A10676" s="1" t="str">
        <f>IFERROR(__xludf.DUMMYFUNCTION("""COMPUTED_VALUE"""),"140029;INF109KB1I25;-;ICICI Prudential Value Fund - Series 9 - Cumulative Option;12.27;01-Nov-2019")</f>
        <v>140029;INF109KB1I25;-;ICICI Prudential Value Fund - Series 9 - Cumulative Option;12.27;01-Nov-2019</v>
      </c>
      <c r="B10676" s="1"/>
    </row>
    <row r="10677">
      <c r="A10677" s="1" t="str">
        <f>IFERROR(__xludf.DUMMYFUNCTION("""COMPUTED_VALUE"""),"140031;INF109KB1I41;-;ICICI Prudential Value Fund - Series 9 - Direct Plan - Cumulative Option;12.60;01-Nov-2019")</f>
        <v>140031;INF109KB1I41;-;ICICI Prudential Value Fund - Series 9 - Direct Plan - Cumulative Option;12.60;01-Nov-2019</v>
      </c>
      <c r="B10677" s="1"/>
    </row>
    <row r="10678">
      <c r="A10678" s="1" t="str">
        <f>IFERROR(__xludf.DUMMYFUNCTION("""COMPUTED_VALUE"""),"140032;INF109KB1I58;-;ICICI Prudential Value Fund - Series 9 - Direct Plan - Dividend Option;10.85;01-Nov-2019")</f>
        <v>140032;INF109KB1I58;-;ICICI Prudential Value Fund - Series 9 - Direct Plan - Dividend Option;10.85;01-Nov-2019</v>
      </c>
      <c r="B10678" s="1"/>
    </row>
    <row r="10679">
      <c r="A10679" s="1" t="str">
        <f>IFERROR(__xludf.DUMMYFUNCTION("""COMPUTED_VALUE"""),"140030;INF109KB1I33;-;ICICI Prudential Value Fund - Series 9 - Dividend Option;10.53;01-Nov-2019")</f>
        <v>140030;INF109KB1I33;-;ICICI Prudential Value Fund - Series 9 - Dividend Option;10.53;01-Nov-2019</v>
      </c>
      <c r="B10679" s="1"/>
    </row>
    <row r="10680">
      <c r="A10680" s="1"/>
      <c r="B10680" s="1"/>
    </row>
    <row r="10681">
      <c r="A10681" s="1" t="str">
        <f>IFERROR(__xludf.DUMMYFUNCTION("""COMPUTED_VALUE"""),"Kotak Mahindra Mutual Fund")</f>
        <v>Kotak Mahindra Mutual Fund</v>
      </c>
      <c r="B10681" s="1"/>
    </row>
    <row r="10682">
      <c r="A10682" s="1"/>
      <c r="B10682" s="1"/>
    </row>
    <row r="10683">
      <c r="A10683" s="1" t="str">
        <f>IFERROR(__xludf.DUMMYFUNCTION("""COMPUTED_VALUE"""),"134568;INF174K01P57;-;Kotak India Gorwth Fund - Series I - Direct Plan - Dividend;11.21277657;07-May-2018")</f>
        <v>134568;INF174K01P57;-;Kotak India Gorwth Fund - Series I - Direct Plan - Dividend;11.21277657;07-May-2018</v>
      </c>
      <c r="B10683" s="1"/>
    </row>
    <row r="10684">
      <c r="A10684" s="1" t="str">
        <f>IFERROR(__xludf.DUMMYFUNCTION("""COMPUTED_VALUE"""),"134567;INF174K01P40;-;Kotak India Gorwth Fund - Series I - Direct Plan - Growth;13.27862178;07-May-2018")</f>
        <v>134567;INF174K01P40;-;Kotak India Gorwth Fund - Series I - Direct Plan - Growth;13.27862178;07-May-2018</v>
      </c>
      <c r="B10684" s="1"/>
    </row>
    <row r="10685">
      <c r="A10685" s="1" t="str">
        <f>IFERROR(__xludf.DUMMYFUNCTION("""COMPUTED_VALUE"""),"134566;INF174K01P32;-;Kotak India Gorwth Fund - Series I - Regular Plan - Dividend;11.00627096;07-May-2018")</f>
        <v>134566;INF174K01P32;-;Kotak India Gorwth Fund - Series I - Regular Plan - Dividend;11.00627096;07-May-2018</v>
      </c>
      <c r="B10685" s="1"/>
    </row>
    <row r="10686">
      <c r="A10686" s="1" t="str">
        <f>IFERROR(__xludf.DUMMYFUNCTION("""COMPUTED_VALUE"""),"134565;INF174K01P24;-;Kotak India Gorwth Fund - Series I - Regular Plan - Growth;13.07073144;07-May-2018")</f>
        <v>134565;INF174K01P24;-;Kotak India Gorwth Fund - Series I - Regular Plan - Growth;13.07073144;07-May-2018</v>
      </c>
      <c r="B10686" s="1"/>
    </row>
    <row r="10687">
      <c r="A10687" s="1" t="str">
        <f>IFERROR(__xludf.DUMMYFUNCTION("""COMPUTED_VALUE"""),"142417;INF174KA1GD3;-;Kotak India Growth Fund Series 4 - Regular Plan- Growth option;23.564;25-Aug-2023")</f>
        <v>142417;INF174KA1GD3;-;Kotak India Growth Fund Series 4 - Regular Plan- Growth option;23.564;25-Aug-2023</v>
      </c>
      <c r="B10687" s="1"/>
    </row>
    <row r="10688">
      <c r="A10688" s="1" t="str">
        <f>IFERROR(__xludf.DUMMYFUNCTION("""COMPUTED_VALUE"""),"142418;INF174KA1GF8;-;Kotak India Growth Fund Series 4-Direct Plan - Growth Option;24.962;25-Aug-2023")</f>
        <v>142418;INF174KA1GF8;-;Kotak India Growth Fund Series 4-Direct Plan - Growth Option;24.962;25-Aug-2023</v>
      </c>
      <c r="B10688" s="1"/>
    </row>
    <row r="10689">
      <c r="A10689" s="1" t="str">
        <f>IFERROR(__xludf.DUMMYFUNCTION("""COMPUTED_VALUE"""),"142415;INF174KA1GG6;-;Kotak India Growth Fund Series 4-Direct Plan-ayout of Income Distribution cum capital withdrawal option;24.791;25-Aug-2023")</f>
        <v>142415;INF174KA1GG6;-;Kotak India Growth Fund Series 4-Direct Plan-ayout of Income Distribution cum capital withdrawal option;24.791;25-Aug-2023</v>
      </c>
      <c r="B10689" s="1"/>
    </row>
    <row r="10690">
      <c r="A10690" s="1" t="str">
        <f>IFERROR(__xludf.DUMMYFUNCTION("""COMPUTED_VALUE"""),"142416;INF174KA1GE1;-;Kotak India Growth Fund Series 4-Regular Plan-ayout of Income Distribution cum capital withdrawal option;23.565;25-Aug-2023")</f>
        <v>142416;INF174KA1GE1;-;Kotak India Growth Fund Series 4-Regular Plan-ayout of Income Distribution cum capital withdrawal option;23.565;25-Aug-2023</v>
      </c>
      <c r="B10690" s="1"/>
    </row>
    <row r="10691">
      <c r="A10691" s="1" t="str">
        <f>IFERROR(__xludf.DUMMYFUNCTION("""COMPUTED_VALUE"""),"143245;INF174K014X0;-;Kotak India Growth Fund Series 5-Direct PLan-ayout of Income Distribution cum capital withdrawal option ;14.74284682;18-May-2021")</f>
        <v>143245;INF174K014X0;-;Kotak India Growth Fund Series 5-Direct PLan-ayout of Income Distribution cum capital withdrawal option ;14.74284682;18-May-2021</v>
      </c>
      <c r="B10691" s="1"/>
    </row>
    <row r="10692">
      <c r="A10692" s="1" t="str">
        <f>IFERROR(__xludf.DUMMYFUNCTION("""COMPUTED_VALUE"""),"143244;INF174K013X2;-;Kotak India Growth Fund Series 5-Direct Plan-Growth Option;14.74283395;18-May-2021")</f>
        <v>143244;INF174K013X2;-;Kotak India Growth Fund Series 5-Direct Plan-Growth Option;14.74283395;18-May-2021</v>
      </c>
      <c r="B10692" s="1"/>
    </row>
    <row r="10693">
      <c r="A10693" s="1" t="str">
        <f>IFERROR(__xludf.DUMMYFUNCTION("""COMPUTED_VALUE"""),"143246;INF174K012X4;-;Kotak India Growth Fund Series 5-Regular Plan-ayout of Income Distribution cum capital withdrawal option ;14.6365481;18-May-2021")</f>
        <v>143246;INF174K012X4;-;Kotak India Growth Fund Series 5-Regular Plan-ayout of Income Distribution cum capital withdrawal option ;14.6365481;18-May-2021</v>
      </c>
      <c r="B10693" s="1"/>
    </row>
    <row r="10694">
      <c r="A10694" s="1" t="str">
        <f>IFERROR(__xludf.DUMMYFUNCTION("""COMPUTED_VALUE"""),"143243;INF174K011X6;-;Kotak India Growth Fund Series 5-Regular Plan-Growth Option;14.63654539;18-May-2021")</f>
        <v>143243;INF174K011X6;-;Kotak India Growth Fund Series 5-Regular Plan-Growth Option;14.63654539;18-May-2021</v>
      </c>
      <c r="B10694" s="1"/>
    </row>
    <row r="10695">
      <c r="A10695" s="1" t="str">
        <f>IFERROR(__xludf.DUMMYFUNCTION("""COMPUTED_VALUE"""),"144673;INF174KA1525;-;Kotak India Growth Fund Series 7 - Direct Plan - Growth Option;15.09747791;31-Aug-2021")</f>
        <v>144673;INF174KA1525;-;Kotak India Growth Fund Series 7 - Direct Plan - Growth Option;15.09747791;31-Aug-2021</v>
      </c>
      <c r="B10695" s="1"/>
    </row>
    <row r="10696">
      <c r="A10696" s="1" t="str">
        <f>IFERROR(__xludf.DUMMYFUNCTION("""COMPUTED_VALUE"""),"144674;INF174KA1517;-;Kotak India Growth Fund Series 7 - Regular Plan - ayout of Income Distribution cum capital withdrawal option ;14.61685259;31-Aug-2021")</f>
        <v>144674;INF174KA1517;-;Kotak India Growth Fund Series 7 - Regular Plan - ayout of Income Distribution cum capital withdrawal option ;14.61685259;31-Aug-2021</v>
      </c>
      <c r="B10696" s="1"/>
    </row>
    <row r="10697">
      <c r="A10697" s="1" t="str">
        <f>IFERROR(__xludf.DUMMYFUNCTION("""COMPUTED_VALUE"""),"144676;INF174KA1509;-;Kotak India Growth Fund Series 7 - Regular Plan - Growth Option;14.61685271;31-Aug-2021")</f>
        <v>144676;INF174KA1509;-;Kotak India Growth Fund Series 7 - Regular Plan - Growth Option;14.61685271;31-Aug-2021</v>
      </c>
      <c r="B10697" s="1"/>
    </row>
    <row r="10698">
      <c r="A10698" s="1" t="str">
        <f>IFERROR(__xludf.DUMMYFUNCTION("""COMPUTED_VALUE"""),"144675;INF174KA1533;-;Kotak India Growth Fund Series 7 -Direct Plan  -ayout of Income Distribution cum capital withdrawal option ;15.09752459;31-Aug-2021")</f>
        <v>144675;INF174KA1533;-;Kotak India Growth Fund Series 7 -Direct Plan  -ayout of Income Distribution cum capital withdrawal option ;15.09752459;31-Aug-2021</v>
      </c>
      <c r="B10698" s="1"/>
    </row>
    <row r="10699">
      <c r="A10699" s="1"/>
      <c r="B10699" s="1"/>
    </row>
    <row r="10700">
      <c r="A10700" s="1" t="str">
        <f>IFERROR(__xludf.DUMMYFUNCTION("""COMPUTED_VALUE"""),"Nippon India Mutual Fund")</f>
        <v>Nippon India Mutual Fund</v>
      </c>
      <c r="B10700" s="1"/>
    </row>
    <row r="10701">
      <c r="A10701" s="1"/>
      <c r="B10701" s="1"/>
    </row>
    <row r="10702">
      <c r="A10702" s="1" t="str">
        <f>IFERROR(__xludf.DUMMYFUNCTION("""COMPUTED_VALUE"""),"141897;INF204KB1RU7;-;Nippon India Capital Builder Fund IV - Series B - Direct Plan - Growth Option;13.8922;06-Jan-2023")</f>
        <v>141897;INF204KB1RU7;-;Nippon India Capital Builder Fund IV - Series B - Direct Plan - Growth Option;13.8922;06-Jan-2023</v>
      </c>
      <c r="B10702" s="1"/>
    </row>
    <row r="10703">
      <c r="A10703" s="1" t="str">
        <f>IFERROR(__xludf.DUMMYFUNCTION("""COMPUTED_VALUE"""),"141898;INF204KB1RV5;-;NIPPON INDIA CAPITAL BUILDER FUND IV - SERIES B - DIRECT Plan - IDCW Option;13.8922;06-Jan-2023")</f>
        <v>141898;INF204KB1RV5;-;NIPPON INDIA CAPITAL BUILDER FUND IV - SERIES B - DIRECT Plan - IDCW Option;13.8922;06-Jan-2023</v>
      </c>
      <c r="B10703" s="1"/>
    </row>
    <row r="10704">
      <c r="A10704" s="1" t="str">
        <f>IFERROR(__xludf.DUMMYFUNCTION("""COMPUTED_VALUE"""),"141895;INF204KB1RS1;-;Nippon India Capital Builder Fund IV - Series B - Growth Option;13.2980;06-Jan-2023")</f>
        <v>141895;INF204KB1RS1;-;Nippon India Capital Builder Fund IV - Series B - Growth Option;13.2980;06-Jan-2023</v>
      </c>
      <c r="B10704" s="1"/>
    </row>
    <row r="10705">
      <c r="A10705" s="1" t="str">
        <f>IFERROR(__xludf.DUMMYFUNCTION("""COMPUTED_VALUE"""),"141896;INF204KB1RT9;-;NIPPON INDIA CAPITAL BUILDER FUND IV - SERIES B - IDCW Option;13.2980;06-Jan-2023")</f>
        <v>141896;INF204KB1RT9;-;NIPPON INDIA CAPITAL BUILDER FUND IV - SERIES B - IDCW Option;13.2980;06-Jan-2023</v>
      </c>
      <c r="B10705" s="1"/>
    </row>
    <row r="10706">
      <c r="A10706" s="1" t="str">
        <f>IFERROR(__xludf.DUMMYFUNCTION("""COMPUTED_VALUE"""),"141869;INF204KB1RR3;-;Nippon India Capital Builder Fund IV- Series A- Direct Plan-Dividend Payout Option;10.3270;22-Oct-2020")</f>
        <v>141869;INF204KB1RR3;-;Nippon India Capital Builder Fund IV- Series A- Direct Plan-Dividend Payout Option;10.3270;22-Oct-2020</v>
      </c>
      <c r="B10706" s="1"/>
    </row>
    <row r="10707">
      <c r="A10707" s="1" t="str">
        <f>IFERROR(__xludf.DUMMYFUNCTION("""COMPUTED_VALUE"""),"141868;INF204KB1RQ5;-;Nippon India Capital Builder Fund IV- Series A- Direct Plan-Growth Option;10.3270;22-Oct-2020")</f>
        <v>141868;INF204KB1RQ5;-;Nippon India Capital Builder Fund IV- Series A- Direct Plan-Growth Option;10.3270;22-Oct-2020</v>
      </c>
      <c r="B10707" s="1"/>
    </row>
    <row r="10708">
      <c r="A10708" s="1" t="str">
        <f>IFERROR(__xludf.DUMMYFUNCTION("""COMPUTED_VALUE"""),"141870;INF204KB1RP7;-;Nippon India Capital Builder Fund IV- Series A- Dividend Payout Option;10.0452;22-Oct-2020")</f>
        <v>141870;INF204KB1RP7;-;Nippon India Capital Builder Fund IV- Series A- Dividend Payout Option;10.0452;22-Oct-2020</v>
      </c>
      <c r="B10708" s="1"/>
    </row>
    <row r="10709">
      <c r="A10709" s="1" t="str">
        <f>IFERROR(__xludf.DUMMYFUNCTION("""COMPUTED_VALUE"""),"141867;INF204KB1RO0;-;Nippon India Capital Builder Fund IV- Series A- Growth Option;10.0452;22-Oct-2020")</f>
        <v>141867;INF204KB1RO0;-;Nippon India Capital Builder Fund IV- Series A- Growth Option;10.0452;22-Oct-2020</v>
      </c>
      <c r="B10709" s="1"/>
    </row>
    <row r="10710">
      <c r="A10710" s="1" t="str">
        <f>IFERROR(__xludf.DUMMYFUNCTION("""COMPUTED_VALUE"""),"142006;INF204KB1ST7;-;Nippon India Capital Builder Fund IV- Series C- Direct Plan-Dividend Payout Option;11.4785;22-Mar-2021")</f>
        <v>142006;INF204KB1ST7;-;Nippon India Capital Builder Fund IV- Series C- Direct Plan-Dividend Payout Option;11.4785;22-Mar-2021</v>
      </c>
      <c r="B10710" s="1"/>
    </row>
    <row r="10711">
      <c r="A10711" s="1" t="str">
        <f>IFERROR(__xludf.DUMMYFUNCTION("""COMPUTED_VALUE"""),"142005;INF204KB1SS9;-;Nippon India Capital Builder Fund IV- Series C- Direct Plan-Growth Option;11.4785;22-Mar-2021")</f>
        <v>142005;INF204KB1SS9;-;Nippon India Capital Builder Fund IV- Series C- Direct Plan-Growth Option;11.4785;22-Mar-2021</v>
      </c>
      <c r="B10711" s="1"/>
    </row>
    <row r="10712">
      <c r="A10712" s="1" t="str">
        <f>IFERROR(__xludf.DUMMYFUNCTION("""COMPUTED_VALUE"""),"142008;INF204KB1SR1;-;Nippon India Capital Builder Fund IV- Series C- Dividend Payout Option;11.1685;22-Mar-2021")</f>
        <v>142008;INF204KB1SR1;-;Nippon India Capital Builder Fund IV- Series C- Dividend Payout Option;11.1685;22-Mar-2021</v>
      </c>
      <c r="B10712" s="1"/>
    </row>
    <row r="10713">
      <c r="A10713" s="1" t="str">
        <f>IFERROR(__xludf.DUMMYFUNCTION("""COMPUTED_VALUE"""),"142007;INF204KB1SQ3;-;Nippon India Capital Builder Fund IV- Series C- Growth Option;11.1685;22-Mar-2021")</f>
        <v>142007;INF204KB1SQ3;-;Nippon India Capital Builder Fund IV- Series C- Growth Option;11.1685;22-Mar-2021</v>
      </c>
      <c r="B10713" s="1"/>
    </row>
    <row r="10714">
      <c r="A10714" s="1" t="str">
        <f>IFERROR(__xludf.DUMMYFUNCTION("""COMPUTED_VALUE"""),"142149;INF204KB1TI8;-;Nippon India Capital Builder Fund IV- Series D- Direct Plan- Growth Option;10.6411;18-Jan-2021")</f>
        <v>142149;INF204KB1TI8;-;Nippon India Capital Builder Fund IV- Series D- Direct Plan- Growth Option;10.6411;18-Jan-2021</v>
      </c>
      <c r="B10714" s="1"/>
    </row>
    <row r="10715">
      <c r="A10715" s="1" t="str">
        <f>IFERROR(__xludf.DUMMYFUNCTION("""COMPUTED_VALUE"""),"142150;INF204KB1TJ6;-;Nippon India Capital Builder Fund IV- Series D- Direct Plan-Dividend Payout Option;10.6411;18-Jan-2021")</f>
        <v>142150;INF204KB1TJ6;-;Nippon India Capital Builder Fund IV- Series D- Direct Plan-Dividend Payout Option;10.6411;18-Jan-2021</v>
      </c>
      <c r="B10715" s="1"/>
    </row>
    <row r="10716">
      <c r="A10716" s="1" t="str">
        <f>IFERROR(__xludf.DUMMYFUNCTION("""COMPUTED_VALUE"""),"142148;INF204KB1TH0;-;Nippon India Capital Builder Fund IV- Series D- Dividend Payout Option;10.3583;18-Jan-2021")</f>
        <v>142148;INF204KB1TH0;-;Nippon India Capital Builder Fund IV- Series D- Dividend Payout Option;10.3583;18-Jan-2021</v>
      </c>
      <c r="B10716" s="1"/>
    </row>
    <row r="10717">
      <c r="A10717" s="1" t="str">
        <f>IFERROR(__xludf.DUMMYFUNCTION("""COMPUTED_VALUE"""),"142147;INF204KB1TG2;-;Nippon India Capital Builder Fund IV- Series D- Growth Option;10.3583;18-Jan-2021")</f>
        <v>142147;INF204KB1TG2;-;Nippon India Capital Builder Fund IV- Series D- Growth Option;10.3583;18-Jan-2021</v>
      </c>
      <c r="B10717" s="1"/>
    </row>
    <row r="10718">
      <c r="A10718" s="1" t="str">
        <f>IFERROR(__xludf.DUMMYFUNCTION("""COMPUTED_VALUE"""),"142452;INF204KB1UH8;-;NIPPON INDIA FIXED HORIZON FUND - XXXVI - SERIES 1 - DIRECT Plan - IDCW Option;10.0000;10-May-2021")</f>
        <v>142452;INF204KB1UH8;-;NIPPON INDIA FIXED HORIZON FUND - XXXVI - SERIES 1 - DIRECT Plan - IDCW Option;10.0000;10-May-2021</v>
      </c>
      <c r="B10718" s="1"/>
    </row>
    <row r="10719">
      <c r="A10719" s="1" t="str">
        <f>IFERROR(__xludf.DUMMYFUNCTION("""COMPUTED_VALUE"""),"142453;INF204KB1UF2;-;NIPPON INDIA FIXED HORIZON FUND - XXXVI - SERIES 1 - IDCW Option;10.0000;10-May-2021")</f>
        <v>142453;INF204KB1UF2;-;NIPPON INDIA FIXED HORIZON FUND - XXXVI - SERIES 1 - IDCW Option;10.0000;10-May-2021</v>
      </c>
      <c r="B10719" s="1"/>
    </row>
    <row r="10720">
      <c r="A10720" s="1" t="str">
        <f>IFERROR(__xludf.DUMMYFUNCTION("""COMPUTED_VALUE"""),"142451;INF204KB1UG0;-;Nippon India Fixed Horizon Fund XXXVI- Series 1- Direct Plan-Growth Option;12.6864;10-May-2021")</f>
        <v>142451;INF204KB1UG0;-;Nippon India Fixed Horizon Fund XXXVI- Series 1- Direct Plan-Growth Option;12.6864;10-May-2021</v>
      </c>
      <c r="B10720" s="1"/>
    </row>
    <row r="10721">
      <c r="A10721" s="1" t="str">
        <f>IFERROR(__xludf.DUMMYFUNCTION("""COMPUTED_VALUE"""),"142454;INF204KB1UE5;-;Nippon India Fixed Horizon Fund XXXVI- Series 1- Growth Option;12.6440;10-May-2021")</f>
        <v>142454;INF204KB1UE5;-;Nippon India Fixed Horizon Fund XXXVI- Series 1- Growth Option;12.6440;10-May-2021</v>
      </c>
      <c r="B10721" s="1"/>
    </row>
    <row r="10722">
      <c r="A10722" s="1" t="str">
        <f>IFERROR(__xludf.DUMMYFUNCTION("""COMPUTED_VALUE"""),"144891;INF204KB1I57;-;NIPPON INDIA - INDIA OPPORTUNITIES FUND - SERIES A - DIRECT Plan - IDCW Option;16.5970;31-Jan-2022")</f>
        <v>144891;INF204KB1I57;-;NIPPON INDIA - INDIA OPPORTUNITIES FUND - SERIES A - DIRECT Plan - IDCW Option;16.5970;31-Jan-2022</v>
      </c>
      <c r="B10722" s="1"/>
    </row>
    <row r="10723">
      <c r="A10723" s="1" t="str">
        <f>IFERROR(__xludf.DUMMYFUNCTION("""COMPUTED_VALUE"""),"144890;INF204KB1I32;-;NIPPON INDIA - INDIA OPPORTUNITIES FUND - SERIES A - IDCW Option;16.0652;31-Jan-2022")</f>
        <v>144890;INF204KB1I32;-;NIPPON INDIA - INDIA OPPORTUNITIES FUND - SERIES A - IDCW Option;16.0652;31-Jan-2022</v>
      </c>
      <c r="B10723" s="1"/>
    </row>
    <row r="10724">
      <c r="A10724" s="1" t="str">
        <f>IFERROR(__xludf.DUMMYFUNCTION("""COMPUTED_VALUE"""),"144889;INF204KB1I40;-;Nippon India India Opportunities Fund - Series A - Direct Plan - Growth Option;16.5970;31-Jan-2022")</f>
        <v>144889;INF204KB1I40;-;Nippon India India Opportunities Fund - Series A - Direct Plan - Growth Option;16.5970;31-Jan-2022</v>
      </c>
      <c r="B10724" s="1"/>
    </row>
    <row r="10725">
      <c r="A10725" s="1" t="str">
        <f>IFERROR(__xludf.DUMMYFUNCTION("""COMPUTED_VALUE"""),"144888;INF204KB1I24;-;Nippon India India Opportunities Fund - Series A - Growth Option;16.0652;31-Jan-2022")</f>
        <v>144888;INF204KB1I24;-;Nippon India India Opportunities Fund - Series A - Growth Option;16.0652;31-Jan-2022</v>
      </c>
      <c r="B10725" s="1"/>
    </row>
    <row r="10726">
      <c r="A10726" s="1" t="str">
        <f>IFERROR(__xludf.DUMMYFUNCTION("""COMPUTED_VALUE"""),"133311;INF204KA1ZJ4;-;Reliance Capital Builder Fund II - Series B - Direct Plan - Dividend Payout Option;13.8329;30-Apr-2019")</f>
        <v>133311;INF204KA1ZJ4;-;Reliance Capital Builder Fund II - Series B - Direct Plan - Dividend Payout Option;13.8329;30-Apr-2019</v>
      </c>
      <c r="B10726" s="1"/>
    </row>
    <row r="10727">
      <c r="A10727" s="1" t="str">
        <f>IFERROR(__xludf.DUMMYFUNCTION("""COMPUTED_VALUE"""),"133310;INF204KA1ZI6;-;Reliance Capital Builder Fund II - Series B - Direct Plan - Growth Option;13.8329;30-Apr-2019")</f>
        <v>133310;INF204KA1ZI6;-;Reliance Capital Builder Fund II - Series B - Direct Plan - Growth Option;13.8329;30-Apr-2019</v>
      </c>
      <c r="B10727" s="1"/>
    </row>
    <row r="10728">
      <c r="A10728" s="1" t="str">
        <f>IFERROR(__xludf.DUMMYFUNCTION("""COMPUTED_VALUE"""),"133309;INF204KA1ZH8;-;Reliance Capital Builder Fund II - Series B - Dividend Payout Option;13.0421;30-Apr-2019")</f>
        <v>133309;INF204KA1ZH8;-;Reliance Capital Builder Fund II - Series B - Dividend Payout Option;13.0421;30-Apr-2019</v>
      </c>
      <c r="B10728" s="1"/>
    </row>
    <row r="10729">
      <c r="A10729" s="1" t="str">
        <f>IFERROR(__xludf.DUMMYFUNCTION("""COMPUTED_VALUE"""),"133308;INF204KA1ZG0;-;Reliance Capital Builder Fund II - Series B - Growth Option;13.0421;30-Apr-2019")</f>
        <v>133308;INF204KA1ZG0;-;Reliance Capital Builder Fund II - Series B - Growth Option;13.0421;30-Apr-2019</v>
      </c>
      <c r="B10729" s="1"/>
    </row>
    <row r="10730">
      <c r="A10730" s="1" t="str">
        <f>IFERROR(__xludf.DUMMYFUNCTION("""COMPUTED_VALUE"""),"133883;INF204KA1F86;-;Reliance Capital Builder Fund II - Series C - Direct Plan - Dividend Payout Option;12.5434;26-Mar-2018")</f>
        <v>133883;INF204KA1F86;-;Reliance Capital Builder Fund II - Series C - Direct Plan - Dividend Payout Option;12.5434;26-Mar-2018</v>
      </c>
      <c r="B10730" s="1"/>
    </row>
    <row r="10731">
      <c r="A10731" s="1" t="str">
        <f>IFERROR(__xludf.DUMMYFUNCTION("""COMPUTED_VALUE"""),"133882;INF204KA1F78;-;Reliance Capital Builder Fund II - Series C - Direct Plan - Growth Option;12.5434;26-Mar-2018")</f>
        <v>133882;INF204KA1F78;-;Reliance Capital Builder Fund II - Series C - Direct Plan - Growth Option;12.5434;26-Mar-2018</v>
      </c>
      <c r="B10731" s="1"/>
    </row>
    <row r="10732">
      <c r="A10732" s="1" t="str">
        <f>IFERROR(__xludf.DUMMYFUNCTION("""COMPUTED_VALUE"""),"133885;INF204KA1F60;-;Reliance Capital Builder Fund II - Series C - Dividend Payout Option;12.1517;26-Mar-2018")</f>
        <v>133885;INF204KA1F60;-;Reliance Capital Builder Fund II - Series C - Dividend Payout Option;12.1517;26-Mar-2018</v>
      </c>
      <c r="B10732" s="1"/>
    </row>
    <row r="10733">
      <c r="A10733" s="1" t="str">
        <f>IFERROR(__xludf.DUMMYFUNCTION("""COMPUTED_VALUE"""),"133884;INF204KA1F52;-;Reliance Capital Builder Fund II - Series C - Growth Option;12.1517;26-Mar-2018")</f>
        <v>133884;INF204KA1F52;-;Reliance Capital Builder Fund II - Series C - Growth Option;12.1517;26-Mar-2018</v>
      </c>
      <c r="B10733" s="1"/>
    </row>
    <row r="10734">
      <c r="A10734" s="1" t="str">
        <f>IFERROR(__xludf.DUMMYFUNCTION("""COMPUTED_VALUE"""),"133131;INF204KA1YL3;-;Reliance Capital Builder Fund II- Series A- Direct Plan-Dividend Payout Option;10.0000;29-Dec-2017")</f>
        <v>133131;INF204KA1YL3;-;Reliance Capital Builder Fund II- Series A- Direct Plan-Dividend Payout Option;10.0000;29-Dec-2017</v>
      </c>
      <c r="B10734" s="1"/>
    </row>
    <row r="10735">
      <c r="A10735" s="1" t="str">
        <f>IFERROR(__xludf.DUMMYFUNCTION("""COMPUTED_VALUE"""),"133132;INF204KA1YK5;-;Reliance Capital Builder Fund II- Series A- Direct Plan-Growth Option;14.5494;29-Dec-2017")</f>
        <v>133132;INF204KA1YK5;-;Reliance Capital Builder Fund II- Series A- Direct Plan-Growth Option;14.5494;29-Dec-2017</v>
      </c>
      <c r="B10735" s="1"/>
    </row>
    <row r="10736">
      <c r="A10736" s="1" t="str">
        <f>IFERROR(__xludf.DUMMYFUNCTION("""COMPUTED_VALUE"""),"133133;INF204KA1YJ7;-;Reliance Capital Builder Fund II- Series A- Dividend Payout Option;10.0000;29-Dec-2017")</f>
        <v>133133;INF204KA1YJ7;-;Reliance Capital Builder Fund II- Series A- Dividend Payout Option;10.0000;29-Dec-2017</v>
      </c>
      <c r="B10736" s="1"/>
    </row>
    <row r="10737">
      <c r="A10737" s="1" t="str">
        <f>IFERROR(__xludf.DUMMYFUNCTION("""COMPUTED_VALUE"""),"133134;INF204KA1YI9;-;Reliance Capital Builder Fund II- Series A- Growth Option;14.2989;29-Dec-2017")</f>
        <v>133134;INF204KA1YI9;-;Reliance Capital Builder Fund II- Series A- Growth Option;14.2989;29-Dec-2017</v>
      </c>
      <c r="B10737" s="1"/>
    </row>
    <row r="10738">
      <c r="A10738" s="1" t="str">
        <f>IFERROR(__xludf.DUMMYFUNCTION("""COMPUTED_VALUE"""),"134772;INF204KA16D0;-;Reliance Capital Builder Fund III - Series A - Direct Plan - Dividend Payout Option;12.0184;29-Jun-2018")</f>
        <v>134772;INF204KA16D0;-;Reliance Capital Builder Fund III - Series A - Direct Plan - Dividend Payout Option;12.0184;29-Jun-2018</v>
      </c>
      <c r="B10738" s="1"/>
    </row>
    <row r="10739">
      <c r="A10739" s="1" t="str">
        <f>IFERROR(__xludf.DUMMYFUNCTION("""COMPUTED_VALUE"""),"134773;INF204KA15D2;-;Reliance Capital Builder Fund III - Series A - Direct Plan - Growth Option;13.3166;29-Jun-2018")</f>
        <v>134773;INF204KA15D2;-;Reliance Capital Builder Fund III - Series A - Direct Plan - Growth Option;13.3166;29-Jun-2018</v>
      </c>
      <c r="B10739" s="1"/>
    </row>
    <row r="10740">
      <c r="A10740" s="1" t="str">
        <f>IFERROR(__xludf.DUMMYFUNCTION("""COMPUTED_VALUE"""),"134775;INF204KA14D5;-;Reliance Capital Builder Fund III - Series A - Dividend Payout Option;11.5589;29-Jun-2018")</f>
        <v>134775;INF204KA14D5;-;Reliance Capital Builder Fund III - Series A - Dividend Payout Option;11.5589;29-Jun-2018</v>
      </c>
      <c r="B10740" s="1"/>
    </row>
    <row r="10741">
      <c r="A10741" s="1" t="str">
        <f>IFERROR(__xludf.DUMMYFUNCTION("""COMPUTED_VALUE"""),"134774;INF204KA13D7;-;Reliance Capital Builder Fund III - Series A - Growth Option;12.8527;29-Jun-2018")</f>
        <v>134774;INF204KA13D7;-;Reliance Capital Builder Fund III - Series A - Growth Option;12.8527;29-Jun-2018</v>
      </c>
      <c r="B10741" s="1"/>
    </row>
    <row r="10742">
      <c r="A10742" s="1" t="str">
        <f>IFERROR(__xludf.DUMMYFUNCTION("""COMPUTED_VALUE"""),"130652;INF204KA1RY0;-;Reliance Capital Builder Fund- Series A- Direct Plan- Dividend Payout Opotion;17.9036;07-Aug-2017")</f>
        <v>130652;INF204KA1RY0;-;Reliance Capital Builder Fund- Series A- Direct Plan- Dividend Payout Opotion;17.9036;07-Aug-2017</v>
      </c>
      <c r="B10742" s="1"/>
    </row>
    <row r="10743">
      <c r="A10743" s="1" t="str">
        <f>IFERROR(__xludf.DUMMYFUNCTION("""COMPUTED_VALUE"""),"130651;INF204KA1RX2;-;Reliance Capital Builder Fund- Series A- Direct Plan- Growth Option;17.9036;07-Aug-2017")</f>
        <v>130651;INF204KA1RX2;-;Reliance Capital Builder Fund- Series A- Direct Plan- Growth Option;17.9036;07-Aug-2017</v>
      </c>
      <c r="B10743" s="1"/>
    </row>
    <row r="10744">
      <c r="A10744" s="1" t="str">
        <f>IFERROR(__xludf.DUMMYFUNCTION("""COMPUTED_VALUE"""),"130650;INF204KA1RW4;-;Reliance Capital Builder Fund- Series A- Dividend Payout Option;17.4611;07-Aug-2017")</f>
        <v>130650;INF204KA1RW4;-;Reliance Capital Builder Fund- Series A- Dividend Payout Option;17.4611;07-Aug-2017</v>
      </c>
      <c r="B10744" s="1"/>
    </row>
    <row r="10745">
      <c r="A10745" s="1" t="str">
        <f>IFERROR(__xludf.DUMMYFUNCTION("""COMPUTED_VALUE"""),"130653;INF204KA1RV6;-;Reliance Capital Builder Fund- Series A- Growth Option;17.4611;07-Aug-2017")</f>
        <v>130653;INF204KA1RV6;-;Reliance Capital Builder Fund- Series A- Growth Option;17.4611;07-Aug-2017</v>
      </c>
      <c r="B10745" s="1"/>
    </row>
    <row r="10746">
      <c r="A10746" s="1" t="str">
        <f>IFERROR(__xludf.DUMMYFUNCTION("""COMPUTED_VALUE"""),"130880;INF204KA1SW2;-;Reliance Capital Builder Fund- Series B- Direct Plan- Dividend Payout Option;13.8255;01-Sep-2017")</f>
        <v>130880;INF204KA1SW2;-;Reliance Capital Builder Fund- Series B- Direct Plan- Dividend Payout Option;13.8255;01-Sep-2017</v>
      </c>
      <c r="B10746" s="1"/>
    </row>
    <row r="10747">
      <c r="A10747" s="1" t="str">
        <f>IFERROR(__xludf.DUMMYFUNCTION("""COMPUTED_VALUE"""),"130879;INF204KA1SV4;-;Reliance Capital Builder Fund- Series B- Direct Plan- Growth Opiton;13.8255;01-Sep-2017")</f>
        <v>130879;INF204KA1SV4;-;Reliance Capital Builder Fund- Series B- Direct Plan- Growth Opiton;13.8255;01-Sep-2017</v>
      </c>
      <c r="B10747" s="1"/>
    </row>
    <row r="10748">
      <c r="A10748" s="1" t="str">
        <f>IFERROR(__xludf.DUMMYFUNCTION("""COMPUTED_VALUE"""),"130881;INF204KA1SU6;-;Reliance Capital Builder Fund- Series B- Dividend Payout Option;13.2339;01-Sep-2017")</f>
        <v>130881;INF204KA1SU6;-;Reliance Capital Builder Fund- Series B- Dividend Payout Option;13.2339;01-Sep-2017</v>
      </c>
      <c r="B10748" s="1"/>
    </row>
    <row r="10749">
      <c r="A10749" s="1" t="str">
        <f>IFERROR(__xludf.DUMMYFUNCTION("""COMPUTED_VALUE"""),"130878;INF204KA1ST8;-;Reliance Capital Builder Fund- Series B- Growth Option;13.2339;01-Sep-2017")</f>
        <v>130878;INF204KA1ST8;-;Reliance Capital Builder Fund- Series B- Growth Option;13.2339;01-Sep-2017</v>
      </c>
      <c r="B10749" s="1"/>
    </row>
    <row r="10750">
      <c r="A10750" s="1" t="str">
        <f>IFERROR(__xludf.DUMMYFUNCTION("""COMPUTED_VALUE"""),"131272;INF204KA1UE6;-;Reliance Capital Builder Fund- Series C- Direct Plan- Dividend Payout Option;14.4939;09-Oct-2017")</f>
        <v>131272;INF204KA1UE6;-;Reliance Capital Builder Fund- Series C- Direct Plan- Dividend Payout Option;14.4939;09-Oct-2017</v>
      </c>
      <c r="B10750" s="1"/>
    </row>
    <row r="10751">
      <c r="A10751" s="1" t="str">
        <f>IFERROR(__xludf.DUMMYFUNCTION("""COMPUTED_VALUE"""),"131271;INF204KA1UD8;-;Reliance Capital Builder Fund- Series C- Direct Plan- Growth Option;14.4939;09-Oct-2017")</f>
        <v>131271;INF204KA1UD8;-;Reliance Capital Builder Fund- Series C- Direct Plan- Growth Option;14.4939;09-Oct-2017</v>
      </c>
      <c r="B10751" s="1"/>
    </row>
    <row r="10752">
      <c r="A10752" s="1" t="str">
        <f>IFERROR(__xludf.DUMMYFUNCTION("""COMPUTED_VALUE"""),"131269;INF204KA1UC0;-;Reliance Capital Builder Fund- Series C- Dividend Payout Option;13.8573;09-Oct-2017")</f>
        <v>131269;INF204KA1UC0;-;Reliance Capital Builder Fund- Series C- Dividend Payout Option;13.8573;09-Oct-2017</v>
      </c>
      <c r="B10752" s="1"/>
    </row>
    <row r="10753">
      <c r="A10753" s="1" t="str">
        <f>IFERROR(__xludf.DUMMYFUNCTION("""COMPUTED_VALUE"""),"131270;INF204KA1UB2;-;Reliance Capital Builder Fund- Series C- Growth Option;13.8573;09-Oct-2017")</f>
        <v>131270;INF204KA1UB2;-;Reliance Capital Builder Fund- Series C- Growth Option;13.8573;09-Oct-2017</v>
      </c>
      <c r="B10753" s="1"/>
    </row>
    <row r="10754">
      <c r="A10754" s="1" t="str">
        <f>IFERROR(__xludf.DUMMYFUNCTION("""COMPUTED_VALUE"""),"125273;INF204K018R7;-;Reliance Close Ended Equity Fund - Series A - Direct Plan - Dividend Payout Option;12.2273;04-Dec-2018")</f>
        <v>125273;INF204K018R7;-;Reliance Close Ended Equity Fund - Series A - Direct Plan - Dividend Payout Option;12.2273;04-Dec-2018</v>
      </c>
      <c r="B10754" s="1"/>
    </row>
    <row r="10755">
      <c r="A10755" s="1" t="str">
        <f>IFERROR(__xludf.DUMMYFUNCTION("""COMPUTED_VALUE"""),"125271;INF204K017R9;-;Reliance Close Ended Equity Fund - Series A - Direct Plan - Growth Option;23.8241;04-Dec-2018")</f>
        <v>125271;INF204K017R9;-;Reliance Close Ended Equity Fund - Series A - Direct Plan - Growth Option;23.8241;04-Dec-2018</v>
      </c>
      <c r="B10755" s="1"/>
    </row>
    <row r="10756">
      <c r="A10756" s="1" t="str">
        <f>IFERROR(__xludf.DUMMYFUNCTION("""COMPUTED_VALUE"""),"125272;INF204K016R1;-;Reliance Close Ended Equity Fund - Series A - Dividend Payout Option;11.2608;04-Dec-2018")</f>
        <v>125272;INF204K016R1;-;Reliance Close Ended Equity Fund - Series A - Dividend Payout Option;11.2608;04-Dec-2018</v>
      </c>
      <c r="B10756" s="1"/>
    </row>
    <row r="10757">
      <c r="A10757" s="1" t="str">
        <f>IFERROR(__xludf.DUMMYFUNCTION("""COMPUTED_VALUE"""),"125270;INF204K015R3;-;Reliance Close Ended Equity Fund - Series A - Growth Option;22.6688;04-Dec-2018")</f>
        <v>125270;INF204K015R3;-;Reliance Close Ended Equity Fund - Series A - Growth Option;22.6688;04-Dec-2018</v>
      </c>
      <c r="B10757" s="1"/>
    </row>
    <row r="10758">
      <c r="A10758" s="1" t="str">
        <f>IFERROR(__xludf.DUMMYFUNCTION("""COMPUTED_VALUE"""),"125889;INF204K012S8;-;Reliance Close Ended Equity Fund - Series B - Direct Plan - Dividend Payout Option;12.2564;01-Jan-2019")</f>
        <v>125889;INF204K012S8;-;Reliance Close Ended Equity Fund - Series B - Direct Plan - Dividend Payout Option;12.2564;01-Jan-2019</v>
      </c>
      <c r="B10758" s="1"/>
    </row>
    <row r="10759">
      <c r="A10759" s="1" t="str">
        <f>IFERROR(__xludf.DUMMYFUNCTION("""COMPUTED_VALUE"""),"125888;INF204K011S0;-;Reliance Close Ended Equity Fund - Series B - Direct Plan - Growth Option;23.8837;01-Jan-2019")</f>
        <v>125888;INF204K011S0;-;Reliance Close Ended Equity Fund - Series B - Direct Plan - Growth Option;23.8837;01-Jan-2019</v>
      </c>
      <c r="B10759" s="1"/>
    </row>
    <row r="10760">
      <c r="A10760" s="1" t="str">
        <f>IFERROR(__xludf.DUMMYFUNCTION("""COMPUTED_VALUE"""),"125890;INF204K010S2;-;Reliance Close Ended Equity Fund - Series B - Dividend Payout Option;11.2518;01-Jan-2019")</f>
        <v>125890;INF204K010S2;-;Reliance Close Ended Equity Fund - Series B - Dividend Payout Option;11.2518;01-Jan-2019</v>
      </c>
      <c r="B10760" s="1"/>
    </row>
    <row r="10761">
      <c r="A10761" s="1" t="str">
        <f>IFERROR(__xludf.DUMMYFUNCTION("""COMPUTED_VALUE"""),"125887;INF204K019R5;-;Reliance Close Ended Equity Fund - Series B - Growth Option;22.6520;01-Jan-2019")</f>
        <v>125887;INF204K019R5;-;Reliance Close Ended Equity Fund - Series B - Growth Option;22.6520;01-Jan-2019</v>
      </c>
      <c r="B10761" s="1"/>
    </row>
    <row r="10762">
      <c r="A10762" s="1" t="str">
        <f>IFERROR(__xludf.DUMMYFUNCTION("""COMPUTED_VALUE"""),"129572;INF204KA1OW1;-;Reliance Close Ended Equity Fund II- Series A- Direct Plan- Dividend Payout Option;13.6958;28-May-2019")</f>
        <v>129572;INF204KA1OW1;-;Reliance Close Ended Equity Fund II- Series A- Direct Plan- Dividend Payout Option;13.6958;28-May-2019</v>
      </c>
      <c r="B10762" s="1"/>
    </row>
    <row r="10763">
      <c r="A10763" s="1" t="str">
        <f>IFERROR(__xludf.DUMMYFUNCTION("""COMPUTED_VALUE"""),"129571;INF204KA1OV3;-;Reliance Close Ended Equity Fund II- Series A- Direct Plan- Growth Option;19.3301;28-May-2019")</f>
        <v>129571;INF204KA1OV3;-;Reliance Close Ended Equity Fund II- Series A- Direct Plan- Growth Option;19.3301;28-May-2019</v>
      </c>
      <c r="B10763" s="1"/>
    </row>
    <row r="10764">
      <c r="A10764" s="1" t="str">
        <f>IFERROR(__xludf.DUMMYFUNCTION("""COMPUTED_VALUE"""),"129573;INF204KA1OU5;-;Reliance Close Ended Equity Fund II- Series A- Dividend Payout Option;12.9136;28-May-2019")</f>
        <v>129573;INF204KA1OU5;-;Reliance Close Ended Equity Fund II- Series A- Dividend Payout Option;12.9136;28-May-2019</v>
      </c>
      <c r="B10764" s="1"/>
    </row>
    <row r="10765">
      <c r="A10765" s="1" t="str">
        <f>IFERROR(__xludf.DUMMYFUNCTION("""COMPUTED_VALUE"""),"129574;INF204KA1OT7;-;Reliance Close Ended Equity Fund II- Series A- Growth Option;18.5052;28-May-2019")</f>
        <v>129574;INF204KA1OT7;-;Reliance Close Ended Equity Fund II- Series A- Growth Option;18.5052;28-May-2019</v>
      </c>
      <c r="B10765" s="1"/>
    </row>
    <row r="10766">
      <c r="A10766" s="1"/>
      <c r="B10766" s="1"/>
    </row>
    <row r="10767">
      <c r="A10767" s="1" t="str">
        <f>IFERROR(__xludf.DUMMYFUNCTION("""COMPUTED_VALUE"""),"SBI Mutual Fund")</f>
        <v>SBI Mutual Fund</v>
      </c>
      <c r="B10767" s="1"/>
    </row>
    <row r="10768">
      <c r="A10768" s="1"/>
      <c r="B10768" s="1"/>
    </row>
    <row r="10769">
      <c r="A10769" s="1" t="str">
        <f>IFERROR(__xludf.DUMMYFUNCTION("""COMPUTED_VALUE"""),"135507;INF200KA1GP5;-;SBI EQUITY OPPORTUNITIES FUND -  SERIES IV - REGULAR PLAN - GROWTH;25.8789;25-Oct-2021")</f>
        <v>135507;INF200KA1GP5;-;SBI EQUITY OPPORTUNITIES FUND -  SERIES IV - REGULAR PLAN - GROWTH;25.8789;25-Oct-2021</v>
      </c>
      <c r="B10769" s="1"/>
    </row>
    <row r="10770">
      <c r="A10770" s="1" t="str">
        <f>IFERROR(__xludf.DUMMYFUNCTION("""COMPUTED_VALUE"""),"135506;INF200KA1GN0;-;SBI EQUITY OPPORTUNITIES FUND - SERIES IV - DIRECT PLAN - GROWTH;27.4317;25-Oct-2021")</f>
        <v>135506;INF200KA1GN0;-;SBI EQUITY OPPORTUNITIES FUND - SERIES IV - DIRECT PLAN - GROWTH;27.4317;25-Oct-2021</v>
      </c>
      <c r="B10770" s="1"/>
    </row>
    <row r="10771">
      <c r="A10771" s="1" t="str">
        <f>IFERROR(__xludf.DUMMYFUNCTION("""COMPUTED_VALUE"""),"135509;INF200KA1GO8;-;SBI Equity Opportunities Fund-Series IV - Direct Plan - Income Distribution cum Capital Withdrawal Option (IDCW);23.3145;25-Oct-2021")</f>
        <v>135509;INF200KA1GO8;-;SBI Equity Opportunities Fund-Series IV - Direct Plan - Income Distribution cum Capital Withdrawal Option (IDCW);23.3145;25-Oct-2021</v>
      </c>
      <c r="B10771" s="1"/>
    </row>
    <row r="10772">
      <c r="A10772" s="1" t="str">
        <f>IFERROR(__xludf.DUMMYFUNCTION("""COMPUTED_VALUE"""),"135508;INF200KA1GQ3;-;SBI Equity Opportunities Fund-Series IV - Regular Plan - Income Distribution cum Capital Withdrawal Option (IDCW);21.9580;25-Oct-2021")</f>
        <v>135508;INF200KA1GQ3;-;SBI Equity Opportunities Fund-Series IV - Regular Plan - Income Distribution cum Capital Withdrawal Option (IDCW);21.9580;25-Oct-2021</v>
      </c>
      <c r="B10772" s="1"/>
    </row>
    <row r="10773">
      <c r="A10773" s="1"/>
      <c r="B10773" s="1"/>
    </row>
    <row r="10774">
      <c r="A10774" s="1" t="str">
        <f>IFERROR(__xludf.DUMMYFUNCTION("""COMPUTED_VALUE"""),"Sundaram Mutual Fund")</f>
        <v>Sundaram Mutual Fund</v>
      </c>
      <c r="B10774" s="1"/>
    </row>
    <row r="10775">
      <c r="A10775" s="1"/>
      <c r="B10775" s="1"/>
    </row>
    <row r="10776">
      <c r="A10776" s="1" t="str">
        <f>IFERROR(__xludf.DUMMYFUNCTION("""COMPUTED_VALUE"""),"142533;INF903JA1CJ0;-;Sundaram Emerging Small Cap Series I Direct Plan - Growth;17.5480;09-Mar-2023")</f>
        <v>142533;INF903JA1CJ0;-;Sundaram Emerging Small Cap Series I Direct Plan - Growth;17.5480;09-Mar-2023</v>
      </c>
      <c r="B10776" s="1"/>
    </row>
    <row r="10777">
      <c r="A10777" s="1" t="str">
        <f>IFERROR(__xludf.DUMMYFUNCTION("""COMPUTED_VALUE"""),"142532;INF903JA1CK8;-;Sundaram Emerging Small Cap Series I Direct Plan - Payout of Income Distribution cum Capital Withdrawal (IDCW);17.5480;09-Mar-2023")</f>
        <v>142532;INF903JA1CK8;-;Sundaram Emerging Small Cap Series I Direct Plan - Payout of Income Distribution cum Capital Withdrawal (IDCW);17.5480;09-Mar-2023</v>
      </c>
      <c r="B10777" s="1"/>
    </row>
    <row r="10778">
      <c r="A10778" s="1" t="str">
        <f>IFERROR(__xludf.DUMMYFUNCTION("""COMPUTED_VALUE"""),"142531;INF903JA1CH4;-;Sundaram Emerging Small Cap Series I Regular Plan - Growth;16.9995;09-Mar-2023")</f>
        <v>142531;INF903JA1CH4;-;Sundaram Emerging Small Cap Series I Regular Plan - Growth;16.9995;09-Mar-2023</v>
      </c>
      <c r="B10778" s="1"/>
    </row>
    <row r="10779">
      <c r="A10779" s="1" t="str">
        <f>IFERROR(__xludf.DUMMYFUNCTION("""COMPUTED_VALUE"""),"142534;INF903JA1CI2;-;Sundaram Emerging Small Cap Series I Regular Plan - Payout of Income Distribution cum Capital Withdrawal (IDCW);16.9995;09-Mar-2023")</f>
        <v>142534;INF903JA1CI2;-;Sundaram Emerging Small Cap Series I Regular Plan - Payout of Income Distribution cum Capital Withdrawal (IDCW);16.9995;09-Mar-2023</v>
      </c>
      <c r="B10779" s="1"/>
    </row>
    <row r="10780">
      <c r="A10780" s="1" t="str">
        <f>IFERROR(__xludf.DUMMYFUNCTION("""COMPUTED_VALUE"""),"143010;INF903JA1CR3;-;Sundaram Emerging Small Cap Series II Direct Plan - Growth;18.0288;10-Apr-2023")</f>
        <v>143010;INF903JA1CR3;-;Sundaram Emerging Small Cap Series II Direct Plan - Growth;18.0288;10-Apr-2023</v>
      </c>
      <c r="B10780" s="1"/>
    </row>
    <row r="10781">
      <c r="A10781" s="1" t="str">
        <f>IFERROR(__xludf.DUMMYFUNCTION("""COMPUTED_VALUE"""),"143007;INF903JA1CS1;-;Sundaram Emerging Small Cap Series II Direct Plan - Payout of Income Distribution cum Capital Withdrawal (IDCW);18.0288;10-Apr-2023")</f>
        <v>143007;INF903JA1CS1;-;Sundaram Emerging Small Cap Series II Direct Plan - Payout of Income Distribution cum Capital Withdrawal (IDCW);18.0288;10-Apr-2023</v>
      </c>
      <c r="B10781" s="1"/>
    </row>
    <row r="10782">
      <c r="A10782" s="1" t="str">
        <f>IFERROR(__xludf.DUMMYFUNCTION("""COMPUTED_VALUE"""),"143009;INF903JA1CP7;-;Sundaram Emerging Small Cap Series II Regular Plan - Growth;17.2015;10-Apr-2023")</f>
        <v>143009;INF903JA1CP7;-;Sundaram Emerging Small Cap Series II Regular Plan - Growth;17.2015;10-Apr-2023</v>
      </c>
      <c r="B10782" s="1"/>
    </row>
    <row r="10783">
      <c r="A10783" s="1" t="str">
        <f>IFERROR(__xludf.DUMMYFUNCTION("""COMPUTED_VALUE"""),"143008;INF903JA1CQ5;-;Sundaram Emerging Small Cap Series II Regular Plan - Payout of Income Distribution cum Capital Withdrawal (IDCW);17.2015;10-Apr-2023")</f>
        <v>143008;INF903JA1CQ5;-;Sundaram Emerging Small Cap Series II Regular Plan - Payout of Income Distribution cum Capital Withdrawal (IDCW);17.2015;10-Apr-2023</v>
      </c>
      <c r="B10783" s="1"/>
    </row>
    <row r="10784">
      <c r="A10784" s="1" t="str">
        <f>IFERROR(__xludf.DUMMYFUNCTION("""COMPUTED_VALUE"""),"143226;INF903JA1DD1;-;Sundaram Emerging Small Cap Series III Direct Plan - Growth;19.8973;10-May-2023")</f>
        <v>143226;INF903JA1DD1;-;Sundaram Emerging Small Cap Series III Direct Plan - Growth;19.8973;10-May-2023</v>
      </c>
      <c r="B10784" s="1"/>
    </row>
    <row r="10785">
      <c r="A10785" s="1" t="str">
        <f>IFERROR(__xludf.DUMMYFUNCTION("""COMPUTED_VALUE"""),"143224;INF903JA1DE9;-;Sundaram Emerging Small Cap Series III Direct Plan - Payout of Income Distribution cum Capital Withdrawal (IDCW);19.5320;10-May-2023")</f>
        <v>143224;INF903JA1DE9;-;Sundaram Emerging Small Cap Series III Direct Plan - Payout of Income Distribution cum Capital Withdrawal (IDCW);19.5320;10-May-2023</v>
      </c>
      <c r="B10785" s="1"/>
    </row>
    <row r="10786">
      <c r="A10786" s="1" t="str">
        <f>IFERROR(__xludf.DUMMYFUNCTION("""COMPUTED_VALUE"""),"143225;INF903JA1DB5;-;Sundaram Emerging Small Cap Series III Regular Plan - Growth;19.1681;10-May-2023")</f>
        <v>143225;INF903JA1DB5;-;Sundaram Emerging Small Cap Series III Regular Plan - Growth;19.1681;10-May-2023</v>
      </c>
      <c r="B10786" s="1"/>
    </row>
    <row r="10787">
      <c r="A10787" s="1" t="str">
        <f>IFERROR(__xludf.DUMMYFUNCTION("""COMPUTED_VALUE"""),"143223;INF903JA1DC3;-;Sundaram Emerging Small Cap Series III Regular Plan - Payout of Income Distribution cum Capital Withdrawal (IDCW);18.8070;10-May-2023")</f>
        <v>143223;INF903JA1DC3;-;Sundaram Emerging Small Cap Series III Regular Plan - Payout of Income Distribution cum Capital Withdrawal (IDCW);18.8070;10-May-2023</v>
      </c>
      <c r="B10787" s="1"/>
    </row>
    <row r="10788">
      <c r="A10788" s="1" t="str">
        <f>IFERROR(__xludf.DUMMYFUNCTION("""COMPUTED_VALUE"""),"143506;INF903JA1DP5;-;Sundaram Emerging Small Cap Series IV Direct Plan - Growth;20.0629;12-Jun-2023")</f>
        <v>143506;INF903JA1DP5;-;Sundaram Emerging Small Cap Series IV Direct Plan - Growth;20.0629;12-Jun-2023</v>
      </c>
      <c r="B10788" s="1"/>
    </row>
    <row r="10789">
      <c r="A10789" s="1" t="str">
        <f>IFERROR(__xludf.DUMMYFUNCTION("""COMPUTED_VALUE"""),"143505;INF903JA1DQ3;-;Sundaram Emerging Small Cap Series IV Direct Plan - Payout of Income Distribution cum Capital Withdrawal (IDCW);19.3470;12-Jun-2023")</f>
        <v>143505;INF903JA1DQ3;-;Sundaram Emerging Small Cap Series IV Direct Plan - Payout of Income Distribution cum Capital Withdrawal (IDCW);19.3470;12-Jun-2023</v>
      </c>
      <c r="B10789" s="1"/>
    </row>
    <row r="10790">
      <c r="A10790" s="1" t="str">
        <f>IFERROR(__xludf.DUMMYFUNCTION("""COMPUTED_VALUE"""),"143503;INF903JA1DN0;-;Sundaram Emerging Small Cap Series IV Regular Plan - Growth;19.3103;12-Jun-2023")</f>
        <v>143503;INF903JA1DN0;-;Sundaram Emerging Small Cap Series IV Regular Plan - Growth;19.3103;12-Jun-2023</v>
      </c>
      <c r="B10790" s="1"/>
    </row>
    <row r="10791">
      <c r="A10791" s="1" t="str">
        <f>IFERROR(__xludf.DUMMYFUNCTION("""COMPUTED_VALUE"""),"143504;INF903JA1DO8;-;Sundaram Emerging Small Cap Series IV Regular Plan - Payout of Income Distribution cum Capital Withdrawal (IDCW);18.6033;12-Jun-2023")</f>
        <v>143504;INF903JA1DO8;-;Sundaram Emerging Small Cap Series IV Regular Plan - Payout of Income Distribution cum Capital Withdrawal (IDCW);18.6033;12-Jun-2023</v>
      </c>
      <c r="B10791" s="1"/>
    </row>
    <row r="10792">
      <c r="A10792" s="1" t="str">
        <f>IFERROR(__xludf.DUMMYFUNCTION("""COMPUTED_VALUE"""),"144437;INF903JA1EN8;-;Sundaram Emerging Small Cap Series V Direct Plan - Growth;21.3655;14-Aug-2023")</f>
        <v>144437;INF903JA1EN8;-;Sundaram Emerging Small Cap Series V Direct Plan - Growth;21.3655;14-Aug-2023</v>
      </c>
      <c r="B10792" s="1"/>
    </row>
    <row r="10793">
      <c r="A10793" s="1" t="str">
        <f>IFERROR(__xludf.DUMMYFUNCTION("""COMPUTED_VALUE"""),"144438;INF903JA1EO6;-;Sundaram Emerging Small Cap Series V Direct Plan - Payout of Income Distribution cum Capital Withdrawal (IDCW);20.6058;14-Aug-2023")</f>
        <v>144438;INF903JA1EO6;-;Sundaram Emerging Small Cap Series V Direct Plan - Payout of Income Distribution cum Capital Withdrawal (IDCW);20.6058;14-Aug-2023</v>
      </c>
      <c r="B10793" s="1"/>
    </row>
    <row r="10794">
      <c r="A10794" s="1" t="str">
        <f>IFERROR(__xludf.DUMMYFUNCTION("""COMPUTED_VALUE"""),"144435;INF903JA1EL2;-;Sundaram Emerging Small Cap Series V Regular Plan - Growth;20.7474;14-Aug-2023")</f>
        <v>144435;INF903JA1EL2;-;Sundaram Emerging Small Cap Series V Regular Plan - Growth;20.7474;14-Aug-2023</v>
      </c>
      <c r="B10794" s="1"/>
    </row>
    <row r="10795">
      <c r="A10795" s="1" t="str">
        <f>IFERROR(__xludf.DUMMYFUNCTION("""COMPUTED_VALUE"""),"144436;INF903JA1EM0;-;Sundaram Emerging Small Cap Series V Regular Plan - Payout of Income Distribution cum Capital Withdrawal (IDCW);19.9971;14-Aug-2023")</f>
        <v>144436;INF903JA1EM0;-;Sundaram Emerging Small Cap Series V Regular Plan - Payout of Income Distribution cum Capital Withdrawal (IDCW);19.9971;14-Aug-2023</v>
      </c>
      <c r="B10795" s="1"/>
    </row>
    <row r="10796">
      <c r="A10796" s="1" t="str">
        <f>IFERROR(__xludf.DUMMYFUNCTION("""COMPUTED_VALUE"""),"144728;INF903JA1EV1;-;Sundaram Emerging Small Cap Series VI Direct Plan - Growth;25.0838;25-Aug-2023")</f>
        <v>144728;INF903JA1EV1;-;Sundaram Emerging Small Cap Series VI Direct Plan - Growth;25.0838;25-Aug-2023</v>
      </c>
      <c r="B10796" s="1"/>
    </row>
    <row r="10797">
      <c r="A10797" s="1" t="str">
        <f>IFERROR(__xludf.DUMMYFUNCTION("""COMPUTED_VALUE"""),"144729;INF903JA1EW9;-;Sundaram Emerging Small Cap Series VI Direct Plan - Payout of Income Distribution cum Capital Withdrawal (IDCW);23.5152;25-Aug-2023")</f>
        <v>144729;INF903JA1EW9;-;Sundaram Emerging Small Cap Series VI Direct Plan - Payout of Income Distribution cum Capital Withdrawal (IDCW);23.5152;25-Aug-2023</v>
      </c>
      <c r="B10797" s="1"/>
    </row>
    <row r="10798">
      <c r="A10798" s="1" t="str">
        <f>IFERROR(__xludf.DUMMYFUNCTION("""COMPUTED_VALUE"""),"144726;INF903JA1ET5;-;Sundaram Emerging Small Cap Series VI Regular Plan - Growth;24.4052;25-Aug-2023")</f>
        <v>144726;INF903JA1ET5;-;Sundaram Emerging Small Cap Series VI Regular Plan - Growth;24.4052;25-Aug-2023</v>
      </c>
      <c r="B10798" s="1"/>
    </row>
    <row r="10799">
      <c r="A10799" s="1" t="str">
        <f>IFERROR(__xludf.DUMMYFUNCTION("""COMPUTED_VALUE"""),"144727;INF903JA1EU3;-;Sundaram Emerging Small Cap Series VI Regular Plan - Payout of Income Distribution cum Capital Withdrawal (IDCW);22.8562;25-Aug-2023")</f>
        <v>144727;INF903JA1EU3;-;Sundaram Emerging Small Cap Series VI Regular Plan - Payout of Income Distribution cum Capital Withdrawal (IDCW);22.8562;25-Aug-2023</v>
      </c>
      <c r="B10799" s="1"/>
    </row>
    <row r="10800">
      <c r="A10800" s="1" t="str">
        <f>IFERROR(__xludf.DUMMYFUNCTION("""COMPUTED_VALUE"""),"144989;INF903JA1FI5;-;Sundaram Emerging Small Cap Series VII Direct Plan - Payout of Income Distribution cum Capital Withdrawal (IDCW);23.7061;25-Aug-2023")</f>
        <v>144989;INF903JA1FI5;-;Sundaram Emerging Small Cap Series VII Direct Plan - Payout of Income Distribution cum Capital Withdrawal (IDCW);23.7061;25-Aug-2023</v>
      </c>
      <c r="B10800" s="1"/>
    </row>
    <row r="10801">
      <c r="A10801" s="1" t="str">
        <f>IFERROR(__xludf.DUMMYFUNCTION("""COMPUTED_VALUE"""),"144987;INF903JA1FF1;-;Sundaram Emerging Small Cap Series VII Regular Plan - Growth;24.7027;25-Aug-2023")</f>
        <v>144987;INF903JA1FF1;-;Sundaram Emerging Small Cap Series VII Regular Plan - Growth;24.7027;25-Aug-2023</v>
      </c>
      <c r="B10801" s="1"/>
    </row>
    <row r="10802">
      <c r="A10802" s="1" t="str">
        <f>IFERROR(__xludf.DUMMYFUNCTION("""COMPUTED_VALUE"""),"144986;INF903JA1FG9;-;Sundaram Emerging Small Cap Series VII Regular Plan - Payout of Income Distribution cum Capital Withdrawal (IDCW);23.1665;25-Aug-2023")</f>
        <v>144986;INF903JA1FG9;-;Sundaram Emerging Small Cap Series VII Regular Plan - Payout of Income Distribution cum Capital Withdrawal (IDCW);23.1665;25-Aug-2023</v>
      </c>
      <c r="B10802" s="1"/>
    </row>
    <row r="10803">
      <c r="A10803" s="1" t="str">
        <f>IFERROR(__xludf.DUMMYFUNCTION("""COMPUTED_VALUE"""),"144988;INF903JA1FH7;-;Sundaram Emerging Small Cap VII Direct Plan - Growth;25.2569;25-Aug-2023")</f>
        <v>144988;INF903JA1FH7;-;Sundaram Emerging Small Cap VII Direct Plan - Growth;25.2569;25-Aug-2023</v>
      </c>
      <c r="B10803" s="1"/>
    </row>
    <row r="10804">
      <c r="A10804" s="1" t="str">
        <f>IFERROR(__xludf.DUMMYFUNCTION("""COMPUTED_VALUE"""),"143828;INF903JA1DT7;-;Sundaram Multi Cap Fund Series I Direct Plan - Growth;17.8720;28-Jun-2023")</f>
        <v>143828;INF903JA1DT7;-;Sundaram Multi Cap Fund Series I Direct Plan - Growth;17.8720;28-Jun-2023</v>
      </c>
      <c r="B10804" s="1"/>
    </row>
    <row r="10805">
      <c r="A10805" s="1" t="str">
        <f>IFERROR(__xludf.DUMMYFUNCTION("""COMPUTED_VALUE"""),"143827;INF903JA1DU5;-;Sundaram Multi Cap Fund Series I Direct Plan - Payout of Income Distribution cum Capital Withdrawal (IDCW);16.9989;28-Jun-2023")</f>
        <v>143827;INF903JA1DU5;-;Sundaram Multi Cap Fund Series I Direct Plan - Payout of Income Distribution cum Capital Withdrawal (IDCW);16.9989;28-Jun-2023</v>
      </c>
      <c r="B10805" s="1"/>
    </row>
    <row r="10806">
      <c r="A10806" s="1" t="str">
        <f>IFERROR(__xludf.DUMMYFUNCTION("""COMPUTED_VALUE"""),"143830;INF903JA1DR1;-;Sundaram Multi Cap Fund Series I Regular Plan - Growth;17.3655;28-Jun-2023")</f>
        <v>143830;INF903JA1DR1;-;Sundaram Multi Cap Fund Series I Regular Plan - Growth;17.3655;28-Jun-2023</v>
      </c>
      <c r="B10806" s="1"/>
    </row>
    <row r="10807">
      <c r="A10807" s="1" t="str">
        <f>IFERROR(__xludf.DUMMYFUNCTION("""COMPUTED_VALUE"""),"143829;INF903JA1DS9;-;Sundaram Multi Cap Fund Series I Regular Plan - Payout of Income Distribution cum Capital Withdrawal (IDCW);16.7066;28-Jun-2023")</f>
        <v>143829;INF903JA1DS9;-;Sundaram Multi Cap Fund Series I Regular Plan - Payout of Income Distribution cum Capital Withdrawal (IDCW);16.7066;28-Jun-2023</v>
      </c>
      <c r="B10807" s="1"/>
    </row>
    <row r="10808">
      <c r="A10808" s="1" t="str">
        <f>IFERROR(__xludf.DUMMYFUNCTION("""COMPUTED_VALUE"""),"144200;INF903JA1EF4;-;Sundaram Multi Cap Fund Series II Direct Plan - Growth;18.3090;25-Jul-2023")</f>
        <v>144200;INF903JA1EF4;-;Sundaram Multi Cap Fund Series II Direct Plan - Growth;18.3090;25-Jul-2023</v>
      </c>
      <c r="B10808" s="1"/>
    </row>
    <row r="10809">
      <c r="A10809" s="1" t="str">
        <f>IFERROR(__xludf.DUMMYFUNCTION("""COMPUTED_VALUE"""),"144199;INF903JA1EG2;-;Sundaram Multi Cap Fund Series II Direct Plan - Payout of Income Distribution cum Capital Withdrawal (IDCW);17.4254;25-Jul-2023")</f>
        <v>144199;INF903JA1EG2;-;Sundaram Multi Cap Fund Series II Direct Plan - Payout of Income Distribution cum Capital Withdrawal (IDCW);17.4254;25-Jul-2023</v>
      </c>
      <c r="B10809" s="1"/>
    </row>
    <row r="10810">
      <c r="A10810" s="1" t="str">
        <f>IFERROR(__xludf.DUMMYFUNCTION("""COMPUTED_VALUE"""),"144197;INF903JA1ED9;-;Sundaram Multi Cap Fund Series II Regular Plan - Growth;17.7717;25-Jul-2023")</f>
        <v>144197;INF903JA1ED9;-;Sundaram Multi Cap Fund Series II Regular Plan - Growth;17.7717;25-Jul-2023</v>
      </c>
      <c r="B10810" s="1"/>
    </row>
    <row r="10811">
      <c r="A10811" s="1" t="str">
        <f>IFERROR(__xludf.DUMMYFUNCTION("""COMPUTED_VALUE"""),"144198;INF903JA1EE7;-;Sundaram Multi Cap Fund Series II Regular Plan - Payout of Income Distribution cum Capital Withdrawal (IDCW);17.1080;25-Jul-2023")</f>
        <v>144198;INF903JA1EE7;-;Sundaram Multi Cap Fund Series II Regular Plan - Payout of Income Distribution cum Capital Withdrawal (IDCW);17.1080;25-Jul-2023</v>
      </c>
      <c r="B10811" s="1"/>
    </row>
    <row r="10812">
      <c r="A10812" s="1"/>
      <c r="B10812" s="1"/>
    </row>
    <row r="10813">
      <c r="A10813" s="1" t="str">
        <f>IFERROR(__xludf.DUMMYFUNCTION("""COMPUTED_VALUE"""),"UTI Mutual Fund")</f>
        <v>UTI Mutual Fund</v>
      </c>
      <c r="B10813" s="1"/>
    </row>
    <row r="10814">
      <c r="A10814" s="1"/>
      <c r="B10814" s="1"/>
    </row>
    <row r="10815">
      <c r="A10815" s="1" t="str">
        <f>IFERROR(__xludf.DUMMYFUNCTION("""COMPUTED_VALUE"""),"131021;INF789FC1Q55;-;UTI Focussed Equity Fund Series - 1 (2195 Days) - Direct Plan - Dividend Option;14.205;07-Sep-2020")</f>
        <v>131021;INF789FC1Q55;-;UTI Focussed Equity Fund Series - 1 (2195 Days) - Direct Plan - Dividend Option;14.205;07-Sep-2020</v>
      </c>
      <c r="B10815" s="1"/>
    </row>
    <row r="10816">
      <c r="A10816" s="1" t="str">
        <f>IFERROR(__xludf.DUMMYFUNCTION("""COMPUTED_VALUE"""),"131019;INF789FC1Q63;-;UTI Focussed Equity Fund Series - 1 (2195 Days) - Direct Plan - Growth Option;15.3687;07-Sep-2020")</f>
        <v>131019;INF789FC1Q63;-;UTI Focussed Equity Fund Series - 1 (2195 Days) - Direct Plan - Growth Option;15.3687;07-Sep-2020</v>
      </c>
      <c r="B10816" s="1"/>
    </row>
    <row r="10817">
      <c r="A10817" s="1" t="str">
        <f>IFERROR(__xludf.DUMMYFUNCTION("""COMPUTED_VALUE"""),"131020;INF789FC1Q30;-;UTI Focussed Equity Fund Series - 1 (2195 Days) - Regular Plan - Dividend Option;13.2056;07-Sep-2020")</f>
        <v>131020;INF789FC1Q30;-;UTI Focussed Equity Fund Series - 1 (2195 Days) - Regular Plan - Dividend Option;13.2056;07-Sep-2020</v>
      </c>
      <c r="B10817" s="1"/>
    </row>
    <row r="10818">
      <c r="A10818" s="1" t="str">
        <f>IFERROR(__xludf.DUMMYFUNCTION("""COMPUTED_VALUE"""),"131018;INF789FC1Q48;-;UTI Focussed Equity Fund Series - 1 (2195 Days) - Regular Plan - Growth Option;14.3308;07-Sep-2020")</f>
        <v>131018;INF789FC1Q48;-;UTI Focussed Equity Fund Series - 1 (2195 Days) - Regular Plan - Growth Option;14.3308;07-Sep-2020</v>
      </c>
      <c r="B10818" s="1"/>
    </row>
    <row r="10819">
      <c r="A10819" s="1" t="str">
        <f>IFERROR(__xludf.DUMMYFUNCTION("""COMPUTED_VALUE"""),"141826;INF789FC1T37;-;UTI Focussed Equity Fund - Series IV (1104 Days) - Direct Plan - Dividend  Option;10.6409;06-Oct-2020")</f>
        <v>141826;INF789FC1T37;-;UTI Focussed Equity Fund - Series IV (1104 Days) - Direct Plan - Dividend  Option;10.6409;06-Oct-2020</v>
      </c>
      <c r="B10819" s="1"/>
    </row>
    <row r="10820">
      <c r="A10820" s="1" t="str">
        <f>IFERROR(__xludf.DUMMYFUNCTION("""COMPUTED_VALUE"""),"141827;INF789FC1T45;-;UTI Focussed Equity Fund - Series IV (1104 Days) - Direct Plan - Growth Option;10.6409;06-Oct-2020")</f>
        <v>141827;INF789FC1T45;-;UTI Focussed Equity Fund - Series IV (1104 Days) - Direct Plan - Growth Option;10.6409;06-Oct-2020</v>
      </c>
      <c r="B10820" s="1"/>
    </row>
    <row r="10821">
      <c r="A10821" s="1" t="str">
        <f>IFERROR(__xludf.DUMMYFUNCTION("""COMPUTED_VALUE"""),"141828;INF789FC1T11;-;UTI Focussed Equity Fund - Series IV (1104 Days) - Regular Plan - Dividend Option;10.2531;06-Oct-2020")</f>
        <v>141828;INF789FC1T11;-;UTI Focussed Equity Fund - Series IV (1104 Days) - Regular Plan - Dividend Option;10.2531;06-Oct-2020</v>
      </c>
      <c r="B10821" s="1"/>
    </row>
    <row r="10822">
      <c r="A10822" s="1" t="str">
        <f>IFERROR(__xludf.DUMMYFUNCTION("""COMPUTED_VALUE"""),"141825;INF789FC1T29;-;UTI Focussed Equity Fund - Series IV (1104 Days) - Regular Plan - Growth Option;10.253;06-Oct-2020")</f>
        <v>141825;INF789FC1T29;-;UTI Focussed Equity Fund - Series IV (1104 Days) - Regular Plan - Growth Option;10.253;06-Oct-2020</v>
      </c>
      <c r="B10822" s="1"/>
    </row>
    <row r="10823">
      <c r="A10823" s="1" t="str">
        <f>IFERROR(__xludf.DUMMYFUNCTION("""COMPUTED_VALUE"""),"141988;INF789FC1X15;-;UTI Focussed Equity Fund - Series V (1102 Days) - Direct Plan - Dividend Option;11.8178;14-Dec-2020")</f>
        <v>141988;INF789FC1X15;-;UTI Focussed Equity Fund - Series V (1102 Days) - Direct Plan - Dividend Option;11.8178;14-Dec-2020</v>
      </c>
      <c r="B10823" s="1"/>
    </row>
    <row r="10824">
      <c r="A10824" s="1" t="str">
        <f>IFERROR(__xludf.DUMMYFUNCTION("""COMPUTED_VALUE"""),"141987;INF789FC1X23;-;UTI Focussed Equity Fund - Series V (1102 Days) - Direct Plan - Growth Option;11.8178;14-Dec-2020")</f>
        <v>141987;INF789FC1X23;-;UTI Focussed Equity Fund - Series V (1102 Days) - Direct Plan - Growth Option;11.8178;14-Dec-2020</v>
      </c>
      <c r="B10824" s="1"/>
    </row>
    <row r="10825">
      <c r="A10825" s="1" t="str">
        <f>IFERROR(__xludf.DUMMYFUNCTION("""COMPUTED_VALUE"""),"141989;INF789FC1W99;-;UTI Focussed Equity Fund - Series V (1102 Days) - Regular Plan - Dividend Option;11.3617;14-Dec-2020")</f>
        <v>141989;INF789FC1W99;-;UTI Focussed Equity Fund - Series V (1102 Days) - Regular Plan - Dividend Option;11.3617;14-Dec-2020</v>
      </c>
      <c r="B10825" s="1"/>
    </row>
    <row r="10826">
      <c r="A10826" s="1" t="str">
        <f>IFERROR(__xludf.DUMMYFUNCTION("""COMPUTED_VALUE"""),"141990;INF789FC1X07;-;UTI Focussed Equity Fund - Series V (1102 Days) - Regular Plan - Growth Option;11.3617;14-Dec-2020")</f>
        <v>141990;INF789FC1X07;-;UTI Focussed Equity Fund - Series V (1102 Days) - Regular Plan - Growth Option;11.3617;14-Dec-2020</v>
      </c>
      <c r="B10826" s="1"/>
    </row>
    <row r="10827">
      <c r="A10827" s="1" t="str">
        <f>IFERROR(__xludf.DUMMYFUNCTION("""COMPUTED_VALUE"""),"142284;INF789FC12G8;-;UTI Focussed Equity Fund - Series VI (1150 Days) - Direct Plan - Growth Option;13.7253;07-Apr-2021")</f>
        <v>142284;INF789FC12G8;-;UTI Focussed Equity Fund - Series VI (1150 Days) - Direct Plan - Growth Option;13.7253;07-Apr-2021</v>
      </c>
      <c r="B10827" s="1"/>
    </row>
    <row r="10828">
      <c r="A10828" s="1" t="str">
        <f>IFERROR(__xludf.DUMMYFUNCTION("""COMPUTED_VALUE"""),"142287;INF789FC11G0;-;UTI Focussed Equity Fund - Series VI (1150 Days) - Direct Plan - IDCW;13.7253;07-Apr-2021")</f>
        <v>142287;INF789FC11G0;-;UTI Focussed Equity Fund - Series VI (1150 Days) - Direct Plan - IDCW;13.7253;07-Apr-2021</v>
      </c>
      <c r="B10828" s="1"/>
    </row>
    <row r="10829">
      <c r="A10829" s="1" t="str">
        <f>IFERROR(__xludf.DUMMYFUNCTION("""COMPUTED_VALUE"""),"142285;INF789FC10G2;-;UTI Focussed Equity Fund - Series VI (1150 Days) - Regular Plan - Growth Option;13.2169;07-Apr-2021")</f>
        <v>142285;INF789FC10G2;-;UTI Focussed Equity Fund - Series VI (1150 Days) - Regular Plan - Growth Option;13.2169;07-Apr-2021</v>
      </c>
      <c r="B10829" s="1"/>
    </row>
    <row r="10830">
      <c r="A10830" s="1" t="str">
        <f>IFERROR(__xludf.DUMMYFUNCTION("""COMPUTED_VALUE"""),"142286;INF789FC19F5;-;UTI Focussed Equity Fund - Series VI (1150 Days) - Regular Plan - IDCW;13.2169;07-Apr-2021")</f>
        <v>142286;INF789FC19F5;-;UTI Focussed Equity Fund - Series VI (1150 Days) - Regular Plan - IDCW;13.2169;07-Apr-2021</v>
      </c>
      <c r="B10830" s="1"/>
    </row>
    <row r="10831">
      <c r="A10831" s="1" t="str">
        <f>IFERROR(__xludf.DUMMYFUNCTION("""COMPUTED_VALUE"""),"142172;INF789FC18D2;-;UTI Long Term Advantage Fund Series VII - Direct Plan - Growth Option;13.1836;24-Sep-2021")</f>
        <v>142172;INF789FC18D2;-;UTI Long Term Advantage Fund Series VII - Direct Plan - Growth Option;13.1836;24-Sep-2021</v>
      </c>
      <c r="B10831" s="1"/>
    </row>
    <row r="10832">
      <c r="A10832" s="1" t="str">
        <f>IFERROR(__xludf.DUMMYFUNCTION("""COMPUTED_VALUE"""),"142170;INF789FC17D4;-;UTI Long Term Advantage Fund Series VII - Direct Plan - IDCW;13.1836;24-Sep-2021")</f>
        <v>142170;INF789FC17D4;-;UTI Long Term Advantage Fund Series VII - Direct Plan - IDCW;13.1836;24-Sep-2021</v>
      </c>
      <c r="B10832" s="1"/>
    </row>
    <row r="10833">
      <c r="A10833" s="1" t="str">
        <f>IFERROR(__xludf.DUMMYFUNCTION("""COMPUTED_VALUE"""),"142169;INF789FC16D6;-;UTI Long Term Advantage Fund Series VII - Regular Plan - Growth Option;12.737;24-Sep-2021")</f>
        <v>142169;INF789FC16D6;-;UTI Long Term Advantage Fund Series VII - Regular Plan - Growth Option;12.737;24-Sep-2021</v>
      </c>
      <c r="B10833" s="1"/>
    </row>
    <row r="10834">
      <c r="A10834" s="1" t="str">
        <f>IFERROR(__xludf.DUMMYFUNCTION("""COMPUTED_VALUE"""),"142171;INF789FC15D8;-;UTI Long Term Advantage Fund Series VII - Regular Plan - IDCW;12.737;24-Sep-2021")</f>
        <v>142171;INF789FC15D8;-;UTI Long Term Advantage Fund Series VII - Regular Plan - IDCW;12.737;24-Sep-2021</v>
      </c>
      <c r="B10834" s="1"/>
    </row>
    <row r="10835">
      <c r="A10835" s="1"/>
      <c r="B10835" s="1"/>
    </row>
    <row r="10836">
      <c r="A10836" s="1" t="str">
        <f>IFERROR(__xludf.DUMMYFUNCTION("""COMPUTED_VALUE"""),"Close Ended Schemes(Income)")</f>
        <v>Close Ended Schemes(Income)</v>
      </c>
      <c r="B10836" s="1"/>
    </row>
    <row r="10837">
      <c r="A10837" s="1"/>
      <c r="B10837" s="1"/>
    </row>
    <row r="10838">
      <c r="A10838" s="1" t="str">
        <f>IFERROR(__xludf.DUMMYFUNCTION("""COMPUTED_VALUE"""),"Aditya Birla Sun Life Mutual Fund")</f>
        <v>Aditya Birla Sun Life Mutual Fund</v>
      </c>
      <c r="B10838" s="1"/>
    </row>
    <row r="10839">
      <c r="A10839" s="1"/>
      <c r="B10839" s="1"/>
    </row>
    <row r="10840">
      <c r="A10840" s="1" t="str">
        <f>IFERROR(__xludf.DUMMYFUNCTION("""COMPUTED_VALUE"""),"149017;INF209KB12A2;-;Aditya Birla Sun Life Fixed Term Plan - Series TI (1837 days) - Direct Plan - Growth Option;11.0935;25-Aug-2023")</f>
        <v>149017;INF209KB12A2;-;Aditya Birla Sun Life Fixed Term Plan - Series TI (1837 days) - Direct Plan - Growth Option;11.0935;25-Aug-2023</v>
      </c>
      <c r="B10840" s="1"/>
    </row>
    <row r="10841">
      <c r="A10841" s="1" t="str">
        <f>IFERROR(__xludf.DUMMYFUNCTION("""COMPUTED_VALUE"""),"149018;INF209KB13A0;-;Aditya Birla Sun Life Fixed Term Plan - Series TI (1837 days) - Direct Plan - Payout of IDCW option;11.0942;25-Aug-2023")</f>
        <v>149018;INF209KB13A0;-;Aditya Birla Sun Life Fixed Term Plan - Series TI (1837 days) - Direct Plan - Payout of IDCW option;11.0942;25-Aug-2023</v>
      </c>
      <c r="B10841" s="1"/>
    </row>
    <row r="10842">
      <c r="A10842" s="1" t="str">
        <f>IFERROR(__xludf.DUMMYFUNCTION("""COMPUTED_VALUE"""),"149015;INF209KB10A6;-;Aditya Birla Sun Life Fixed Term Plan - Series TI (1837 days) - Regular Plan - Growth Option;11.0696;25-Aug-2023")</f>
        <v>149015;INF209KB10A6;-;Aditya Birla Sun Life Fixed Term Plan - Series TI (1837 days) - Regular Plan - Growth Option;11.0696;25-Aug-2023</v>
      </c>
      <c r="B10842" s="1"/>
    </row>
    <row r="10843">
      <c r="A10843" s="1" t="str">
        <f>IFERROR(__xludf.DUMMYFUNCTION("""COMPUTED_VALUE"""),"149016;INF209KB11A4;-;Aditya Birla Sun Life Fixed Term Plan - Series TI (1837 days) - Regular Plan - Payout of IDCW option;11.0696;25-Aug-2023")</f>
        <v>149016;INF209KB11A4;-;Aditya Birla Sun Life Fixed Term Plan - Series TI (1837 days) - Regular Plan - Payout of IDCW option;11.0696;25-Aug-2023</v>
      </c>
      <c r="B10843" s="1"/>
    </row>
    <row r="10844">
      <c r="A10844" s="1" t="str">
        <f>IFERROR(__xludf.DUMMYFUNCTION("""COMPUTED_VALUE"""),"149062;INF209KB16A3;-;Aditya Birla Sun Life Fixed Term Plan - Series TJ (1838 days) - Direct Plan - Growth Option;11.0867;25-Aug-2023")</f>
        <v>149062;INF209KB16A3;-;Aditya Birla Sun Life Fixed Term Plan - Series TJ (1838 days) - Direct Plan - Growth Option;11.0867;25-Aug-2023</v>
      </c>
      <c r="B10844" s="1"/>
    </row>
    <row r="10845">
      <c r="A10845" s="1" t="str">
        <f>IFERROR(__xludf.DUMMYFUNCTION("""COMPUTED_VALUE"""),"149063;INF209KB17A1;-;Aditya Birla Sun Life Fixed Term Plan - Series TJ (1838 days) - Direct Plan - Payout of IDCW Option;11.0876;25-Aug-2023")</f>
        <v>149063;INF209KB17A1;-;Aditya Birla Sun Life Fixed Term Plan - Series TJ (1838 days) - Direct Plan - Payout of IDCW Option;11.0876;25-Aug-2023</v>
      </c>
      <c r="B10845" s="1"/>
    </row>
    <row r="10846">
      <c r="A10846" s="1" t="str">
        <f>IFERROR(__xludf.DUMMYFUNCTION("""COMPUTED_VALUE"""),"149064;INF209KB14A8;-;Aditya Birla Sun Life Fixed Term Plan - Series TJ (1838 days) - Regular Plan - Growth Option;11.0656;25-Aug-2023")</f>
        <v>149064;INF209KB14A8;-;Aditya Birla Sun Life Fixed Term Plan - Series TJ (1838 days) - Regular Plan - Growth Option;11.0656;25-Aug-2023</v>
      </c>
      <c r="B10846" s="1"/>
    </row>
    <row r="10847">
      <c r="A10847" s="1" t="str">
        <f>IFERROR(__xludf.DUMMYFUNCTION("""COMPUTED_VALUE"""),"149065;INF209KB15A5;-;Aditya Birla Sun Life Fixed Term Plan - Series TJ (1838 days) - Regular Plan - Payout of IDCW Option;11.0656;25-Aug-2023")</f>
        <v>149065;INF209KB15A5;-;Aditya Birla Sun Life Fixed Term Plan - Series TJ (1838 days) - Regular Plan - Payout of IDCW Option;11.0656;25-Aug-2023</v>
      </c>
      <c r="B10847" s="1"/>
    </row>
    <row r="10848">
      <c r="A10848" s="1" t="str">
        <f>IFERROR(__xludf.DUMMYFUNCTION("""COMPUTED_VALUE"""),"150316;INF209KB14H3;-;Aditya Birla Sun Life Fixed Term Plan - Series TQ (1879 days) - Direct Plan - Growth Option;10.675;25-Aug-2023")</f>
        <v>150316;INF209KB14H3;-;Aditya Birla Sun Life Fixed Term Plan - Series TQ (1879 days) - Direct Plan - Growth Option;10.675;25-Aug-2023</v>
      </c>
      <c r="B10848" s="1"/>
    </row>
    <row r="10849">
      <c r="A10849" s="1" t="str">
        <f>IFERROR(__xludf.DUMMYFUNCTION("""COMPUTED_VALUE"""),"150314;INF209KB12H7;-;Aditya Birla Sun Life Fixed Term Plan - Series TQ (1879 days) - Regular Plan - Growth Option;10.6699;25-Aug-2023")</f>
        <v>150314;INF209KB12H7;-;Aditya Birla Sun Life Fixed Term Plan - Series TQ (1879 days) - Regular Plan - Growth Option;10.6699;25-Aug-2023</v>
      </c>
      <c r="B10849" s="1"/>
    </row>
    <row r="10850">
      <c r="A10850" s="1" t="str">
        <f>IFERROR(__xludf.DUMMYFUNCTION("""COMPUTED_VALUE"""),"150315;INF209KB13H5;-;Aditya Birla Sun Life Fixed Term Plan - Series TQ (1879 days) - Regular Plan - Payout of IDCW option;10.6699;25-Aug-2023")</f>
        <v>150315;INF209KB13H5;-;Aditya Birla Sun Life Fixed Term Plan - Series TQ (1879 days) - Regular Plan - Payout of IDCW option;10.6699;25-Aug-2023</v>
      </c>
      <c r="B10850" s="1"/>
    </row>
    <row r="10851">
      <c r="A10851" s="1" t="str">
        <f>IFERROR(__xludf.DUMMYFUNCTION("""COMPUTED_VALUE"""),"151186;INF209KB18P7;-;Aditya Birla Sun Life Fixed Term Plan - Series UB (1224 days) - Direct Plan Growth Option;10.46;25-Aug-2023")</f>
        <v>151186;INF209KB18P7;-;Aditya Birla Sun Life Fixed Term Plan - Series UB (1224 days) - Direct Plan Growth Option;10.46;25-Aug-2023</v>
      </c>
      <c r="B10851" s="1"/>
    </row>
    <row r="10852">
      <c r="A10852" s="1" t="str">
        <f>IFERROR(__xludf.DUMMYFUNCTION("""COMPUTED_VALUE"""),"151189;INF209KB17P9;-;Aditya Birla Sun Life Fixed Term Plan - Series UB (1224 days) - Regular Plan - Payout of IDCW Option;10.4528;25-Aug-2023")</f>
        <v>151189;INF209KB17P9;-;Aditya Birla Sun Life Fixed Term Plan - Series UB (1224 days) - Regular Plan - Payout of IDCW Option;10.4528;25-Aug-2023</v>
      </c>
      <c r="B10852" s="1"/>
    </row>
    <row r="10853">
      <c r="A10853" s="1" t="str">
        <f>IFERROR(__xludf.DUMMYFUNCTION("""COMPUTED_VALUE"""),"151188;INF209KB16P1;-;Aditya Birla Sun Life Fixed Term Plan - Series UB (1224 days)- Regular Plan - Growth Option;10.4527;25-Aug-2023")</f>
        <v>151188;INF209KB16P1;-;Aditya Birla Sun Life Fixed Term Plan - Series UB (1224 days)- Regular Plan - Growth Option;10.4527;25-Aug-2023</v>
      </c>
      <c r="B10853" s="1"/>
    </row>
    <row r="10854">
      <c r="A10854" s="1" t="str">
        <f>IFERROR(__xludf.DUMMYFUNCTION("""COMPUTED_VALUE"""),"151519;INF209KB18S1;-;Aditya Birla Sun Life Fixed Term Plan - Series UF (180 days) - Direct Plan - Growth Option;10.3641;25-Aug-2023")</f>
        <v>151519;INF209KB18S1;-;Aditya Birla Sun Life Fixed Term Plan - Series UF (180 days) - Direct Plan - Growth Option;10.3641;25-Aug-2023</v>
      </c>
      <c r="B10854" s="1"/>
    </row>
    <row r="10855">
      <c r="A10855" s="1" t="str">
        <f>IFERROR(__xludf.DUMMYFUNCTION("""COMPUTED_VALUE"""),"151522;INF209KB19S9;-;Aditya Birla Sun Life Fixed Term Plan - Series UF (180 days) - Direct Plan - Payout of IDCW Option;10.3645;25-Aug-2023")</f>
        <v>151522;INF209KB19S9;-;Aditya Birla Sun Life Fixed Term Plan - Series UF (180 days) - Direct Plan - Payout of IDCW Option;10.3645;25-Aug-2023</v>
      </c>
      <c r="B10855" s="1"/>
    </row>
    <row r="10856">
      <c r="A10856" s="1" t="str">
        <f>IFERROR(__xludf.DUMMYFUNCTION("""COMPUTED_VALUE"""),"151521;INF209KB16S5;-;Aditya Birla Sun Life Fixed Term Plan - Series UF (180 days) - Regular Plan - Growth Option;10.3591;25-Aug-2023")</f>
        <v>151521;INF209KB16S5;-;Aditya Birla Sun Life Fixed Term Plan - Series UF (180 days) - Regular Plan - Growth Option;10.3591;25-Aug-2023</v>
      </c>
      <c r="B10856" s="1"/>
    </row>
    <row r="10857">
      <c r="A10857" s="1" t="str">
        <f>IFERROR(__xludf.DUMMYFUNCTION("""COMPUTED_VALUE"""),"151520;INF209KB17S3;-;Aditya Birla Sun Life Fixed Term Plan - Series UF (180 days) - Regular Plan - Payout of IDCW Option;10.3594;25-Aug-2023")</f>
        <v>151520;INF209KB17S3;-;Aditya Birla Sun Life Fixed Term Plan - Series UF (180 days) - Regular Plan - Payout of IDCW Option;10.3594;25-Aug-2023</v>
      </c>
      <c r="B10857" s="1"/>
    </row>
    <row r="10858">
      <c r="A10858" s="1" t="str">
        <f>IFERROR(__xludf.DUMMYFUNCTION("""COMPUTED_VALUE"""),"151700;INF209KB13V6;-;Aditya Birla Sun Life Fixed Term Plan - Series UJ (1110 days) - Direct Plan - Growth Option;10.2934;25-Aug-2023")</f>
        <v>151700;INF209KB13V6;-;Aditya Birla Sun Life Fixed Term Plan - Series UJ (1110 days) - Direct Plan - Growth Option;10.2934;25-Aug-2023</v>
      </c>
      <c r="B10858" s="1"/>
    </row>
    <row r="10859">
      <c r="A10859" s="1" t="str">
        <f>IFERROR(__xludf.DUMMYFUNCTION("""COMPUTED_VALUE"""),"151702;INF209KB14V4;-;Aditya Birla Sun Life Fixed Term Plan - Series UJ (1110 days) - Direct Plan - Payout of IDCW Option;10.294;25-Aug-2023")</f>
        <v>151702;INF209KB14V4;-;Aditya Birla Sun Life Fixed Term Plan - Series UJ (1110 days) - Direct Plan - Payout of IDCW Option;10.294;25-Aug-2023</v>
      </c>
      <c r="B10859" s="1"/>
    </row>
    <row r="10860">
      <c r="A10860" s="1" t="str">
        <f>IFERROR(__xludf.DUMMYFUNCTION("""COMPUTED_VALUE"""),"151703;INF209KB11V0;-;Aditya Birla Sun Life Fixed Term Plan - Series UJ (1110 days) - Regular Plan - Growth Option;10.2891;25-Aug-2023")</f>
        <v>151703;INF209KB11V0;-;Aditya Birla Sun Life Fixed Term Plan - Series UJ (1110 days) - Regular Plan - Growth Option;10.2891;25-Aug-2023</v>
      </c>
      <c r="B10860" s="1"/>
    </row>
    <row r="10861">
      <c r="A10861" s="1" t="str">
        <f>IFERROR(__xludf.DUMMYFUNCTION("""COMPUTED_VALUE"""),"151701;INF209KB12V8;-;Aditya Birla Sun Life Fixed Term Plan - Series UJ (1110 days) - Regular Plan - Payout of IDCW Option;10.2892;25-Aug-2023")</f>
        <v>151701;INF209KB12V8;-;Aditya Birla Sun Life Fixed Term Plan - Series UJ (1110 days) - Regular Plan - Payout of IDCW Option;10.2892;25-Aug-2023</v>
      </c>
      <c r="B10861" s="1"/>
    </row>
    <row r="10862">
      <c r="A10862" s="1" t="str">
        <f>IFERROR(__xludf.DUMMYFUNCTION("""COMPUTED_VALUE"""),"119534;INF209K01YP5;-;Aditya Birla Sun Life Interval Income Fund - Quarterly Series 1 - Direct - IDCW;10.;27-May-2019")</f>
        <v>119534;INF209K01YP5;-;Aditya Birla Sun Life Interval Income Fund - Quarterly Series 1 - Direct - IDCW;10.;27-May-2019</v>
      </c>
      <c r="B10862" s="1"/>
    </row>
    <row r="10863">
      <c r="A10863" s="1" t="str">
        <f>IFERROR(__xludf.DUMMYFUNCTION("""COMPUTED_VALUE"""),"106412;INF209K01HN5;-;Aditya Birla Sun Life Interval Income Fund - Quarterly Series 1 - Growth - Regular Plan;29.8798;25-Aug-2023")</f>
        <v>106412;INF209K01HN5;-;Aditya Birla Sun Life Interval Income Fund - Quarterly Series 1 - Growth - Regular Plan;29.8798;25-Aug-2023</v>
      </c>
      <c r="B10863" s="1"/>
    </row>
    <row r="10864">
      <c r="A10864" s="1" t="str">
        <f>IFERROR(__xludf.DUMMYFUNCTION("""COMPUTED_VALUE"""),"106413;INF209K01HR6;INF209K01HS4;Aditya Birla Sun Life Interval Income Fund - Quarterly Series 1 - institutional - IDCW;10.;25-Aug-2023")</f>
        <v>106413;INF209K01HR6;INF209K01HS4;Aditya Birla Sun Life Interval Income Fund - Quarterly Series 1 - institutional - IDCW;10.;25-Aug-2023</v>
      </c>
      <c r="B10864" s="1"/>
    </row>
    <row r="10865">
      <c r="A10865" s="1" t="str">
        <f>IFERROR(__xludf.DUMMYFUNCTION("""COMPUTED_VALUE"""),"106411;INF209K01HO3;INF209K01HP0;Aditya Birla Sun Life Interval Income Fund - Quarterly Series 1 - Regular - IDCW;10.;25-Aug-2023")</f>
        <v>106411;INF209K01HO3;INF209K01HP0;Aditya Birla Sun Life Interval Income Fund - Quarterly Series 1 - Regular - IDCW;10.;25-Aug-2023</v>
      </c>
      <c r="B10865" s="1"/>
    </row>
    <row r="10866">
      <c r="A10866" s="1" t="str">
        <f>IFERROR(__xludf.DUMMYFUNCTION("""COMPUTED_VALUE"""),"119535;INF209K01YQ3;-;Aditya Birla Sun Life Interval Income Fund - Quarterly Series I - Growth - Direct Plan;30.0228;25-Aug-2023")</f>
        <v>119535;INF209K01YQ3;-;Aditya Birla Sun Life Interval Income Fund - Quarterly Series I - Growth - Direct Plan;30.0228;25-Aug-2023</v>
      </c>
      <c r="B10866" s="1"/>
    </row>
    <row r="10867">
      <c r="A10867" s="1"/>
      <c r="B10867" s="1"/>
    </row>
    <row r="10868">
      <c r="A10868" s="1" t="str">
        <f>IFERROR(__xludf.DUMMYFUNCTION("""COMPUTED_VALUE"""),"Axis Mutual Fund")</f>
        <v>Axis Mutual Fund</v>
      </c>
      <c r="B10868" s="1"/>
    </row>
    <row r="10869">
      <c r="A10869" s="1"/>
      <c r="B10869" s="1"/>
    </row>
    <row r="10870">
      <c r="A10870" s="1" t="str">
        <f>IFERROR(__xludf.DUMMYFUNCTION("""COMPUTED_VALUE"""),"151501;INF846K018O8;-;Axis Fixed Term Plan - Series 112 (1143 Days) - Direct Plan - Growth;10.4291;25-Aug-2023")</f>
        <v>151501;INF846K018O8;-;Axis Fixed Term Plan - Series 112 (1143 Days) - Direct Plan - Growth;10.4291;25-Aug-2023</v>
      </c>
      <c r="B10870" s="1"/>
    </row>
    <row r="10871">
      <c r="A10871" s="1" t="str">
        <f>IFERROR(__xludf.DUMMYFUNCTION("""COMPUTED_VALUE"""),"151506;INF846K011P0;-;Axis Fixed Term Plan - Series 112 (1143 Days) - Regular  Plan - Growth;10.4164;25-Aug-2023")</f>
        <v>151506;INF846K011P0;-;Axis Fixed Term Plan - Series 112 (1143 Days) - Regular  Plan - Growth;10.4164;25-Aug-2023</v>
      </c>
      <c r="B10871" s="1"/>
    </row>
    <row r="10872">
      <c r="A10872" s="1" t="str">
        <f>IFERROR(__xludf.DUMMYFUNCTION("""COMPUTED_VALUE"""),"151504;INF846K013P6;-;Axis Fixed Term Plan - Series 112 (1143 Days) - Regular Plan -  Half Yearly IDCW Payout;10.4164;25-Aug-2023")</f>
        <v>151504;INF846K013P6;-;Axis Fixed Term Plan - Series 112 (1143 Days) - Regular Plan -  Half Yearly IDCW Payout;10.4164;25-Aug-2023</v>
      </c>
      <c r="B10872" s="1"/>
    </row>
    <row r="10873">
      <c r="A10873" s="1" t="str">
        <f>IFERROR(__xludf.DUMMYFUNCTION("""COMPUTED_VALUE"""),"151503;INF846K012P8;-;Axis Fixed Term Plan - Series 112 (1143 Days) - Regular Plan - Quarterly IDCW Payout;10.4164;25-Aug-2023")</f>
        <v>151503;INF846K012P8;-;Axis Fixed Term Plan - Series 112 (1143 Days) - Regular Plan - Quarterly IDCW Payout;10.4164;25-Aug-2023</v>
      </c>
      <c r="B10873" s="1"/>
    </row>
    <row r="10874">
      <c r="A10874" s="1" t="str">
        <f>IFERROR(__xludf.DUMMYFUNCTION("""COMPUTED_VALUE"""),"151586;INF846K011Q8;-;Axis Fixed Term Plan - Series 113 (1228 Days) - Direct Plan - Growth;10.3250;25-Aug-2023")</f>
        <v>151586;INF846K011Q8;-;Axis Fixed Term Plan - Series 113 (1228 Days) - Direct Plan - Growth;10.3250;25-Aug-2023</v>
      </c>
      <c r="B10874" s="1"/>
    </row>
    <row r="10875">
      <c r="A10875" s="1" t="str">
        <f>IFERROR(__xludf.DUMMYFUNCTION("""COMPUTED_VALUE"""),"151587;INF846K012Q6;-;Axis Fixed Term Plan - Series 113 (1228 Days) - Direct Plan - Quarterly IDCW;10.3251;25-Aug-2023")</f>
        <v>151587;INF846K012Q6;-;Axis Fixed Term Plan - Series 113 (1228 Days) - Direct Plan - Quarterly IDCW;10.3251;25-Aug-2023</v>
      </c>
      <c r="B10875" s="1"/>
    </row>
    <row r="10876">
      <c r="A10876" s="1" t="str">
        <f>IFERROR(__xludf.DUMMYFUNCTION("""COMPUTED_VALUE"""),"151588;INF846K014Q2;-;Axis Fixed Term Plan - Series 113 (1228 Days) - Regular Plan - Growth;10.3139;25-Aug-2023")</f>
        <v>151588;INF846K014Q2;-;Axis Fixed Term Plan - Series 113 (1228 Days) - Regular Plan - Growth;10.3139;25-Aug-2023</v>
      </c>
      <c r="B10876" s="1"/>
    </row>
    <row r="10877">
      <c r="A10877" s="1" t="str">
        <f>IFERROR(__xludf.DUMMYFUNCTION("""COMPUTED_VALUE"""),"151629;INF846K016Q7;-;Axis Fixed Term Plan - Series 113 (1228 Days) - Regular Plan - Half Yearly IDCW;10.3139;25-Aug-2023")</f>
        <v>151629;INF846K016Q7;-;Axis Fixed Term Plan - Series 113 (1228 Days) - Regular Plan - Half Yearly IDCW;10.3139;25-Aug-2023</v>
      </c>
      <c r="B10877" s="1"/>
    </row>
    <row r="10878">
      <c r="A10878" s="1" t="str">
        <f>IFERROR(__xludf.DUMMYFUNCTION("""COMPUTED_VALUE"""),"151589;INF846K015Q9;-;Axis Fixed Term Plan - Series 113 (1228 Days) - Regular Plan - Quarterly IDCW;10.3137;25-Aug-2023")</f>
        <v>151589;INF846K015Q9;-;Axis Fixed Term Plan - Series 113 (1228 Days) - Regular Plan - Quarterly IDCW;10.3137;25-Aug-2023</v>
      </c>
      <c r="B10878" s="1"/>
    </row>
    <row r="10879">
      <c r="A10879" s="1"/>
      <c r="B10879" s="1"/>
    </row>
    <row r="10880">
      <c r="A10880" s="1" t="str">
        <f>IFERROR(__xludf.DUMMYFUNCTION("""COMPUTED_VALUE"""),"Bandhan Mutual Fund")</f>
        <v>Bandhan Mutual Fund</v>
      </c>
      <c r="B10880" s="1"/>
    </row>
    <row r="10881">
      <c r="A10881" s="1"/>
      <c r="B10881" s="1"/>
    </row>
    <row r="10882">
      <c r="A10882" s="1" t="str">
        <f>IFERROR(__xludf.DUMMYFUNCTION("""COMPUTED_VALUE"""),"146699;INF194KB1793;-;BANDHAN Fixed Term Plan Series 179 DIRECT PLAN HALF YEARLY-IDCW (3652 days);11.5988;25-Aug-2023")</f>
        <v>146699;INF194KB1793;-;BANDHAN Fixed Term Plan Series 179 DIRECT PLAN HALF YEARLY-IDCW (3652 days);11.5988;25-Aug-2023</v>
      </c>
      <c r="B10882" s="1"/>
    </row>
    <row r="10883">
      <c r="A10883" s="1" t="str">
        <f>IFERROR(__xludf.DUMMYFUNCTION("""COMPUTED_VALUE"""),"146701;INF194KB1777;-;BANDHAN Fixed Term Plan Series 179 DIRECT PLAN-GROWTH (3652 days);14.4902;25-Aug-2023")</f>
        <v>146701;INF194KB1777;-;BANDHAN Fixed Term Plan Series 179 DIRECT PLAN-GROWTH (3652 days);14.4902;25-Aug-2023</v>
      </c>
      <c r="B10883" s="1"/>
    </row>
    <row r="10884">
      <c r="A10884" s="1" t="str">
        <f>IFERROR(__xludf.DUMMYFUNCTION("""COMPUTED_VALUE"""),"146702;INF194KB1769;-;BANDHAN Fixed Term Plan Series 179 REGULAR PLAN PERIODIC-IDCW (3652 days);12.3317;25-Aug-2023")</f>
        <v>146702;INF194KB1769;-;BANDHAN Fixed Term Plan Series 179 REGULAR PLAN PERIODIC-IDCW (3652 days);12.3317;25-Aug-2023</v>
      </c>
      <c r="B10884" s="1"/>
    </row>
    <row r="10885">
      <c r="A10885" s="1" t="str">
        <f>IFERROR(__xludf.DUMMYFUNCTION("""COMPUTED_VALUE"""),"146695;INF194KB1736;-;BANDHAN Fixed Term Plan Series 179 REGULAR PLAN-GROWTH (3652 days);14.3298;25-Aug-2023")</f>
        <v>146695;INF194KB1736;-;BANDHAN Fixed Term Plan Series 179 REGULAR PLAN-GROWTH (3652 days);14.3298;25-Aug-2023</v>
      </c>
      <c r="B10885" s="1"/>
    </row>
    <row r="10886">
      <c r="A10886" s="1" t="str">
        <f>IFERROR(__xludf.DUMMYFUNCTION("""COMPUTED_VALUE"""),"146082;INF194KB1298;-;IDFC Fixed Term Plan Series 167 REGULAR PLAN HALF YEARLY-IDCW (1202 days);10.41782744;26-Apr-2022")</f>
        <v>146082;INF194KB1298;-;IDFC Fixed Term Plan Series 167 REGULAR PLAN HALF YEARLY-IDCW (1202 days);10.41782744;26-Apr-2022</v>
      </c>
      <c r="B10886" s="1"/>
    </row>
    <row r="10887">
      <c r="A10887" s="1" t="str">
        <f>IFERROR(__xludf.DUMMYFUNCTION("""COMPUTED_VALUE"""),"146081;INF194KB1280;-;IDFC Fixed Term Plan Series 167 REGULAR PLAN QUARTERLY-IDCW (1202 days);10.47320000;26-Apr-2022")</f>
        <v>146081;INF194KB1280;-;IDFC Fixed Term Plan Series 167 REGULAR PLAN QUARTERLY-IDCW (1202 days);10.47320000;26-Apr-2022</v>
      </c>
      <c r="B10887" s="1"/>
    </row>
    <row r="10888">
      <c r="A10888" s="1" t="str">
        <f>IFERROR(__xludf.DUMMYFUNCTION("""COMPUTED_VALUE"""),"146087;INF194KB1272;-;IDFC Fixed Term Plan Series 167 REGULAR PLAN-GROWTH (1202 days);12.86192201;26-Apr-2022")</f>
        <v>146087;INF194KB1272;-;IDFC Fixed Term Plan Series 167 REGULAR PLAN-GROWTH (1202 days);12.86192201;26-Apr-2022</v>
      </c>
      <c r="B10888" s="1"/>
    </row>
    <row r="10889">
      <c r="A10889" s="1"/>
      <c r="B10889" s="1"/>
    </row>
    <row r="10890">
      <c r="A10890" s="1" t="str">
        <f>IFERROR(__xludf.DUMMYFUNCTION("""COMPUTED_VALUE"""),"Canara Robeco Mutual Fund")</f>
        <v>Canara Robeco Mutual Fund</v>
      </c>
      <c r="B10890" s="1"/>
    </row>
    <row r="10891">
      <c r="A10891" s="1"/>
      <c r="B10891" s="1"/>
    </row>
    <row r="10892">
      <c r="A10892" s="1" t="str">
        <f>IFERROR(__xludf.DUMMYFUNCTION("""COMPUTED_VALUE"""),"146302;INF760K01JI3;-;CANARA ROBECO CAPITAL PROTECTION ORIENTED FUND SERIES 10 - DIRECT PLAN - GROWTH OPTION;13.1536;11-Apr-2022")</f>
        <v>146302;INF760K01JI3;-;CANARA ROBECO CAPITAL PROTECTION ORIENTED FUND SERIES 10 - DIRECT PLAN - GROWTH OPTION;13.1536;11-Apr-2022</v>
      </c>
      <c r="B10892" s="1"/>
    </row>
    <row r="10893">
      <c r="A10893" s="1" t="str">
        <f>IFERROR(__xludf.DUMMYFUNCTION("""COMPUTED_VALUE"""),"146304;INF760K01JJ1;-;CANARA ROBECO CAPITAL PROTECTION ORIENTED FUND SERIES 10 - DIRECT PLAN - IDCW (Payout/Reinvestment);13.1506;11-Apr-2022")</f>
        <v>146304;INF760K01JJ1;-;CANARA ROBECO CAPITAL PROTECTION ORIENTED FUND SERIES 10 - DIRECT PLAN - IDCW (Payout/Reinvestment);13.1506;11-Apr-2022</v>
      </c>
      <c r="B10893" s="1"/>
    </row>
    <row r="10894">
      <c r="A10894" s="1" t="str">
        <f>IFERROR(__xludf.DUMMYFUNCTION("""COMPUTED_VALUE"""),"146303;INF760K01JK9;-;CANARA ROBECO CAPITAL PROTECTION ORIENTED FUND SERIES 10 - REGULAR PLAN - GROWTH OPTION;13.0217;11-Apr-2022")</f>
        <v>146303;INF760K01JK9;-;CANARA ROBECO CAPITAL PROTECTION ORIENTED FUND SERIES 10 - REGULAR PLAN - GROWTH OPTION;13.0217;11-Apr-2022</v>
      </c>
      <c r="B10894" s="1"/>
    </row>
    <row r="10895">
      <c r="A10895" s="1" t="str">
        <f>IFERROR(__xludf.DUMMYFUNCTION("""COMPUTED_VALUE"""),"146305;INF760K01JL7;-;CANARA ROBECO CAPITAL PROTECTION ORIENTED FUND SERIES 10 - REGULAR PLAN - IDCW (Payout/Reinvestment);13.0217;11-Apr-2022")</f>
        <v>146305;INF760K01JL7;-;CANARA ROBECO CAPITAL PROTECTION ORIENTED FUND SERIES 10 - REGULAR PLAN - IDCW (Payout/Reinvestment);13.0217;11-Apr-2022</v>
      </c>
      <c r="B10895" s="1"/>
    </row>
    <row r="10896">
      <c r="A10896" s="1"/>
      <c r="B10896" s="1"/>
    </row>
    <row r="10897">
      <c r="A10897" s="1" t="str">
        <f>IFERROR(__xludf.DUMMYFUNCTION("""COMPUTED_VALUE"""),"DSP Mutual Fund")</f>
        <v>DSP Mutual Fund</v>
      </c>
      <c r="B10897" s="1"/>
    </row>
    <row r="10898">
      <c r="A10898" s="1"/>
      <c r="B10898" s="1"/>
    </row>
    <row r="10899">
      <c r="A10899" s="1" t="str">
        <f>IFERROR(__xludf.DUMMYFUNCTION("""COMPUTED_VALUE"""),"149190;INF740KA1QH8;-;DSP FMP Series - 264 - 60M - 17D - Direct - Growth;10.8490;25-Aug-2023")</f>
        <v>149190;INF740KA1QH8;-;DSP FMP Series - 264 - 60M - 17D - Direct - Growth;10.8490;25-Aug-2023</v>
      </c>
      <c r="B10899" s="1"/>
    </row>
    <row r="10900">
      <c r="A10900" s="1" t="str">
        <f>IFERROR(__xludf.DUMMYFUNCTION("""COMPUTED_VALUE"""),"149191;INF740KA1QI6;INF740KA1QJ4;DSP FMP Series - 264 - 60M - 17D - Direct - IDCW;10.8490;25-Aug-2023")</f>
        <v>149191;INF740KA1QI6;INF740KA1QJ4;DSP FMP Series - 264 - 60M - 17D - Direct - IDCW;10.8490;25-Aug-2023</v>
      </c>
      <c r="B10900" s="1"/>
    </row>
    <row r="10901">
      <c r="A10901" s="1" t="str">
        <f>IFERROR(__xludf.DUMMYFUNCTION("""COMPUTED_VALUE"""),"149189;INF740KA1QF2;INF740KA1QG0;DSP FMP Series - 264 - 60M - 17D - Regular - IDCW;10.8174;25-Aug-2023")</f>
        <v>149189;INF740KA1QF2;INF740KA1QG0;DSP FMP Series - 264 - 60M - 17D - Regular - IDCW;10.8174;25-Aug-2023</v>
      </c>
      <c r="B10901" s="1"/>
    </row>
    <row r="10902">
      <c r="A10902" s="1" t="str">
        <f>IFERROR(__xludf.DUMMYFUNCTION("""COMPUTED_VALUE"""),"149188;INF740KA1QE5;-;DSP FMP Series - 264 - 60M - 17D - Regular Plan - Growth;10.8174;25-Aug-2023")</f>
        <v>149188;INF740KA1QE5;-;DSP FMP Series - 264 - 60M - 17D - Regular Plan - Growth;10.8174;25-Aug-2023</v>
      </c>
      <c r="B10902" s="1"/>
    </row>
    <row r="10903">
      <c r="A10903" s="1" t="str">
        <f>IFERROR(__xludf.DUMMYFUNCTION("""COMPUTED_VALUE"""),"150842;INF740KA1RI4;-;DSP FMP Series - 267 - 1246 Days - Direct - Growth;10.5616;25-Aug-2023")</f>
        <v>150842;INF740KA1RI4;-;DSP FMP Series - 267 - 1246 Days - Direct - Growth;10.5616;25-Aug-2023</v>
      </c>
      <c r="B10903" s="1"/>
    </row>
    <row r="10904">
      <c r="A10904" s="1" t="str">
        <f>IFERROR(__xludf.DUMMYFUNCTION("""COMPUTED_VALUE"""),"150840;INF740KA1RK0;INF740KA1RJ2;DSP FMP Series - 267 - 1246 Days - Direct - IDCW;10.5616;25-Aug-2023")</f>
        <v>150840;INF740KA1RK0;INF740KA1RJ2;DSP FMP Series - 267 - 1246 Days - Direct - IDCW;10.5616;25-Aug-2023</v>
      </c>
      <c r="B10904" s="1"/>
    </row>
    <row r="10905">
      <c r="A10905" s="1" t="str">
        <f>IFERROR(__xludf.DUMMYFUNCTION("""COMPUTED_VALUE"""),"150843;INF740KA1RF0;-;DSP FMP Series - 267 - 1246 Days - Regular - Growth;10.5526;25-Aug-2023")</f>
        <v>150843;INF740KA1RF0;-;DSP FMP Series - 267 - 1246 Days - Regular - Growth;10.5526;25-Aug-2023</v>
      </c>
      <c r="B10905" s="1"/>
    </row>
    <row r="10906">
      <c r="A10906" s="1" t="str">
        <f>IFERROR(__xludf.DUMMYFUNCTION("""COMPUTED_VALUE"""),"150841;INF740KA1RH6;INF740KA1RG8;DSP FMP Series - 267 - 1246 Days - Regular - IDCW;10.5526;25-Aug-2023")</f>
        <v>150841;INF740KA1RH6;INF740KA1RG8;DSP FMP Series - 267 - 1246 Days - Regular - IDCW;10.5526;25-Aug-2023</v>
      </c>
      <c r="B10906" s="1"/>
    </row>
    <row r="10907">
      <c r="A10907" s="1" t="str">
        <f>IFERROR(__xludf.DUMMYFUNCTION("""COMPUTED_VALUE"""),"150885;INF740KA1RO2;-;DSP FMP Series - 268 - 1281 Days - Direct - Growth;10.5521;25-Aug-2023")</f>
        <v>150885;INF740KA1RO2;-;DSP FMP Series - 268 - 1281 Days - Direct - Growth;10.5521;25-Aug-2023</v>
      </c>
      <c r="B10907" s="1"/>
    </row>
    <row r="10908">
      <c r="A10908" s="1" t="str">
        <f>IFERROR(__xludf.DUMMYFUNCTION("""COMPUTED_VALUE"""),"150886;INF740KA1RQ7;INF740KA1RP9;DSP FMP Series - 268 - 1281 Days - Direct - IDCW;10.5517;25-Aug-2023")</f>
        <v>150886;INF740KA1RQ7;INF740KA1RP9;DSP FMP Series - 268 - 1281 Days - Direct - IDCW;10.5517;25-Aug-2023</v>
      </c>
      <c r="B10908" s="1"/>
    </row>
    <row r="10909">
      <c r="A10909" s="1" t="str">
        <f>IFERROR(__xludf.DUMMYFUNCTION("""COMPUTED_VALUE"""),"150884;INF740KA1RL8;-;DSP FMP Series - 268 - 1281 Days - Regular - Growth;10.5403;25-Aug-2023")</f>
        <v>150884;INF740KA1RL8;-;DSP FMP Series - 268 - 1281 Days - Regular - Growth;10.5403;25-Aug-2023</v>
      </c>
      <c r="B10909" s="1"/>
    </row>
    <row r="10910">
      <c r="A10910" s="1" t="str">
        <f>IFERROR(__xludf.DUMMYFUNCTION("""COMPUTED_VALUE"""),"150887;INF740KA1RN4;INF740KA1RM6;DSP FMP Series - 268 - 1281 Days - Regular - IDCW;10.5403;25-Aug-2023")</f>
        <v>150887;INF740KA1RN4;INF740KA1RM6;DSP FMP Series - 268 - 1281 Days - Regular - IDCW;10.5403;25-Aug-2023</v>
      </c>
      <c r="B10910" s="1"/>
    </row>
    <row r="10911">
      <c r="A10911" s="1" t="str">
        <f>IFERROR(__xludf.DUMMYFUNCTION("""COMPUTED_VALUE"""),"151243;INF740KA1RU9;-;DSP FMP Series - 269 - 160 Days - Direct Growth;10.3256;31-May-2023")</f>
        <v>151243;INF740KA1RU9;-;DSP FMP Series - 269 - 160 Days - Direct Growth;10.3256;31-May-2023</v>
      </c>
      <c r="B10911" s="1"/>
    </row>
    <row r="10912">
      <c r="A10912" s="1" t="str">
        <f>IFERROR(__xludf.DUMMYFUNCTION("""COMPUTED_VALUE"""),"151241;INF740KA1RV7;INF740KA1RW5;DSP FMP Series - 269 - 160 Days - Direct IDCW;10.3256;31-May-2023")</f>
        <v>151241;INF740KA1RV7;INF740KA1RW5;DSP FMP Series - 269 - 160 Days - Direct IDCW;10.3256;31-May-2023</v>
      </c>
      <c r="B10912" s="1"/>
    </row>
    <row r="10913">
      <c r="A10913" s="1" t="str">
        <f>IFERROR(__xludf.DUMMYFUNCTION("""COMPUTED_VALUE"""),"151242;INF740KA1RR5;-;DSP FMP Series - 269 - 160 Days - Regular Growth;10.3211;31-May-2023")</f>
        <v>151242;INF740KA1RR5;-;DSP FMP Series - 269 - 160 Days - Regular Growth;10.3211;31-May-2023</v>
      </c>
      <c r="B10913" s="1"/>
    </row>
    <row r="10914">
      <c r="A10914" s="1" t="str">
        <f>IFERROR(__xludf.DUMMYFUNCTION("""COMPUTED_VALUE"""),"151240;INF740KA1RS3;INF740KA1RT1;DSP FMP Series - 269 - 160 Days - Regular IDCW;10.3211;31-May-2023")</f>
        <v>151240;INF740KA1RS3;INF740KA1RT1;DSP FMP Series - 269 - 160 Days - Regular IDCW;10.3211;31-May-2023</v>
      </c>
      <c r="B10914" s="1"/>
    </row>
    <row r="10915">
      <c r="A10915" s="1" t="str">
        <f>IFERROR(__xludf.DUMMYFUNCTION("""COMPUTED_VALUE"""),"151449;INF740KA1SN2;-;DSP FMP Series - 270 - 1144 Days - Direct - Growth;10.3685;25-Aug-2023")</f>
        <v>151449;INF740KA1SN2;-;DSP FMP Series - 270 - 1144 Days - Direct - Growth;10.3685;25-Aug-2023</v>
      </c>
      <c r="B10915" s="1"/>
    </row>
    <row r="10916">
      <c r="A10916" s="1" t="str">
        <f>IFERROR(__xludf.DUMMYFUNCTION("""COMPUTED_VALUE"""),"151450;INF740KA1SO0;INF740KA1SP7;DSP FMP Series - 270 - 1144 Days - Direct - IDCW;10.3686;25-Aug-2023")</f>
        <v>151450;INF740KA1SO0;INF740KA1SP7;DSP FMP Series - 270 - 1144 Days - Direct - IDCW;10.3686;25-Aug-2023</v>
      </c>
      <c r="B10916" s="1"/>
    </row>
    <row r="10917">
      <c r="A10917" s="1" t="str">
        <f>IFERROR(__xludf.DUMMYFUNCTION("""COMPUTED_VALUE"""),"151447;INF740KA1SK8;-;DSP FMP Series - 270 - 1144 Days - Regular - Growth;10.3634;25-Aug-2023")</f>
        <v>151447;INF740KA1SK8;-;DSP FMP Series - 270 - 1144 Days - Regular - Growth;10.3634;25-Aug-2023</v>
      </c>
      <c r="B10917" s="1"/>
    </row>
    <row r="10918">
      <c r="A10918" s="1" t="str">
        <f>IFERROR(__xludf.DUMMYFUNCTION("""COMPUTED_VALUE"""),"151448;INF740KA1SL6;INF740KA1SM4;DSP FMP Series - 270 - 1144 Days - Regular - IDCW;10.3634;25-Aug-2023")</f>
        <v>151448;INF740KA1SL6;INF740KA1SM4;DSP FMP Series - 270 - 1144 Days - Regular - IDCW;10.3634;25-Aug-2023</v>
      </c>
      <c r="B10918" s="1"/>
    </row>
    <row r="10919">
      <c r="A10919" s="1"/>
      <c r="B10919" s="1"/>
    </row>
    <row r="10920">
      <c r="A10920" s="1" t="str">
        <f>IFERROR(__xludf.DUMMYFUNCTION("""COMPUTED_VALUE"""),"Franklin Templeton Mutual Fund")</f>
        <v>Franklin Templeton Mutual Fund</v>
      </c>
      <c r="B10920" s="1"/>
    </row>
    <row r="10921">
      <c r="A10921" s="1"/>
      <c r="B10921" s="1"/>
    </row>
    <row r="10922">
      <c r="A10922" s="1" t="str">
        <f>IFERROR(__xludf.DUMMYFUNCTION("""COMPUTED_VALUE"""),"141041;INF090I01LT2;-;Franklin India Fixed Maturity Plans - Series 1 - Plan A (1108 days) - Dividend;0.0000;09-Apr-2020")</f>
        <v>141041;INF090I01LT2;-;Franklin India Fixed Maturity Plans - Series 1 - Plan A (1108 days) - Dividend;0.0000;09-Apr-2020</v>
      </c>
      <c r="B10922" s="1"/>
    </row>
    <row r="10923">
      <c r="A10923" s="1" t="str">
        <f>IFERROR(__xludf.DUMMYFUNCTION("""COMPUTED_VALUE"""),"141040;INF090I01LS4;-;Franklin India Fixed Maturity Plans - Series 1 - Plan A (1108 days) - Growth;0.0000;09-Apr-2020")</f>
        <v>141040;INF090I01LS4;-;Franklin India Fixed Maturity Plans - Series 1 - Plan A (1108 days) - Growth;0.0000;09-Apr-2020</v>
      </c>
      <c r="B10923" s="1"/>
    </row>
    <row r="10924">
      <c r="A10924" s="1" t="str">
        <f>IFERROR(__xludf.DUMMYFUNCTION("""COMPUTED_VALUE"""),"141043;INF090I01LV8;-;Franklin India Fixed Maturity Plans - Series 1 - Plan A (1108 days) - Growth - Direct;0.0000;09-Apr-2020")</f>
        <v>141043;INF090I01LV8;-;Franklin India Fixed Maturity Plans - Series 1 - Plan A (1108 days) - Growth - Direct;0.0000;09-Apr-2020</v>
      </c>
      <c r="B10924" s="1"/>
    </row>
    <row r="10925">
      <c r="A10925" s="1" t="str">
        <f>IFERROR(__xludf.DUMMYFUNCTION("""COMPUTED_VALUE"""),"141334;INF090I01MC6;-;Franklin India Fixed Maturity Plans - Series 1 - Plan B (1104 days) - Direct - Dividend;0.0000;21-May-2020")</f>
        <v>141334;INF090I01MC6;-;Franklin India Fixed Maturity Plans - Series 1 - Plan B (1104 days) - Direct - Dividend;0.0000;21-May-2020</v>
      </c>
      <c r="B10925" s="1"/>
    </row>
    <row r="10926">
      <c r="A10926" s="1" t="str">
        <f>IFERROR(__xludf.DUMMYFUNCTION("""COMPUTED_VALUE"""),"141335;INF090I01MB8;-;Franklin India Fixed Maturity Plans - Series 1 - Plan B (1104 days) - Direct - Growth;0.0000;21-May-2020")</f>
        <v>141335;INF090I01MB8;-;Franklin India Fixed Maturity Plans - Series 1 - Plan B (1104 days) - Direct - Growth;0.0000;21-May-2020</v>
      </c>
      <c r="B10926" s="1"/>
    </row>
    <row r="10927">
      <c r="A10927" s="1" t="str">
        <f>IFERROR(__xludf.DUMMYFUNCTION("""COMPUTED_VALUE"""),"141336;INF090I01LZ9;-;Franklin India Fixed Maturity Plans - Series 1 - Plan B (1104 days) - Dividend;0.0000;21-May-2020")</f>
        <v>141336;INF090I01LZ9;-;Franklin India Fixed Maturity Plans - Series 1 - Plan B (1104 days) - Dividend;0.0000;21-May-2020</v>
      </c>
      <c r="B10927" s="1"/>
    </row>
    <row r="10928">
      <c r="A10928" s="1" t="str">
        <f>IFERROR(__xludf.DUMMYFUNCTION("""COMPUTED_VALUE"""),"141333;INF090I01LY2;-;Franklin India Fixed Maturity Plans - Series 1 - Plan B (1104 days) - Growth;0.0000;21-May-2020")</f>
        <v>141333;INF090I01LY2;-;Franklin India Fixed Maturity Plans - Series 1 - Plan B (1104 days) - Growth;0.0000;21-May-2020</v>
      </c>
      <c r="B10928" s="1"/>
    </row>
    <row r="10929">
      <c r="A10929" s="1" t="str">
        <f>IFERROR(__xludf.DUMMYFUNCTION("""COMPUTED_VALUE"""),"141338;INF090I01MA0;-;Franklin India Fixed Maturity Plans - Series 1 - Plan B (1104 days) - Quarterly Dividend;0.0000;21-May-2020")</f>
        <v>141338;INF090I01MA0;-;Franklin India Fixed Maturity Plans - Series 1 - Plan B (1104 days) - Quarterly Dividend;0.0000;21-May-2020</v>
      </c>
      <c r="B10929" s="1"/>
    </row>
    <row r="10930">
      <c r="A10930" s="1" t="str">
        <f>IFERROR(__xludf.DUMMYFUNCTION("""COMPUTED_VALUE"""),"141337;INF090I01MD4;-;Franklin India Fixed Maturity Plans - Series 1 - Plan B (1104 days) - Quarterly Dividend - Direct;0.0000;21-May-2020")</f>
        <v>141337;INF090I01MD4;-;Franklin India Fixed Maturity Plans - Series 1 - Plan B (1104 days) - Quarterly Dividend - Direct;0.0000;21-May-2020</v>
      </c>
      <c r="B10930" s="1"/>
    </row>
    <row r="10931">
      <c r="A10931" s="1" t="str">
        <f>IFERROR(__xludf.DUMMYFUNCTION("""COMPUTED_VALUE"""),"144764;INF090I01PV9;-;Franklin India Fixed Maturity Plans Series4 - Plan D (1098 days) Growth- Direct;0.0000;14-Sep-2021")</f>
        <v>144764;INF090I01PV9;-;Franklin India Fixed Maturity Plans Series4 - Plan D (1098 days) Growth- Direct;0.0000;14-Sep-2021</v>
      </c>
      <c r="B10931" s="1"/>
    </row>
    <row r="10932">
      <c r="A10932" s="1" t="str">
        <f>IFERROR(__xludf.DUMMYFUNCTION("""COMPUTED_VALUE"""),"144763;INF090I01PS5;-;Franklin India Fixed Maturity Plans- Series 4- Plan D (1098 days) - Growth;0.0000;14-Sep-2021")</f>
        <v>144763;INF090I01PS5;-;Franklin India Fixed Maturity Plans- Series 4- Plan D (1098 days) - Growth;0.0000;14-Sep-2021</v>
      </c>
      <c r="B10932" s="1"/>
    </row>
    <row r="10933">
      <c r="A10933" s="1" t="str">
        <f>IFERROR(__xludf.DUMMYFUNCTION("""COMPUTED_VALUE"""),"144767;INF090I01PW7;-;Franklin India Fixed Maturity Plans- Series 4- Plan D (1098 days)- Dividend- Direct;10.0000;11-Sep-2018")</f>
        <v>144767;INF090I01PW7;-;Franklin India Fixed Maturity Plans- Series 4- Plan D (1098 days)- Dividend- Direct;10.0000;11-Sep-2018</v>
      </c>
      <c r="B10933" s="1"/>
    </row>
    <row r="10934">
      <c r="A10934" s="1" t="str">
        <f>IFERROR(__xludf.DUMMYFUNCTION("""COMPUTED_VALUE"""),"144768;INF090I01PX5;-;Franklin India Fixed Maturity Plans- Series 4- Plan D(1098 days)- Quarterly Dividend- Direct;10.0000;11-Sep-2018")</f>
        <v>144768;INF090I01PX5;-;Franklin India Fixed Maturity Plans- Series 4- Plan D(1098 days)- Quarterly Dividend- Direct;10.0000;11-Sep-2018</v>
      </c>
      <c r="B10934" s="1"/>
    </row>
    <row r="10935">
      <c r="A10935" s="1" t="str">
        <f>IFERROR(__xludf.DUMMYFUNCTION("""COMPUTED_VALUE"""),"144766;INF090I01PT3;-;Franklin India Fixed Maturity Plans-Series 4 - Plan D 1098 days - IDCW ;0.0000;14-Sep-2021")</f>
        <v>144766;INF090I01PT3;-;Franklin India Fixed Maturity Plans-Series 4 - Plan D 1098 days - IDCW ;0.0000;14-Sep-2021</v>
      </c>
      <c r="B10935" s="1"/>
    </row>
    <row r="10936">
      <c r="A10936" s="1" t="str">
        <f>IFERROR(__xludf.DUMMYFUNCTION("""COMPUTED_VALUE"""),"144765;INF090I01PU1;-;Franklin India Fixed Maturity Plans-Series 4 - Plan D 1098 days -QTR - IDCW ;0.0000;14-Sep-2021")</f>
        <v>144765;INF090I01PU1;-;Franklin India Fixed Maturity Plans-Series 4 - Plan D 1098 days -QTR - IDCW ;0.0000;14-Sep-2021</v>
      </c>
      <c r="B10936" s="1"/>
    </row>
    <row r="10937">
      <c r="A10937" s="1" t="str">
        <f>IFERROR(__xludf.DUMMYFUNCTION("""COMPUTED_VALUE"""),"145529;INF090I01QQ7;-;Franklin India Fixed Maturity Plans- Series 5- Plan B (1244 days)- Growth;0.0000;26-Apr-2022")</f>
        <v>145529;INF090I01QQ7;-;Franklin India Fixed Maturity Plans- Series 5- Plan B (1244 days)- Growth;0.0000;26-Apr-2022</v>
      </c>
      <c r="B10937" s="1"/>
    </row>
    <row r="10938">
      <c r="A10938" s="1" t="str">
        <f>IFERROR(__xludf.DUMMYFUNCTION("""COMPUTED_VALUE"""),"145530;INF090I01QT1;-;Franklin India Fixed Maturity Plans- Series 5- Plan B (1244 days)- Growth Direct;0.0000;26-Apr-2022")</f>
        <v>145530;INF090I01QT1;-;Franklin India Fixed Maturity Plans- Series 5- Plan B (1244 days)- Growth Direct;0.0000;26-Apr-2022</v>
      </c>
      <c r="B10938" s="1"/>
    </row>
    <row r="10939">
      <c r="A10939" s="1" t="str">
        <f>IFERROR(__xludf.DUMMYFUNCTION("""COMPUTED_VALUE"""),"145534;INF090I01QR5;-;Franklin India Fixed Maturity Plans-Series 5 - Plan B 1244 days - IDCW ;0.0000;26-Apr-2022")</f>
        <v>145534;INF090I01QR5;-;Franklin India Fixed Maturity Plans-Series 5 - Plan B 1244 days - IDCW ;0.0000;26-Apr-2022</v>
      </c>
      <c r="B10939" s="1"/>
    </row>
    <row r="10940">
      <c r="A10940" s="1" t="str">
        <f>IFERROR(__xludf.DUMMYFUNCTION("""COMPUTED_VALUE"""),"145533;INF090I01QS3;-;Franklin India Fixed Maturity Plans-Series 5 - Plan B 1244 days -QTR - IDCW ;0.0000;26-Apr-2022")</f>
        <v>145533;INF090I01QS3;-;Franklin India Fixed Maturity Plans-Series 5 - Plan B 1244 days -QTR - IDCW ;0.0000;26-Apr-2022</v>
      </c>
      <c r="B10940" s="1"/>
    </row>
    <row r="10941">
      <c r="A10941" s="1" t="str">
        <f>IFERROR(__xludf.DUMMYFUNCTION("""COMPUTED_VALUE"""),"146049;INF090I01RI2;-;Franklin India Fixed Maturity Plans- Series 5- Plan E (1224 days)- Growth;0.0000;01-Jun-2022")</f>
        <v>146049;INF090I01RI2;-;Franklin India Fixed Maturity Plans- Series 5- Plan E (1224 days)- Growth;0.0000;01-Jun-2022</v>
      </c>
      <c r="B10941" s="1"/>
    </row>
    <row r="10942">
      <c r="A10942" s="1" t="str">
        <f>IFERROR(__xludf.DUMMYFUNCTION("""COMPUTED_VALUE"""),"146053;INF090I01RL6;-;Franklin India Fixed Maturity Plans- Series 5- Plan E (1224 days)- Growth- Direct;0.0000;01-Jun-2022")</f>
        <v>146053;INF090I01RL6;-;Franklin India Fixed Maturity Plans- Series 5- Plan E (1224 days)- Growth- Direct;0.0000;01-Jun-2022</v>
      </c>
      <c r="B10942" s="1"/>
    </row>
    <row r="10943">
      <c r="A10943" s="1" t="str">
        <f>IFERROR(__xludf.DUMMYFUNCTION("""COMPUTED_VALUE"""),"146052;INF090I01RM4;-;Franklin India Fixed Maturity Plans-Series 5 - Plan E 1224 days - Direct - IDCW ;0.0000;01-Jun-2022")</f>
        <v>146052;INF090I01RM4;-;Franklin India Fixed Maturity Plans-Series 5 - Plan E 1224 days - Direct - IDCW ;0.0000;01-Jun-2022</v>
      </c>
      <c r="B10943" s="1"/>
    </row>
    <row r="10944">
      <c r="A10944" s="1" t="str">
        <f>IFERROR(__xludf.DUMMYFUNCTION("""COMPUTED_VALUE"""),"146050;INF090I01RJ0;-;Franklin India Fixed Maturity Plans-Series 5 - Plan E 1224 days - IDCW ;0.0000;01-Jun-2022")</f>
        <v>146050;INF090I01RJ0;-;Franklin India Fixed Maturity Plans-Series 5 - Plan E 1224 days - IDCW ;0.0000;01-Jun-2022</v>
      </c>
      <c r="B10944" s="1"/>
    </row>
    <row r="10945">
      <c r="A10945" s="1" t="str">
        <f>IFERROR(__xludf.DUMMYFUNCTION("""COMPUTED_VALUE"""),"146051;INF090I01RN2;-;Franklin India Fixed Maturity Plans-Series 5 - Plan E 1224 days - QTR Direct - IDCW ;0.0000;01-Jun-2022")</f>
        <v>146051;INF090I01RN2;-;Franklin India Fixed Maturity Plans-Series 5 - Plan E 1224 days - QTR Direct - IDCW ;0.0000;01-Jun-2022</v>
      </c>
      <c r="B10945" s="1"/>
    </row>
    <row r="10946">
      <c r="A10946" s="1" t="str">
        <f>IFERROR(__xludf.DUMMYFUNCTION("""COMPUTED_VALUE"""),"146054;INF090I01RK8;-;Franklin India Fixed Maturity Plans-Series 5 - Plan E 1224 days -QTR - IDCW ;0.0000;01-Jun-2022")</f>
        <v>146054;INF090I01RK8;-;Franklin India Fixed Maturity Plans-Series 5 - Plan E 1224 days -QTR - IDCW ;0.0000;01-Jun-2022</v>
      </c>
      <c r="B10946" s="1"/>
    </row>
    <row r="10947">
      <c r="A10947" s="1" t="str">
        <f>IFERROR(__xludf.DUMMYFUNCTION("""COMPUTED_VALUE"""),"146668;INF090I01SG4;-;Franklin India Fixed Maturity Plans - Series 6 Plan C (1169 days)- Growth;0.0000;01-Jun-2022")</f>
        <v>146668;INF090I01SG4;-;Franklin India Fixed Maturity Plans - Series 6 Plan C (1169 days)- Growth;0.0000;01-Jun-2022</v>
      </c>
      <c r="B10947" s="1"/>
    </row>
    <row r="10948">
      <c r="A10948" s="1" t="str">
        <f>IFERROR(__xludf.DUMMYFUNCTION("""COMPUTED_VALUE"""),"146667;INF090I01SL4;-;Franklin India Fixed Maturity Plans - Series 6 Plan C (1169 days)- Quarterly Dividend- Direct;10.0000;19-Mar-2019")</f>
        <v>146667;INF090I01SL4;-;Franklin India Fixed Maturity Plans - Series 6 Plan C (1169 days)- Quarterly Dividend- Direct;10.0000;19-Mar-2019</v>
      </c>
      <c r="B10948" s="1"/>
    </row>
    <row r="10949">
      <c r="A10949" s="1" t="str">
        <f>IFERROR(__xludf.DUMMYFUNCTION("""COMPUTED_VALUE"""),"146666;INF090I01SK6;-;Franklin India Fixed Maturity Plans- Series 6 Plan C (1169 days)- Dividend- Direct;10.0000;19-Mar-2019")</f>
        <v>146666;INF090I01SK6;-;Franklin India Fixed Maturity Plans- Series 6 Plan C (1169 days)- Dividend- Direct;10.0000;19-Mar-2019</v>
      </c>
      <c r="B10949" s="1"/>
    </row>
    <row r="10950">
      <c r="A10950" s="1" t="str">
        <f>IFERROR(__xludf.DUMMYFUNCTION("""COMPUTED_VALUE"""),"146670;INF090I01SJ8;-;Franklin India Fixed Maturity Plans- Series 6 Plan C (1169 days)- Growth- Direct;0.0000;01-Jun-2022")</f>
        <v>146670;INF090I01SJ8;-;Franklin India Fixed Maturity Plans- Series 6 Plan C (1169 days)- Growth- Direct;0.0000;01-Jun-2022</v>
      </c>
      <c r="B10950" s="1"/>
    </row>
    <row r="10951">
      <c r="A10951" s="1" t="str">
        <f>IFERROR(__xludf.DUMMYFUNCTION("""COMPUTED_VALUE"""),"146665;INF090I01SH2;-;Franklin India Fixed Maturity Plans-Series 6 - Plan C 1169 days - IDCW ;0.0000;01-Jun-2022")</f>
        <v>146665;INF090I01SH2;-;Franklin India Fixed Maturity Plans-Series 6 - Plan C 1169 days - IDCW ;0.0000;01-Jun-2022</v>
      </c>
      <c r="B10951" s="1"/>
    </row>
    <row r="10952">
      <c r="A10952" s="1" t="str">
        <f>IFERROR(__xludf.DUMMYFUNCTION("""COMPUTED_VALUE"""),"146669;INF090I01SI0;-;Franklin India Fixed Maturity Plans-Series 6 - Plan C 1169 days -QTR - IDCW ;0.0000;01-Jun-2022")</f>
        <v>146669;INF090I01SI0;-;Franklin India Fixed Maturity Plans-Series 6 - Plan C 1169 days -QTR - IDCW ;0.0000;01-Jun-2022</v>
      </c>
      <c r="B10952" s="1"/>
    </row>
    <row r="10953">
      <c r="A10953" s="1" t="str">
        <f>IFERROR(__xludf.DUMMYFUNCTION("""COMPUTED_VALUE"""),"143371;INF090I01OE8;-;Franklin India Fixed Maturity Plans - Series 3 - Plan E 1104 days - Direct - IDCW ;0.0000;01-Jun-2021")</f>
        <v>143371;INF090I01OE8;-;Franklin India Fixed Maturity Plans - Series 3 - Plan E 1104 days - Direct - IDCW ;0.0000;01-Jun-2021</v>
      </c>
      <c r="B10953" s="1"/>
    </row>
    <row r="10954">
      <c r="A10954" s="1" t="str">
        <f>IFERROR(__xludf.DUMMYFUNCTION("""COMPUTED_VALUE"""),"143374;INF090I01OB4;-;Franklin India Fixed Maturity Plans - Series 3 - Plan E 1104 days - IDCW ;0.0000;01-Jun-2021")</f>
        <v>143374;INF090I01OB4;-;Franklin India Fixed Maturity Plans - Series 3 - Plan E 1104 days - IDCW ;0.0000;01-Jun-2021</v>
      </c>
      <c r="B10954" s="1"/>
    </row>
    <row r="10955">
      <c r="A10955" s="1" t="str">
        <f>IFERROR(__xludf.DUMMYFUNCTION("""COMPUTED_VALUE"""),"143372;INF090I01OF5;-;Franklin India Fixed Maturity Plans - Series 3 - Plan E 1104 days - QTR Direct - IDCW ;0.0000;01-Jun-2021")</f>
        <v>143372;INF090I01OF5;-;Franklin India Fixed Maturity Plans - Series 3 - Plan E 1104 days - QTR Direct - IDCW ;0.0000;01-Jun-2021</v>
      </c>
      <c r="B10955" s="1"/>
    </row>
    <row r="10956">
      <c r="A10956" s="1" t="str">
        <f>IFERROR(__xludf.DUMMYFUNCTION("""COMPUTED_VALUE"""),"143375;INF090I01OC2;-;Franklin India Fixed Maturity Plans - Series 3 - Plan E 1104 days -QTR - IDCW ;0.0000;01-Jun-2021")</f>
        <v>143375;INF090I01OC2;-;Franklin India Fixed Maturity Plans - Series 3 - Plan E 1104 days -QTR - IDCW ;0.0000;01-Jun-2021</v>
      </c>
      <c r="B10956" s="1"/>
    </row>
    <row r="10957">
      <c r="A10957" s="1" t="str">
        <f>IFERROR(__xludf.DUMMYFUNCTION("""COMPUTED_VALUE"""),"143370;INF090I01OD0;-;Franklin India Fixed Maturity Plans -series 3- Plan E (1104) days- Growth -Direct;0.0000;01-Jun-2021")</f>
        <v>143370;INF090I01OD0;-;Franklin India Fixed Maturity Plans -series 3- Plan E (1104) days- Growth -Direct;0.0000;01-Jun-2021</v>
      </c>
      <c r="B10957" s="1"/>
    </row>
    <row r="10958">
      <c r="A10958" s="1" t="str">
        <f>IFERROR(__xludf.DUMMYFUNCTION("""COMPUTED_VALUE"""),"143373;INF090I01OA6;-;Franklin India Fixed Maturity Plans- series 3- Plan E (1104) days- Growth;0.0000;01-Jun-2021")</f>
        <v>143373;INF090I01OA6;-;Franklin India Fixed Maturity Plans- series 3- Plan E (1104) days- Growth;0.0000;01-Jun-2021</v>
      </c>
      <c r="B10958" s="1"/>
    </row>
    <row r="10959">
      <c r="A10959" s="1" t="str">
        <f>IFERROR(__xludf.DUMMYFUNCTION("""COMPUTED_VALUE"""),"144653;INF090I01PP1;-;Franklin India Fixed Maturity Plans Series 4 Plan C (1098 days) -Growth -Direct;0.0000;01-Sep-2021")</f>
        <v>144653;INF090I01PP1;-;Franklin India Fixed Maturity Plans Series 4 Plan C (1098 days) -Growth -Direct;0.0000;01-Sep-2021</v>
      </c>
      <c r="B10959" s="1"/>
    </row>
    <row r="10960">
      <c r="A10960" s="1" t="str">
        <f>IFERROR(__xludf.DUMMYFUNCTION("""COMPUTED_VALUE"""),"144655;INF090I01PQ9;-;Franklin India Fixed Maturity Plans- Series 4 Plan C (1098 days) -Dividend -Direct;10.0000;29-Aug-2018")</f>
        <v>144655;INF090I01PQ9;-;Franklin India Fixed Maturity Plans- Series 4 Plan C (1098 days) -Dividend -Direct;10.0000;29-Aug-2018</v>
      </c>
      <c r="B10960" s="1"/>
    </row>
    <row r="10961">
      <c r="A10961" s="1" t="str">
        <f>IFERROR(__xludf.DUMMYFUNCTION("""COMPUTED_VALUE"""),"144652;INF090I01PM8;-;Franklin India Fixed Maturity Plans- Series 4 Plan C (1098 days) -Growth;0.0000;01-Sep-2021")</f>
        <v>144652;INF090I01PM8;-;Franklin India Fixed Maturity Plans- Series 4 Plan C (1098 days) -Growth;0.0000;01-Sep-2021</v>
      </c>
      <c r="B10961" s="1"/>
    </row>
    <row r="10962">
      <c r="A10962" s="1" t="str">
        <f>IFERROR(__xludf.DUMMYFUNCTION("""COMPUTED_VALUE"""),"144654;INF090I01PN6;-;Franklin India Fixed Maturity Plans-Series 4 - Plan C 1098 days - IDCW ;0.0000;01-Sep-2021")</f>
        <v>144654;INF090I01PN6;-;Franklin India Fixed Maturity Plans-Series 4 - Plan C 1098 days - IDCW ;0.0000;01-Sep-2021</v>
      </c>
      <c r="B10962" s="1"/>
    </row>
    <row r="10963">
      <c r="A10963" s="1" t="str">
        <f>IFERROR(__xludf.DUMMYFUNCTION("""COMPUTED_VALUE"""),"144657;INF090I01PR7;-;Franklin India Fixed Maturity Plans-Series 4 - Plan C 1098 days - QTR Direct - IDCW ;0.0000;01-Sep-2021")</f>
        <v>144657;INF090I01PR7;-;Franklin India Fixed Maturity Plans-Series 4 - Plan C 1098 days - QTR Direct - IDCW ;0.0000;01-Sep-2021</v>
      </c>
      <c r="B10963" s="1"/>
    </row>
    <row r="10964">
      <c r="A10964" s="1" t="str">
        <f>IFERROR(__xludf.DUMMYFUNCTION("""COMPUTED_VALUE"""),"144656;INF090I01PO4;-;Franklin India Fixed Maturity Plans-Series 4 - Plan C 1098 days -QTR - IDCW ;0.0000;01-Sep-2021")</f>
        <v>144656;INF090I01PO4;-;Franklin India Fixed Maturity Plans-Series 4 - Plan C 1098 days -QTR - IDCW ;0.0000;01-Sep-2021</v>
      </c>
      <c r="B10964" s="1"/>
    </row>
    <row r="10965">
      <c r="A10965" s="1" t="str">
        <f>IFERROR(__xludf.DUMMYFUNCTION("""COMPUTED_VALUE"""),"145318;INF090I01QN4;-;Franklin India Fixed Maturity Plans - Series 5 Plan A (1273 days)- Growth -Direct;0.0000;26-Apr-2022")</f>
        <v>145318;INF090I01QN4;-;Franklin India Fixed Maturity Plans - Series 5 Plan A (1273 days)- Growth -Direct;0.0000;26-Apr-2022</v>
      </c>
      <c r="B10965" s="1"/>
    </row>
    <row r="10966">
      <c r="A10966" s="1" t="str">
        <f>IFERROR(__xludf.DUMMYFUNCTION("""COMPUTED_VALUE"""),"145317;INF090I01QK0;-;Franklin India Fixed Maturity Plans -Series 5 Plan A (1273 days)- Growth;0.0000;26-Apr-2022")</f>
        <v>145317;INF090I01QK0;-;Franklin India Fixed Maturity Plans -Series 5 Plan A (1273 days)- Growth;0.0000;26-Apr-2022</v>
      </c>
      <c r="B10966" s="1"/>
    </row>
    <row r="10967">
      <c r="A10967" s="1" t="str">
        <f>IFERROR(__xludf.DUMMYFUNCTION("""COMPUTED_VALUE"""),"145319;INF090I01QO2;-;Franklin India Fixed Maturity Plans-Series 5 - Plan A 1273 days - Direct - IDCW ;0.0000;26-Apr-2022")</f>
        <v>145319;INF090I01QO2;-;Franklin India Fixed Maturity Plans-Series 5 - Plan A 1273 days - Direct - IDCW ;0.0000;26-Apr-2022</v>
      </c>
      <c r="B10967" s="1"/>
    </row>
    <row r="10968">
      <c r="A10968" s="1" t="str">
        <f>IFERROR(__xludf.DUMMYFUNCTION("""COMPUTED_VALUE"""),"145321;INF090I01QL8;-;Franklin India Fixed Maturity Plans-Series 5 - Plan A 1273 days - IDCW ;0.0000;26-Apr-2022")</f>
        <v>145321;INF090I01QL8;-;Franklin India Fixed Maturity Plans-Series 5 - Plan A 1273 days - IDCW ;0.0000;26-Apr-2022</v>
      </c>
      <c r="B10968" s="1"/>
    </row>
    <row r="10969">
      <c r="A10969" s="1" t="str">
        <f>IFERROR(__xludf.DUMMYFUNCTION("""COMPUTED_VALUE"""),"145320;INF090I01QP9;-;Franklin India Fixed Maturity Plans-Series 5 - Plan A 1273 days - QTR Direct - IDCW ;0.0000;26-Apr-2022")</f>
        <v>145320;INF090I01QP9;-;Franklin India Fixed Maturity Plans-Series 5 - Plan A 1273 days - QTR Direct - IDCW ;0.0000;26-Apr-2022</v>
      </c>
      <c r="B10969" s="1"/>
    </row>
    <row r="10970">
      <c r="A10970" s="1" t="str">
        <f>IFERROR(__xludf.DUMMYFUNCTION("""COMPUTED_VALUE"""),"145322;INF090I01QM6;-;Franklin India Fixed Maturity Plans-Series 5 - Plan A 1273 days -QTR - IDCW ;0.0000;26-Apr-2022")</f>
        <v>145322;INF090I01QM6;-;Franklin India Fixed Maturity Plans-Series 5 - Plan A 1273 days -QTR - IDCW ;0.0000;26-Apr-2022</v>
      </c>
      <c r="B10970" s="1"/>
    </row>
    <row r="10971">
      <c r="A10971" s="1" t="str">
        <f>IFERROR(__xludf.DUMMYFUNCTION("""COMPUTED_VALUE"""),"144268;INF090I01OV2;-;Franklin India Fixed Maturity Plans - Series 4 - Plan B (1098 days)- Growth - Direct;0.0000;28-Jul-2021")</f>
        <v>144268;INF090I01OV2;-;Franklin India Fixed Maturity Plans - Series 4 - Plan B (1098 days)- Growth - Direct;0.0000;28-Jul-2021</v>
      </c>
      <c r="B10971" s="1"/>
    </row>
    <row r="10972">
      <c r="A10972" s="1" t="str">
        <f>IFERROR(__xludf.DUMMYFUNCTION("""COMPUTED_VALUE"""),"144267;INF090I01OS8;-;Franklin India Fixed Maturity Plans - Series 4- Plan B (1098 days)- Growth;0.0000;28-Jul-2021")</f>
        <v>144267;INF090I01OS8;-;Franklin India Fixed Maturity Plans - Series 4- Plan B (1098 days)- Growth;0.0000;28-Jul-2021</v>
      </c>
      <c r="B10972" s="1"/>
    </row>
    <row r="10973">
      <c r="A10973" s="1" t="str">
        <f>IFERROR(__xludf.DUMMYFUNCTION("""COMPUTED_VALUE"""),"144266;INF090I01OX8;-;Franklin India Fixed Maturity Plans- Series 4 - Plan B (1098 days)- Quarterly Dividend- Direct;10.0000;25-Jul-2018")</f>
        <v>144266;INF090I01OX8;-;Franklin India Fixed Maturity Plans- Series 4 - Plan B (1098 days)- Quarterly Dividend- Direct;10.0000;25-Jul-2018</v>
      </c>
      <c r="B10973" s="1"/>
    </row>
    <row r="10974">
      <c r="A10974" s="1" t="str">
        <f>IFERROR(__xludf.DUMMYFUNCTION("""COMPUTED_VALUE"""),"144270;INF090I01OW0;-;Franklin India Fixed Maturity Plans-Series 4 - Plan B 1098 days - Direct - IDCW ;0.0000;28-Jul-2021")</f>
        <v>144270;INF090I01OW0;-;Franklin India Fixed Maturity Plans-Series 4 - Plan B 1098 days - Direct - IDCW ;0.0000;28-Jul-2021</v>
      </c>
      <c r="B10974" s="1"/>
    </row>
    <row r="10975">
      <c r="A10975" s="1" t="str">
        <f>IFERROR(__xludf.DUMMYFUNCTION("""COMPUTED_VALUE"""),"144269;INF090I01OT6;-;Franklin India Fixed Maturity Plans-Series 4 - Plan B 1098 days - IDCW ;0.0000;28-Jul-2021")</f>
        <v>144269;INF090I01OT6;-;Franklin India Fixed Maturity Plans-Series 4 - Plan B 1098 days - IDCW ;0.0000;28-Jul-2021</v>
      </c>
      <c r="B10975" s="1"/>
    </row>
    <row r="10976">
      <c r="A10976" s="1" t="str">
        <f>IFERROR(__xludf.DUMMYFUNCTION("""COMPUTED_VALUE"""),"144265;INF090I01OU4;-;Franklin India Fixed Maturity Plans-Series 4 - Plan B 1098 days -QTR - IDCW ;0.0000;28-Jul-2021")</f>
        <v>144265;INF090I01OU4;-;Franklin India Fixed Maturity Plans-Series 4 - Plan B 1098 days -QTR - IDCW ;0.0000;28-Jul-2021</v>
      </c>
      <c r="B10976" s="1"/>
    </row>
    <row r="10977">
      <c r="A10977" s="1" t="str">
        <f>IFERROR(__xludf.DUMMYFUNCTION("""COMPUTED_VALUE"""),"142000;INF090I01MO1;-;Franklin India Fixed Maturity Plans - Series 2 - Plan A 1224 days - Direct - IDCW ;0.0000;07-Apr-2021")</f>
        <v>142000;INF090I01MO1;-;Franklin India Fixed Maturity Plans - Series 2 - Plan A 1224 days - Direct - IDCW ;0.0000;07-Apr-2021</v>
      </c>
      <c r="B10977" s="1"/>
    </row>
    <row r="10978">
      <c r="A10978" s="1" t="str">
        <f>IFERROR(__xludf.DUMMYFUNCTION("""COMPUTED_VALUE"""),"141999;INF090I01ML7;-;Franklin India Fixed Maturity Plans - Series 2 - Plan A 1224 days - IDCW ;0.0000;07-Apr-2021")</f>
        <v>141999;INF090I01ML7;-;Franklin India Fixed Maturity Plans - Series 2 - Plan A 1224 days - IDCW ;0.0000;07-Apr-2021</v>
      </c>
      <c r="B10978" s="1"/>
    </row>
    <row r="10979">
      <c r="A10979" s="1" t="str">
        <f>IFERROR(__xludf.DUMMYFUNCTION("""COMPUTED_VALUE"""),"142004;INF090I01MP8;-;Franklin India Fixed Maturity Plans - Series 2 - Plan A 1224 days - QTR Direct - IDCW ;0.0000;07-Apr-2021")</f>
        <v>142004;INF090I01MP8;-;Franklin India Fixed Maturity Plans - Series 2 - Plan A 1224 days - QTR Direct - IDCW ;0.0000;07-Apr-2021</v>
      </c>
      <c r="B10979" s="1"/>
    </row>
    <row r="10980">
      <c r="A10980" s="1" t="str">
        <f>IFERROR(__xludf.DUMMYFUNCTION("""COMPUTED_VALUE"""),"142003;INF090I01MM5;-;Franklin India Fixed Maturity Plans - Series 2 - Plan A 1224 days -QTR - IDCW ;0.0000;07-Apr-2021")</f>
        <v>142003;INF090I01MM5;-;Franklin India Fixed Maturity Plans - Series 2 - Plan A 1224 days -QTR - IDCW ;0.0000;07-Apr-2021</v>
      </c>
      <c r="B10980" s="1"/>
    </row>
    <row r="10981">
      <c r="A10981" s="1" t="str">
        <f>IFERROR(__xludf.DUMMYFUNCTION("""COMPUTED_VALUE"""),"142001;INF090I01MK9;-;Franklin India Fixed Maturity Plans- Series 2- Plan A(1224 days)- Growth;0.0000;07-Apr-2021")</f>
        <v>142001;INF090I01MK9;-;Franklin India Fixed Maturity Plans- Series 2- Plan A(1224 days)- Growth;0.0000;07-Apr-2021</v>
      </c>
      <c r="B10981" s="1"/>
    </row>
    <row r="10982">
      <c r="A10982" s="1" t="str">
        <f>IFERROR(__xludf.DUMMYFUNCTION("""COMPUTED_VALUE"""),"142002;INF090I01MN3;-;Franklin India Fixed Maturity Plans- Series 2- Plan A(1224 days)- Growth- Direct;0.0000;07-Apr-2021")</f>
        <v>142002;INF090I01MN3;-;Franklin India Fixed Maturity Plans- Series 2- Plan A(1224 days)- Growth- Direct;0.0000;07-Apr-2021</v>
      </c>
      <c r="B10982" s="1"/>
    </row>
    <row r="10983">
      <c r="A10983" s="1" t="str">
        <f>IFERROR(__xludf.DUMMYFUNCTION("""COMPUTED_VALUE"""),"142113;INF090I01MQ6;-;Franklin India Fixed Maturity Plans - Series 2 - Plan B 1224 days - IDCW ;0.0000;28-Apr-2021")</f>
        <v>142113;INF090I01MQ6;-;Franklin India Fixed Maturity Plans - Series 2 - Plan B 1224 days - IDCW ;0.0000;28-Apr-2021</v>
      </c>
      <c r="B10983" s="1"/>
    </row>
    <row r="10984">
      <c r="A10984" s="1" t="str">
        <f>IFERROR(__xludf.DUMMYFUNCTION("""COMPUTED_VALUE"""),"142116;INF090I01MS2;-;Franklin India Fixed Maturity Plans - Series 2 - Plan B 1224 days -QTR - IDCW ;0.0000;28-Apr-2021")</f>
        <v>142116;INF090I01MS2;-;Franklin India Fixed Maturity Plans - Series 2 - Plan B 1224 days -QTR - IDCW ;0.0000;28-Apr-2021</v>
      </c>
      <c r="B10984" s="1"/>
    </row>
    <row r="10985">
      <c r="A10985" s="1" t="str">
        <f>IFERROR(__xludf.DUMMYFUNCTION("""COMPUTED_VALUE"""),"142111;INF090I01MU8;-;Franklin India Fixed Maturity Plans- Series 2- Plan B(1224 days)- Dividend -Direct;10.0000;20-Dec-2017")</f>
        <v>142111;INF090I01MU8;-;Franklin India Fixed Maturity Plans- Series 2- Plan B(1224 days)- Dividend -Direct;10.0000;20-Dec-2017</v>
      </c>
      <c r="B10985" s="1"/>
    </row>
    <row r="10986">
      <c r="A10986" s="1" t="str">
        <f>IFERROR(__xludf.DUMMYFUNCTION("""COMPUTED_VALUE"""),"142115;INF090I01MR4;-;Franklin India Fixed Maturity Plans- Series 2- Plan B(1224 days)- Growth;0.0000;28-Apr-2021")</f>
        <v>142115;INF090I01MR4;-;Franklin India Fixed Maturity Plans- Series 2- Plan B(1224 days)- Growth;0.0000;28-Apr-2021</v>
      </c>
      <c r="B10986" s="1"/>
    </row>
    <row r="10987">
      <c r="A10987" s="1" t="str">
        <f>IFERROR(__xludf.DUMMYFUNCTION("""COMPUTED_VALUE"""),"142112;INF090I01MT0;-;Franklin India Fixed Maturity Plans- Series 2- Plan B(1224 days)- Growth- Direct;0.0000;28-Apr-2021")</f>
        <v>142112;INF090I01MT0;-;Franklin India Fixed Maturity Plans- Series 2- Plan B(1224 days)- Growth- Direct;0.0000;28-Apr-2021</v>
      </c>
      <c r="B10987" s="1"/>
    </row>
    <row r="10988">
      <c r="A10988" s="1" t="str">
        <f>IFERROR(__xludf.DUMMYFUNCTION("""COMPUTED_VALUE"""),"142114;INF090I01MV6;-;Franklin India Fixed Maturity Plans- Series 2- Plan B(1224 days)- Quarterly Dividend - Direct;10.0000;20-Dec-2017")</f>
        <v>142114;INF090I01MV6;-;Franklin India Fixed Maturity Plans- Series 2- Plan B(1224 days)- Quarterly Dividend - Direct;10.0000;20-Dec-2017</v>
      </c>
      <c r="B10988" s="1"/>
    </row>
    <row r="10989">
      <c r="A10989" s="1" t="str">
        <f>IFERROR(__xludf.DUMMYFUNCTION("""COMPUTED_VALUE"""),"142141;INF090I01NA8;-;Franklin India Fixed Maturity Plans - Series 2 - Plan C 1205 days - Direct - IDCW ;0.0000;30-Apr-2021")</f>
        <v>142141;INF090I01NA8;-;Franklin India Fixed Maturity Plans - Series 2 - Plan C 1205 days - Direct - IDCW ;0.0000;30-Apr-2021</v>
      </c>
      <c r="B10989" s="1"/>
    </row>
    <row r="10990">
      <c r="A10990" s="1" t="str">
        <f>IFERROR(__xludf.DUMMYFUNCTION("""COMPUTED_VALUE"""),"142145;INF090I01MX2;-;Franklin India Fixed Maturity Plans - Series 2 - Plan C 1205 days - IDCW ;0.0000;30-Apr-2021")</f>
        <v>142145;INF090I01MX2;-;Franklin India Fixed Maturity Plans - Series 2 - Plan C 1205 days - IDCW ;0.0000;30-Apr-2021</v>
      </c>
      <c r="B10990" s="1"/>
    </row>
    <row r="10991">
      <c r="A10991" s="1" t="str">
        <f>IFERROR(__xludf.DUMMYFUNCTION("""COMPUTED_VALUE"""),"142142;INF090I01MY0;-;Franklin India Fixed Maturity Plans - Series 2 - Plan C 1205 days -QTR - IDCW ;0.0000;30-Apr-2021")</f>
        <v>142142;INF090I01MY0;-;Franklin India Fixed Maturity Plans - Series 2 - Plan C 1205 days -QTR - IDCW ;0.0000;30-Apr-2021</v>
      </c>
      <c r="B10991" s="1"/>
    </row>
    <row r="10992">
      <c r="A10992" s="1" t="str">
        <f>IFERROR(__xludf.DUMMYFUNCTION("""COMPUTED_VALUE"""),"142146;INF090I01NB6;-;Franklin India Fixed Maturity Plans- Series 2- Plan C (1205 days)- Quarterly Dividend- Direct;10.0000;10-Jan-2018")</f>
        <v>142146;INF090I01NB6;-;Franklin India Fixed Maturity Plans- Series 2- Plan C (1205 days)- Quarterly Dividend- Direct;10.0000;10-Jan-2018</v>
      </c>
      <c r="B10992" s="1"/>
    </row>
    <row r="10993">
      <c r="A10993" s="1" t="str">
        <f>IFERROR(__xludf.DUMMYFUNCTION("""COMPUTED_VALUE"""),"142143;INF090I01MW4;-;Franklin India Fixed Maturity Plans- Series 2- Plan C(1205 days)- Growth;0.0000;30-Apr-2021")</f>
        <v>142143;INF090I01MW4;-;Franklin India Fixed Maturity Plans- Series 2- Plan C(1205 days)- Growth;0.0000;30-Apr-2021</v>
      </c>
      <c r="B10993" s="1"/>
    </row>
    <row r="10994">
      <c r="A10994" s="1" t="str">
        <f>IFERROR(__xludf.DUMMYFUNCTION("""COMPUTED_VALUE"""),"142144;INF090I01MZ7;-;Franklin India Fixed Maturity Plans- Series 2- Plan C(1205 days)- Growth- Direct;0.0000;30-Apr-2021")</f>
        <v>142144;INF090I01MZ7;-;Franklin India Fixed Maturity Plans- Series 2- Plan C(1205 days)- Growth- Direct;0.0000;30-Apr-2021</v>
      </c>
      <c r="B10994" s="1"/>
    </row>
    <row r="10995">
      <c r="A10995" s="1" t="str">
        <f>IFERROR(__xludf.DUMMYFUNCTION("""COMPUTED_VALUE"""),"142538;INF090I01ND2;-;Franklin India Fixed Maturity Plans - Series 3 - Plan A 1157 days - IDCW ;0.0000;30-Apr-2021")</f>
        <v>142538;INF090I01ND2;-;Franklin India Fixed Maturity Plans - Series 3 - Plan A 1157 days - IDCW ;0.0000;30-Apr-2021</v>
      </c>
      <c r="B10995" s="1"/>
    </row>
    <row r="10996">
      <c r="A10996" s="1" t="str">
        <f>IFERROR(__xludf.DUMMYFUNCTION("""COMPUTED_VALUE"""),"142539;INF090I01NG5;-;Franklin India Fixed Maturity Plans- Series 3- Plan A(1157 days)- Dividend Direct;10.0000;27-Feb-2018")</f>
        <v>142539;INF090I01NG5;-;Franklin India Fixed Maturity Plans- Series 3- Plan A(1157 days)- Dividend Direct;10.0000;27-Feb-2018</v>
      </c>
      <c r="B10996" s="1"/>
    </row>
    <row r="10997">
      <c r="A10997" s="1" t="str">
        <f>IFERROR(__xludf.DUMMYFUNCTION("""COMPUTED_VALUE"""),"142535;INF090I01NC4;-;Franklin India Fixed Maturity Plans- Series 3- Plan A(1157 days)- Growth;0.0000;30-Apr-2021")</f>
        <v>142535;INF090I01NC4;-;Franklin India Fixed Maturity Plans- Series 3- Plan A(1157 days)- Growth;0.0000;30-Apr-2021</v>
      </c>
      <c r="B10997" s="1"/>
    </row>
    <row r="10998">
      <c r="A10998" s="1" t="str">
        <f>IFERROR(__xludf.DUMMYFUNCTION("""COMPUTED_VALUE"""),"142537;INF090I01NF7;-;Franklin India Fixed Maturity Plans- Series 3- Plan A(1157 days)- Growth-Direct;0.0000;30-Apr-2021")</f>
        <v>142537;INF090I01NF7;-;Franklin India Fixed Maturity Plans- Series 3- Plan A(1157 days)- Growth-Direct;0.0000;30-Apr-2021</v>
      </c>
      <c r="B10998" s="1"/>
    </row>
    <row r="10999">
      <c r="A10999" s="1" t="str">
        <f>IFERROR(__xludf.DUMMYFUNCTION("""COMPUTED_VALUE"""),"142536;INF090I01NE0;-;Franklin India Fixed Maturity Plans- Series 3- Plan A(1157 days)- Quarterly Dividend;10.0000;27-Feb-2018")</f>
        <v>142536;INF090I01NE0;-;Franklin India Fixed Maturity Plans- Series 3- Plan A(1157 days)- Quarterly Dividend;10.0000;27-Feb-2018</v>
      </c>
      <c r="B10999" s="1"/>
    </row>
    <row r="11000">
      <c r="A11000" s="1" t="str">
        <f>IFERROR(__xludf.DUMMYFUNCTION("""COMPUTED_VALUE"""),"142540;INF090I01NH3;-;Franklin India Fixed Maturity Plans- Series 3- Plan A(1157 days)- Quarterly Dividend- Direct;10.0000;27-Feb-2018")</f>
        <v>142540;INF090I01NH3;-;Franklin India Fixed Maturity Plans- Series 3- Plan A(1157 days)- Quarterly Dividend- Direct;10.0000;27-Feb-2018</v>
      </c>
      <c r="B11000" s="1"/>
    </row>
    <row r="11001">
      <c r="A11001" s="1" t="str">
        <f>IFERROR(__xludf.DUMMYFUNCTION("""COMPUTED_VALUE"""),"142664;INF090I01NJ9;-;Franklin India Fixed Maturity Plans - Series 3 - Plan B 1139 days - IDCW ;0.0000;20-Apr-2021")</f>
        <v>142664;INF090I01NJ9;-;Franklin India Fixed Maturity Plans - Series 3 - Plan B 1139 days - IDCW ;0.0000;20-Apr-2021</v>
      </c>
      <c r="B11001" s="1"/>
    </row>
    <row r="11002">
      <c r="A11002" s="1" t="str">
        <f>IFERROR(__xludf.DUMMYFUNCTION("""COMPUTED_VALUE"""),"142665;INF090I01NK7;-;Franklin India Fixed Maturity Plans - Series 3 - Plan B 1139 days -QTR - IDCW ;0.0000;20-Apr-2021")</f>
        <v>142665;INF090I01NK7;-;Franklin India Fixed Maturity Plans - Series 3 - Plan B 1139 days -QTR - IDCW ;0.0000;20-Apr-2021</v>
      </c>
      <c r="B11002" s="1"/>
    </row>
    <row r="11003">
      <c r="A11003" s="1" t="str">
        <f>IFERROR(__xludf.DUMMYFUNCTION("""COMPUTED_VALUE"""),"142669;INF090I01NM3;-;Franklin India Fixed Maturity Plans- Series 3- Plan B (1139 days)- Dividend -Direct;10.0000;07-Mar-2018")</f>
        <v>142669;INF090I01NM3;-;Franklin India Fixed Maturity Plans- Series 3- Plan B (1139 days)- Dividend -Direct;10.0000;07-Mar-2018</v>
      </c>
      <c r="B11003" s="1"/>
    </row>
    <row r="11004">
      <c r="A11004" s="1" t="str">
        <f>IFERROR(__xludf.DUMMYFUNCTION("""COMPUTED_VALUE"""),"142667;INF090I01NI1;-;Franklin India Fixed Maturity Plans- Series 3- Plan B (1139 days)- Growth;0.0000;20-Apr-2021")</f>
        <v>142667;INF090I01NI1;-;Franklin India Fixed Maturity Plans- Series 3- Plan B (1139 days)- Growth;0.0000;20-Apr-2021</v>
      </c>
      <c r="B11004" s="1"/>
    </row>
    <row r="11005">
      <c r="A11005" s="1" t="str">
        <f>IFERROR(__xludf.DUMMYFUNCTION("""COMPUTED_VALUE"""),"142668;INF090I01NL5;-;Franklin India Fixed Maturity Plans- Series 3- Plan B (1139 days)- Growth- Direct;0.0000;20-Apr-2021")</f>
        <v>142668;INF090I01NL5;-;Franklin India Fixed Maturity Plans- Series 3- Plan B (1139 days)- Growth- Direct;0.0000;20-Apr-2021</v>
      </c>
      <c r="B11005" s="1"/>
    </row>
    <row r="11006">
      <c r="A11006" s="1" t="str">
        <f>IFERROR(__xludf.DUMMYFUNCTION("""COMPUTED_VALUE"""),"142666;INF090I01NN1;-;Franklin India Fixed Maturity Plans- Series 3- Plan B (1139 days)- Quarterly Dividend-Direct;10.0000;07-Mar-2018")</f>
        <v>142666;INF090I01NN1;-;Franklin India Fixed Maturity Plans- Series 3- Plan B (1139 days)- Quarterly Dividend-Direct;10.0000;07-Mar-2018</v>
      </c>
      <c r="B11006" s="1"/>
    </row>
    <row r="11007">
      <c r="A11007" s="1" t="str">
        <f>IFERROR(__xludf.DUMMYFUNCTION("""COMPUTED_VALUE"""),"142713;INF090I01NS0;-;Franklin India Fixed Maturity Plans - Series 3 - Plan C 1132 days - Direct - IDCW ;0.0000;20-Apr-2021")</f>
        <v>142713;INF090I01NS0;-;Franklin India Fixed Maturity Plans - Series 3 - Plan C 1132 days - Direct - IDCW ;0.0000;20-Apr-2021</v>
      </c>
      <c r="B11007" s="1"/>
    </row>
    <row r="11008">
      <c r="A11008" s="1" t="str">
        <f>IFERROR(__xludf.DUMMYFUNCTION("""COMPUTED_VALUE"""),"142712;INF090I01NP6;-;Franklin India Fixed Maturity Plans - Series 3 - Plan C 1132 days - IDCW ;0.0000;20-Apr-2021")</f>
        <v>142712;INF090I01NP6;-;Franklin India Fixed Maturity Plans - Series 3 - Plan C 1132 days - IDCW ;0.0000;20-Apr-2021</v>
      </c>
      <c r="B11008" s="1"/>
    </row>
    <row r="11009">
      <c r="A11009" s="1" t="str">
        <f>IFERROR(__xludf.DUMMYFUNCTION("""COMPUTED_VALUE"""),"142710;INF090I01NT8;-;Franklin India Fixed Maturity Plans - Series 3 - Plan C 1132 days - QTR Direct - IDCW ;0.0000;20-Apr-2021")</f>
        <v>142710;INF090I01NT8;-;Franklin India Fixed Maturity Plans - Series 3 - Plan C 1132 days - QTR Direct - IDCW ;0.0000;20-Apr-2021</v>
      </c>
      <c r="B11009" s="1"/>
    </row>
    <row r="11010">
      <c r="A11010" s="1" t="str">
        <f>IFERROR(__xludf.DUMMYFUNCTION("""COMPUTED_VALUE"""),"142715;INF090I01NQ4;-;Franklin India Fixed Maturity Plans - Series 3 - Plan C 1132 days -QTR - IDCW ;0.0000;20-Apr-2021")</f>
        <v>142715;INF090I01NQ4;-;Franklin India Fixed Maturity Plans - Series 3 - Plan C 1132 days -QTR - IDCW ;0.0000;20-Apr-2021</v>
      </c>
      <c r="B11010" s="1"/>
    </row>
    <row r="11011">
      <c r="A11011" s="1" t="str">
        <f>IFERROR(__xludf.DUMMYFUNCTION("""COMPUTED_VALUE"""),"142714;INF090I01NO9;-;Franklin India Fixed Maturity Plans- Series 3- Plan C (1132 days)- Growth;0.0000;20-Apr-2021")</f>
        <v>142714;INF090I01NO9;-;Franklin India Fixed Maturity Plans- Series 3- Plan C (1132 days)- Growth;0.0000;20-Apr-2021</v>
      </c>
      <c r="B11011" s="1"/>
    </row>
    <row r="11012">
      <c r="A11012" s="1" t="str">
        <f>IFERROR(__xludf.DUMMYFUNCTION("""COMPUTED_VALUE"""),"142711;INF090I01NR2;-;Franklin India Fixed Maturity Plans- Series 3- Plan C (1132 days)- Growth-Direct;0.0000;20-Apr-2021")</f>
        <v>142711;INF090I01NR2;-;Franklin India Fixed Maturity Plans- Series 3- Plan C (1132 days)- Growth-Direct;0.0000;20-Apr-2021</v>
      </c>
      <c r="B11012" s="1"/>
    </row>
    <row r="11013">
      <c r="A11013" s="1" t="str">
        <f>IFERROR(__xludf.DUMMYFUNCTION("""COMPUTED_VALUE"""),"142918;INF090I01NV4;-;Franklin India Fixed Maturity Plans - Series 3 - Plan D 1132 days - IDCW ;0.0000;28-Apr-2021")</f>
        <v>142918;INF090I01NV4;-;Franklin India Fixed Maturity Plans - Series 3 - Plan D 1132 days - IDCW ;0.0000;28-Apr-2021</v>
      </c>
      <c r="B11013" s="1"/>
    </row>
    <row r="11014">
      <c r="A11014" s="1" t="str">
        <f>IFERROR(__xludf.DUMMYFUNCTION("""COMPUTED_VALUE"""),"142922;INF090I01NZ5;-;Franklin India Fixed Maturity Plans - Series 3 - Plan D 1132 days - QTR Direct - IDCW ;0.0000;28-Apr-2021")</f>
        <v>142922;INF090I01NZ5;-;Franklin India Fixed Maturity Plans - Series 3 - Plan D 1132 days - QTR Direct - IDCW ;0.0000;28-Apr-2021</v>
      </c>
      <c r="B11014" s="1"/>
    </row>
    <row r="11015">
      <c r="A11015" s="1" t="str">
        <f>IFERROR(__xludf.DUMMYFUNCTION("""COMPUTED_VALUE"""),"142920;INF090I01NW2;-;Franklin India Fixed Maturity Plans - Series 3 - Plan D 1132 days -QTR - IDCW ;0.0000;28-Apr-2021")</f>
        <v>142920;INF090I01NW2;-;Franklin India Fixed Maturity Plans - Series 3 - Plan D 1132 days -QTR - IDCW ;0.0000;28-Apr-2021</v>
      </c>
      <c r="B11015" s="1"/>
    </row>
    <row r="11016">
      <c r="A11016" s="1" t="str">
        <f>IFERROR(__xludf.DUMMYFUNCTION("""COMPUTED_VALUE"""),"142919;INF090I01NY8;-;Franklin India Fixed Maturity Plans- Series 3- Plan D (1132 days)- Dividend- Direct;10.0000;22-Mar-2018")</f>
        <v>142919;INF090I01NY8;-;Franklin India Fixed Maturity Plans- Series 3- Plan D (1132 days)- Dividend- Direct;10.0000;22-Mar-2018</v>
      </c>
      <c r="B11016" s="1"/>
    </row>
    <row r="11017">
      <c r="A11017" s="1" t="str">
        <f>IFERROR(__xludf.DUMMYFUNCTION("""COMPUTED_VALUE"""),"142921;INF090I01NU6;-;Franklin India Fixed Maturity Plans- Series 3- Plan D(1132 days)- Growth;0.0000;28-Apr-2021")</f>
        <v>142921;INF090I01NU6;-;Franklin India Fixed Maturity Plans- Series 3- Plan D(1132 days)- Growth;0.0000;28-Apr-2021</v>
      </c>
      <c r="B11017" s="1"/>
    </row>
    <row r="11018">
      <c r="A11018" s="1" t="str">
        <f>IFERROR(__xludf.DUMMYFUNCTION("""COMPUTED_VALUE"""),"142917;INF090I01NX0;-;Franklin India Fixed Maturity Plans- Series 3- Plan D(1132 days)- Growth-Direct;0.0000;28-Apr-2021")</f>
        <v>142917;INF090I01NX0;-;Franklin India Fixed Maturity Plans- Series 3- Plan D(1132 days)- Growth-Direct;0.0000;28-Apr-2021</v>
      </c>
      <c r="B11018" s="1"/>
    </row>
    <row r="11019">
      <c r="A11019" s="1" t="str">
        <f>IFERROR(__xludf.DUMMYFUNCTION("""COMPUTED_VALUE"""),"143782;INF090I01OH1;-;Franklin India Fixed Maturity Plans - Series 3 - Plan F 1098 days - IDCW ;0.0000;16-Jun-2021")</f>
        <v>143782;INF090I01OH1;-;Franklin India Fixed Maturity Plans - Series 3 - Plan F 1098 days - IDCW ;0.0000;16-Jun-2021</v>
      </c>
      <c r="B11019" s="1"/>
    </row>
    <row r="11020">
      <c r="A11020" s="1" t="str">
        <f>IFERROR(__xludf.DUMMYFUNCTION("""COMPUTED_VALUE"""),"143780;INF090I01OJ7;-;Franklin India Fixed Maturity Plans - Series 3 Plan F (1098 days) - Growth Direct;0.0000;16-Jun-2021")</f>
        <v>143780;INF090I01OJ7;-;Franklin India Fixed Maturity Plans - Series 3 Plan F (1098 days) - Growth Direct;0.0000;16-Jun-2021</v>
      </c>
      <c r="B11020" s="1"/>
    </row>
    <row r="11021">
      <c r="A11021" s="1" t="str">
        <f>IFERROR(__xludf.DUMMYFUNCTION("""COMPUTED_VALUE"""),"143779;INF090I01OG3;-;Franklin India Fixed Maturity Plans Series 3- Plan F (1098 days)- Growth;0.0000;16-Jun-2021")</f>
        <v>143779;INF090I01OG3;-;Franklin India Fixed Maturity Plans Series 3- Plan F (1098 days)- Growth;0.0000;16-Jun-2021</v>
      </c>
      <c r="B11021" s="1"/>
    </row>
    <row r="11022">
      <c r="A11022" s="1" t="str">
        <f>IFERROR(__xludf.DUMMYFUNCTION("""COMPUTED_VALUE"""),"143781;INF090I01OI9;-;Franklin India Fixed Maturity Plans Series 3- Plan F (1098 days)- Quarterly Dividend;10.0000;13-Jun-2018")</f>
        <v>143781;INF090I01OI9;-;Franklin India Fixed Maturity Plans Series 3- Plan F (1098 days)- Quarterly Dividend;10.0000;13-Jun-2018</v>
      </c>
      <c r="B11022" s="1"/>
    </row>
    <row r="11023">
      <c r="A11023" s="1" t="str">
        <f>IFERROR(__xludf.DUMMYFUNCTION("""COMPUTED_VALUE"""),"143777;INF090I01OK5;-;Franklin India Fixed Maturity Plans Series 3- Plan F (1098 days)- Quarterly Dividend- Direct;10.0000;13-Jun-2018")</f>
        <v>143777;INF090I01OK5;-;Franklin India Fixed Maturity Plans Series 3- Plan F (1098 days)- Quarterly Dividend- Direct;10.0000;13-Jun-2018</v>
      </c>
      <c r="B11023" s="1"/>
    </row>
    <row r="11024">
      <c r="A11024" s="1" t="str">
        <f>IFERROR(__xludf.DUMMYFUNCTION("""COMPUTED_VALUE"""),"143778;INF090I01OL3;-;Franklin India Fixed Maturity Plans- Series 3- Plan F (1098 days )- Dividend- Direct;10.0000;13-Jun-2018")</f>
        <v>143778;INF090I01OL3;-;Franklin India Fixed Maturity Plans- Series 3- Plan F (1098 days )- Dividend- Direct;10.0000;13-Jun-2018</v>
      </c>
      <c r="B11024" s="1"/>
    </row>
    <row r="11025">
      <c r="A11025" s="1" t="str">
        <f>IFERROR(__xludf.DUMMYFUNCTION("""COMPUTED_VALUE"""),"145171;INF090I01QH6;-;Franklin India Fixed Maturity Plans - Series 4 Plan F (1286 days)- Growth -Direct;0.0000;19-Apr-2022")</f>
        <v>145171;INF090I01QH6;-;Franklin India Fixed Maturity Plans - Series 4 Plan F (1286 days)- Growth -Direct;0.0000;19-Apr-2022</v>
      </c>
      <c r="B11025" s="1"/>
    </row>
    <row r="11026">
      <c r="A11026" s="1" t="str">
        <f>IFERROR(__xludf.DUMMYFUNCTION("""COMPUTED_VALUE"""),"145167;INF090I01QE3;-;Franklin India Fixed Maturity Plans- Series 4 Plan F (1286 days) -Growth;0.0000;19-Apr-2022")</f>
        <v>145167;INF090I01QE3;-;Franklin India Fixed Maturity Plans- Series 4 Plan F (1286 days) -Growth;0.0000;19-Apr-2022</v>
      </c>
      <c r="B11026" s="1"/>
    </row>
    <row r="11027">
      <c r="A11027" s="1" t="str">
        <f>IFERROR(__xludf.DUMMYFUNCTION("""COMPUTED_VALUE"""),"145169;INF090I01QI4;-;Franklin India Fixed Maturity Plans-Series 4 - Plan F 1286 days - Direct - IDCW ;0.0000;19-Apr-2022")</f>
        <v>145169;INF090I01QI4;-;Franklin India Fixed Maturity Plans-Series 4 - Plan F 1286 days - Direct - IDCW ;0.0000;19-Apr-2022</v>
      </c>
      <c r="B11027" s="1"/>
    </row>
    <row r="11028">
      <c r="A11028" s="1" t="str">
        <f>IFERROR(__xludf.DUMMYFUNCTION("""COMPUTED_VALUE"""),"145168;INF090I01QF0;-;Franklin India Fixed Maturity Plans-Series 4 - Plan F 1286 days - IDCW ;0.0000;19-Apr-2022")</f>
        <v>145168;INF090I01QF0;-;Franklin India Fixed Maturity Plans-Series 4 - Plan F 1286 days - IDCW ;0.0000;19-Apr-2022</v>
      </c>
      <c r="B11028" s="1"/>
    </row>
    <row r="11029">
      <c r="A11029" s="1" t="str">
        <f>IFERROR(__xludf.DUMMYFUNCTION("""COMPUTED_VALUE"""),"145172;INF090I01QJ2;-;Franklin India Fixed Maturity Plans-Series 4 - Plan F 1286 days - QTR Direct - IDCW ;0.0000;19-Apr-2022")</f>
        <v>145172;INF090I01QJ2;-;Franklin India Fixed Maturity Plans-Series 4 - Plan F 1286 days - QTR Direct - IDCW ;0.0000;19-Apr-2022</v>
      </c>
      <c r="B11029" s="1"/>
    </row>
    <row r="11030">
      <c r="A11030" s="1" t="str">
        <f>IFERROR(__xludf.DUMMYFUNCTION("""COMPUTED_VALUE"""),"145170;INF090I01QG8;-;Franklin India Fixed Maturity Plans-Series 4 - Plan F 1286 days -QTR - IDCW ;0.0000;19-Apr-2022")</f>
        <v>145170;INF090I01QG8;-;Franklin India Fixed Maturity Plans-Series 4 - Plan F 1286 days -QTR - IDCW ;0.0000;19-Apr-2022</v>
      </c>
      <c r="B11030" s="1"/>
    </row>
    <row r="11031">
      <c r="A11031" s="1" t="str">
        <f>IFERROR(__xludf.DUMMYFUNCTION("""COMPUTED_VALUE"""),"144007;INF090I01OP4;-;Franklin India Fixed maturity Plans- Series 4- Plan A (1098 days) - Growth - Direct;0.0000;30-Jun-2021")</f>
        <v>144007;INF090I01OP4;-;Franklin India Fixed maturity Plans- Series 4- Plan A (1098 days) - Growth - Direct;0.0000;30-Jun-2021</v>
      </c>
      <c r="B11031" s="1"/>
    </row>
    <row r="11032">
      <c r="A11032" s="1" t="str">
        <f>IFERROR(__xludf.DUMMYFUNCTION("""COMPUTED_VALUE"""),"144011;INF090I01OM1;-;Franklin India Fixed Maturity Plans- Series 4- Plan A (1098 days) -Growth;0.0000;30-Jun-2021")</f>
        <v>144011;INF090I01OM1;-;Franklin India Fixed Maturity Plans- Series 4- Plan A (1098 days) -Growth;0.0000;30-Jun-2021</v>
      </c>
      <c r="B11032" s="1"/>
    </row>
    <row r="11033">
      <c r="A11033" s="1" t="str">
        <f>IFERROR(__xludf.DUMMYFUNCTION("""COMPUTED_VALUE"""),"144008;INF090I01OQ2;-;Franklin India Fixed Maturity Plans-Series 4 - Plan A 1098 days - Direct - IDCW ;0.0000;30-Jun-2021")</f>
        <v>144008;INF090I01OQ2;-;Franklin India Fixed Maturity Plans-Series 4 - Plan A 1098 days - Direct - IDCW ;0.0000;30-Jun-2021</v>
      </c>
      <c r="B11033" s="1"/>
    </row>
    <row r="11034">
      <c r="A11034" s="1" t="str">
        <f>IFERROR(__xludf.DUMMYFUNCTION("""COMPUTED_VALUE"""),"144009;INF090I01ON9;-;Franklin India Fixed Maturity Plans-Series 4 - Plan A 1098 days - IDCW ;0.0000;30-Jun-2021")</f>
        <v>144009;INF090I01ON9;-;Franklin India Fixed Maturity Plans-Series 4 - Plan A 1098 days - IDCW ;0.0000;30-Jun-2021</v>
      </c>
      <c r="B11034" s="1"/>
    </row>
    <row r="11035">
      <c r="A11035" s="1" t="str">
        <f>IFERROR(__xludf.DUMMYFUNCTION("""COMPUTED_VALUE"""),"144012;INF090I01OR0;-;Franklin India Fixed Maturity Plans-Series 4 - Plan A 1098 days - QTR Direct - IDCW ;0.0000;30-Jun-2021")</f>
        <v>144012;INF090I01OR0;-;Franklin India Fixed Maturity Plans-Series 4 - Plan A 1098 days - QTR Direct - IDCW ;0.0000;30-Jun-2021</v>
      </c>
      <c r="B11035" s="1"/>
    </row>
    <row r="11036">
      <c r="A11036" s="1" t="str">
        <f>IFERROR(__xludf.DUMMYFUNCTION("""COMPUTED_VALUE"""),"144010;INF090I01OO7;-;Franklin India Fixed Maturity Plans-Series 4 - Plan A 1098 days -QTR - IDCW ;0.0000;30-Jun-2021")</f>
        <v>144010;INF090I01OO7;-;Franklin India Fixed Maturity Plans-Series 4 - Plan A 1098 days -QTR - IDCW ;0.0000;30-Jun-2021</v>
      </c>
      <c r="B11036" s="1"/>
    </row>
    <row r="11037">
      <c r="A11037" s="1" t="str">
        <f>IFERROR(__xludf.DUMMYFUNCTION("""COMPUTED_VALUE"""),"144959;INF090I01QB9;-;Franklin India Fixed Maturit Plans- Series 4- Plan E (1098 days)- Growth - Direct;0.0000;29-Sep-2021")</f>
        <v>144959;INF090I01QB9;-;Franklin India Fixed Maturit Plans- Series 4- Plan E (1098 days)- Growth - Direct;0.0000;29-Sep-2021</v>
      </c>
      <c r="B11037" s="1"/>
    </row>
    <row r="11038">
      <c r="A11038" s="1" t="str">
        <f>IFERROR(__xludf.DUMMYFUNCTION("""COMPUTED_VALUE"""),"144960;INF090I01QC7;-;Franklin India Fixed Maturity Plans- Series 4- Plan E (1098 days)- Dividend -Direct;10.0000;10-Oct-2018")</f>
        <v>144960;INF090I01QC7;-;Franklin India Fixed Maturity Plans- Series 4- Plan E (1098 days)- Dividend -Direct;10.0000;10-Oct-2018</v>
      </c>
      <c r="B11038" s="1"/>
    </row>
    <row r="11039">
      <c r="A11039" s="1" t="str">
        <f>IFERROR(__xludf.DUMMYFUNCTION("""COMPUTED_VALUE"""),"144958;INF090I01PY3;-;Franklin India Fixed Maturity Plans- Series 4- Plan E (1098 days)- Growth;0.0000;29-Sep-2021")</f>
        <v>144958;INF090I01PY3;-;Franklin India Fixed Maturity Plans- Series 4- Plan E (1098 days)- Growth;0.0000;29-Sep-2021</v>
      </c>
      <c r="B11039" s="1"/>
    </row>
    <row r="11040">
      <c r="A11040" s="1" t="str">
        <f>IFERROR(__xludf.DUMMYFUNCTION("""COMPUTED_VALUE"""),"144963;INF090I01PZ0;-;Franklin India Fixed Maturity Plans-Series 4 - Plan E 1098 days - IDCW ;0.0000;29-Sep-2021")</f>
        <v>144963;INF090I01PZ0;-;Franklin India Fixed Maturity Plans-Series 4 - Plan E 1098 days - IDCW ;0.0000;29-Sep-2021</v>
      </c>
      <c r="B11040" s="1"/>
    </row>
    <row r="11041">
      <c r="A11041" s="1" t="str">
        <f>IFERROR(__xludf.DUMMYFUNCTION("""COMPUTED_VALUE"""),"144961;INF090I01QD5;-;Franklin India Fixed Maturity Plans-Series 4 - Plan E 1098 days - QTR Direct - IDCW ;0.0000;29-Sep-2021")</f>
        <v>144961;INF090I01QD5;-;Franklin India Fixed Maturity Plans-Series 4 - Plan E 1098 days - QTR Direct - IDCW ;0.0000;29-Sep-2021</v>
      </c>
      <c r="B11041" s="1"/>
    </row>
    <row r="11042">
      <c r="A11042" s="1" t="str">
        <f>IFERROR(__xludf.DUMMYFUNCTION("""COMPUTED_VALUE"""),"144962;INF090I01QA1;-;Franklin India Fixed Maturity Plans-Series 4 - Plan E 1098 days -QTR - IDCW ;0.0000;29-Sep-2021")</f>
        <v>144962;INF090I01QA1;-;Franklin India Fixed Maturity Plans-Series 4 - Plan E 1098 days -QTR - IDCW ;0.0000;29-Sep-2021</v>
      </c>
      <c r="B11042" s="1"/>
    </row>
    <row r="11043">
      <c r="A11043" s="1" t="str">
        <f>IFERROR(__xludf.DUMMYFUNCTION("""COMPUTED_VALUE"""),"145929;INF090I01RF8;-;Franklin India Fixed Maturity Plans -Series 5 Plan D (1238 days)- Growth - Direct;0.0000;01-Jun-2022")</f>
        <v>145929;INF090I01RF8;-;Franklin India Fixed Maturity Plans -Series 5 Plan D (1238 days)- Growth - Direct;0.0000;01-Jun-2022</v>
      </c>
      <c r="B11043" s="1"/>
    </row>
    <row r="11044">
      <c r="A11044" s="1" t="str">
        <f>IFERROR(__xludf.DUMMYFUNCTION("""COMPUTED_VALUE"""),"145926;INF090I01RC5;-;Franklin India Fixed Maturity Plans- Series 5 Plan D (1238 days)- Growth;0.0000;01-Jun-2022")</f>
        <v>145926;INF090I01RC5;-;Franklin India Fixed Maturity Plans- Series 5 Plan D (1238 days)- Growth;0.0000;01-Jun-2022</v>
      </c>
      <c r="B11044" s="1"/>
    </row>
    <row r="11045">
      <c r="A11045" s="1" t="str">
        <f>IFERROR(__xludf.DUMMYFUNCTION("""COMPUTED_VALUE"""),"145928;INF090I01RH4;-;Franklin India Fixed Maturity Plans- Series 5 Plan D (1238 days)- Quarterly Dividend- Direct;10.0000;09-Jan-2019")</f>
        <v>145928;INF090I01RH4;-;Franklin India Fixed Maturity Plans- Series 5 Plan D (1238 days)- Quarterly Dividend- Direct;10.0000;09-Jan-2019</v>
      </c>
      <c r="B11045" s="1"/>
    </row>
    <row r="11046">
      <c r="A11046" s="1" t="str">
        <f>IFERROR(__xludf.DUMMYFUNCTION("""COMPUTED_VALUE"""),"145931;INF090I01RG6;-;Franklin India Fixed Maturity Plans-Series 5 - Plan D 1238 days - Direct - IDCW ;0.0000;01-Jun-2022")</f>
        <v>145931;INF090I01RG6;-;Franklin India Fixed Maturity Plans-Series 5 - Plan D 1238 days - Direct - IDCW ;0.0000;01-Jun-2022</v>
      </c>
      <c r="B11046" s="1"/>
    </row>
    <row r="11047">
      <c r="A11047" s="1" t="str">
        <f>IFERROR(__xludf.DUMMYFUNCTION("""COMPUTED_VALUE"""),"145930;INF090I01RD3;-;Franklin India Fixed Maturity Plans-Series 5 - Plan D 1238 days - IDCW ;0.0000;01-Jun-2022")</f>
        <v>145930;INF090I01RD3;-;Franklin India Fixed Maturity Plans-Series 5 - Plan D 1238 days - IDCW ;0.0000;01-Jun-2022</v>
      </c>
      <c r="B11047" s="1"/>
    </row>
    <row r="11048">
      <c r="A11048" s="1" t="str">
        <f>IFERROR(__xludf.DUMMYFUNCTION("""COMPUTED_VALUE"""),"145927;INF090I01RE1;-;Franklin India Fixed Maturity Plans-Series 5 - Plan D 1238 days -QTR - IDCW ;0.0000;01-Jun-2022")</f>
        <v>145927;INF090I01RE1;-;Franklin India Fixed Maturity Plans-Series 5 - Plan D 1238 days -QTR - IDCW ;0.0000;01-Jun-2022</v>
      </c>
      <c r="B11048" s="1"/>
    </row>
    <row r="11049">
      <c r="A11049" s="1" t="str">
        <f>IFERROR(__xludf.DUMMYFUNCTION("""COMPUTED_VALUE"""),"146371;INF090I01RO0;-;Franklin India Fixed Maturity Plans Series 5 Plan F (1203 days)- Growth;0.0000;01-Jun-2022")</f>
        <v>146371;INF090I01RO0;-;Franklin India Fixed Maturity Plans Series 5 Plan F (1203 days)- Growth;0.0000;01-Jun-2022</v>
      </c>
      <c r="B11049" s="1"/>
    </row>
    <row r="11050">
      <c r="A11050" s="1" t="str">
        <f>IFERROR(__xludf.DUMMYFUNCTION("""COMPUTED_VALUE"""),"146375;INF090I01RR3;-;Franklin India Fixed Maturity Plans- Series 5 Plan F (1203 days)-Growth Direct;0.0000;01-Jun-2022")</f>
        <v>146375;INF090I01RR3;-;Franklin India Fixed Maturity Plans- Series 5 Plan F (1203 days)-Growth Direct;0.0000;01-Jun-2022</v>
      </c>
      <c r="B11050" s="1"/>
    </row>
    <row r="11051">
      <c r="A11051" s="1" t="str">
        <f>IFERROR(__xludf.DUMMYFUNCTION("""COMPUTED_VALUE"""),"146374;INF090I01RS1;-;Franklin India Fixed Maturity Plans-Series 5 - Plan F 1203 days - Direct - IDCW ;0.0000;01-Jun-2022")</f>
        <v>146374;INF090I01RS1;-;Franklin India Fixed Maturity Plans-Series 5 - Plan F 1203 days - Direct - IDCW ;0.0000;01-Jun-2022</v>
      </c>
      <c r="B11051" s="1"/>
    </row>
    <row r="11052">
      <c r="A11052" s="1" t="str">
        <f>IFERROR(__xludf.DUMMYFUNCTION("""COMPUTED_VALUE"""),"146373;INF090I01RP7;-;Franklin India Fixed Maturity Plans-Series 5 - Plan F 1203 days - IDCW ;0.0000;01-Jun-2022")</f>
        <v>146373;INF090I01RP7;-;Franklin India Fixed Maturity Plans-Series 5 - Plan F 1203 days - IDCW ;0.0000;01-Jun-2022</v>
      </c>
      <c r="B11052" s="1"/>
    </row>
    <row r="11053">
      <c r="A11053" s="1" t="str">
        <f>IFERROR(__xludf.DUMMYFUNCTION("""COMPUTED_VALUE"""),"146372;INF090I01RT9;-;Franklin India Fixed Maturity Plans-Series 5 - Plan F 1203 days - QTR Direct - IDCW ;0.0000;01-Jun-2022")</f>
        <v>146372;INF090I01RT9;-;Franklin India Fixed Maturity Plans-Series 5 - Plan F 1203 days - QTR Direct - IDCW ;0.0000;01-Jun-2022</v>
      </c>
      <c r="B11053" s="1"/>
    </row>
    <row r="11054">
      <c r="A11054" s="1" t="str">
        <f>IFERROR(__xludf.DUMMYFUNCTION("""COMPUTED_VALUE"""),"146370;INF090I01RQ5;-;Franklin India Fixed Maturity Plans-Series 5 - Plan F 1203 days -QTR - IDCW ;0.0000;01-Jun-2022")</f>
        <v>146370;INF090I01RQ5;-;Franklin India Fixed Maturity Plans-Series 5 - Plan F 1203 days -QTR - IDCW ;0.0000;01-Jun-2022</v>
      </c>
      <c r="B11054" s="1"/>
    </row>
    <row r="11055">
      <c r="A11055" s="1" t="str">
        <f>IFERROR(__xludf.DUMMYFUNCTION("""COMPUTED_VALUE"""),"145782;INF090I01QW5;-;Franklin Idnia Fixed Maturity Palns- Series 5 Plan C (1259 days)- Growth;0.0000;01-Jun-2022")</f>
        <v>145782;INF090I01QW5;-;Franklin Idnia Fixed Maturity Palns- Series 5 Plan C (1259 days)- Growth;0.0000;01-Jun-2022</v>
      </c>
      <c r="B11055" s="1"/>
    </row>
    <row r="11056">
      <c r="A11056" s="1" t="str">
        <f>IFERROR(__xludf.DUMMYFUNCTION("""COMPUTED_VALUE"""),"145780;INF090I01QZ8;-;Franklin India Fixed Maturity Plans - Series5 Plan C (1259 days)- Growth Direct;0.0000;01-Jun-2022")</f>
        <v>145780;INF090I01QZ8;-;Franklin India Fixed Maturity Plans - Series5 Plan C (1259 days)- Growth Direct;0.0000;01-Jun-2022</v>
      </c>
      <c r="B11056" s="1"/>
    </row>
    <row r="11057">
      <c r="A11057" s="1" t="str">
        <f>IFERROR(__xludf.DUMMYFUNCTION("""COMPUTED_VALUE"""),"145778;INF090I01RA9;-;Franklin India Fixed Maturity Plans-Series 5 - Plan C 1259 days - Direct - IDCW ;0.0000;01-Jun-2022")</f>
        <v>145778;INF090I01RA9;-;Franklin India Fixed Maturity Plans-Series 5 - Plan C 1259 days - Direct - IDCW ;0.0000;01-Jun-2022</v>
      </c>
      <c r="B11057" s="1"/>
    </row>
    <row r="11058">
      <c r="A11058" s="1" t="str">
        <f>IFERROR(__xludf.DUMMYFUNCTION("""COMPUTED_VALUE"""),"145781;INF090I01QX3;-;Franklin India Fixed Maturity Plans-Series 5 - Plan C 1259 days - IDCW ;0.0000;01-Jun-2022")</f>
        <v>145781;INF090I01QX3;-;Franklin India Fixed Maturity Plans-Series 5 - Plan C 1259 days - IDCW ;0.0000;01-Jun-2022</v>
      </c>
      <c r="B11058" s="1"/>
    </row>
    <row r="11059">
      <c r="A11059" s="1" t="str">
        <f>IFERROR(__xludf.DUMMYFUNCTION("""COMPUTED_VALUE"""),"145779;INF090I01RB7;-;Franklin India Fixed Maturity Plans-Series 5 - Plan C 1259 days - QTR Direct - IDCW ;0.0000;01-Jun-2022")</f>
        <v>145779;INF090I01RB7;-;Franklin India Fixed Maturity Plans-Series 5 - Plan C 1259 days - QTR Direct - IDCW ;0.0000;01-Jun-2022</v>
      </c>
      <c r="B11059" s="1"/>
    </row>
    <row r="11060">
      <c r="A11060" s="1" t="str">
        <f>IFERROR(__xludf.DUMMYFUNCTION("""COMPUTED_VALUE"""),"145777;INF090I01QY1;-;Franklin India Fixed Maturity Plans-Series 5 - Plan C 1259 days -QTR - IDCW ;0.0000;01-Jun-2022")</f>
        <v>145777;INF090I01QY1;-;Franklin India Fixed Maturity Plans-Series 5 - Plan C 1259 days -QTR - IDCW ;0.0000;01-Jun-2022</v>
      </c>
      <c r="B11060" s="1"/>
    </row>
    <row r="11061">
      <c r="A11061" s="1"/>
      <c r="B11061" s="1"/>
    </row>
    <row r="11062">
      <c r="A11062" s="1" t="str">
        <f>IFERROR(__xludf.DUMMYFUNCTION("""COMPUTED_VALUE"""),"HDFC Mutual Fund")</f>
        <v>HDFC Mutual Fund</v>
      </c>
      <c r="B11062" s="1"/>
    </row>
    <row r="11063">
      <c r="A11063" s="1"/>
      <c r="B11063" s="1"/>
    </row>
    <row r="11064">
      <c r="A11064" s="1" t="str">
        <f>IFERROR(__xludf.DUMMYFUNCTION("""COMPUTED_VALUE"""),"151865;INF179KC1HC6;-;HDFC Charity Fund for Cancer Cure - IDCW Option - 50% IDCW Donation Option;10.0437;25-Aug-2023")</f>
        <v>151865;INF179KC1HC6;-;HDFC Charity Fund for Cancer Cure - IDCW Option - 50% IDCW Donation Option;10.0437;25-Aug-2023</v>
      </c>
      <c r="B11064" s="1"/>
    </row>
    <row r="11065">
      <c r="A11065" s="1" t="str">
        <f>IFERROR(__xludf.DUMMYFUNCTION("""COMPUTED_VALUE"""),"151863;INF179KC1HD4;-;HDFC Charity Fund for Cancer Cure - IDCW Option - 75% IDCW Donation Option;10.0446;25-Aug-2023")</f>
        <v>151863;INF179KC1HD4;-;HDFC Charity Fund for Cancer Cure - IDCW Option - 75% IDCW Donation Option;10.0446;25-Aug-2023</v>
      </c>
      <c r="B11065" s="1"/>
    </row>
    <row r="11066">
      <c r="A11066" s="1" t="str">
        <f>IFERROR(__xludf.DUMMYFUNCTION("""COMPUTED_VALUE"""),"151862;INF179KC1HA0;-;HDFC Charity Fund for Cancer Cure - IDCW Option - Direct Plan - 50% IDCW Donation Option;10.0433;25-Aug-2023")</f>
        <v>151862;INF179KC1HA0;-;HDFC Charity Fund for Cancer Cure - IDCW Option - Direct Plan - 50% IDCW Donation Option;10.0433;25-Aug-2023</v>
      </c>
      <c r="B11066" s="1"/>
    </row>
    <row r="11067">
      <c r="A11067" s="1" t="str">
        <f>IFERROR(__xludf.DUMMYFUNCTION("""COMPUTED_VALUE"""),"151864;INF179KC1HB8;-;HDFC Charity Fund for Cancer Cure - IDCW Option - Direct Plan - 75% IDCW Donation Option;10.0449;25-Aug-2023")</f>
        <v>151864;INF179KC1HB8;-;HDFC Charity Fund for Cancer Cure - IDCW Option - Direct Plan - 75% IDCW Donation Option;10.0449;25-Aug-2023</v>
      </c>
      <c r="B11067" s="1"/>
    </row>
    <row r="11068">
      <c r="A11068" s="1" t="str">
        <f>IFERROR(__xludf.DUMMYFUNCTION("""COMPUTED_VALUE"""),"147236;INF179KC1932;-;HDFC FMP 1100D April 2019 (1) - Growth Option;12.3999;11-May-2022")</f>
        <v>147236;INF179KC1932;-;HDFC FMP 1100D April 2019 (1) - Growth Option;12.3999;11-May-2022</v>
      </c>
      <c r="B11068" s="1"/>
    </row>
    <row r="11069">
      <c r="A11069" s="1" t="str">
        <f>IFERROR(__xludf.DUMMYFUNCTION("""COMPUTED_VALUE"""),"147237;INF179KC1908;-;HDFC FMP 1100D April 2019 (1) - Growth Option - Direct Plan;12.4731;11-May-2022")</f>
        <v>147237;INF179KC1908;-;HDFC FMP 1100D April 2019 (1) - Growth Option - Direct Plan;12.4731;11-May-2022</v>
      </c>
      <c r="B11069" s="1"/>
    </row>
    <row r="11070">
      <c r="A11070" s="1" t="str">
        <f>IFERROR(__xludf.DUMMYFUNCTION("""COMPUTED_VALUE"""),"147235;INF179KC1940;-;HDFC FMP 1100D April 2019 (1) - IDCW Option;10;11-May-2022")</f>
        <v>147235;INF179KC1940;-;HDFC FMP 1100D April 2019 (1) - IDCW Option;10;11-May-2022</v>
      </c>
      <c r="B11070" s="1"/>
    </row>
    <row r="11071">
      <c r="A11071" s="1" t="str">
        <f>IFERROR(__xludf.DUMMYFUNCTION("""COMPUTED_VALUE"""),"147233;INF179KC1916;-;HDFC FMP 1100D April 2019 (1) - IDCW Option - Direct Plan;10;11-May-2022")</f>
        <v>147233;INF179KC1916;-;HDFC FMP 1100D April 2019 (1) - IDCW Option - Direct Plan;10;11-May-2022</v>
      </c>
      <c r="B11071" s="1"/>
    </row>
    <row r="11072">
      <c r="A11072" s="1" t="str">
        <f>IFERROR(__xludf.DUMMYFUNCTION("""COMPUTED_VALUE"""),"147234;INF179KC1957;-;HDFC FMP 1100D April 2019 (1) - Quarterly IDCW Option;10;11-May-2022")</f>
        <v>147234;INF179KC1957;-;HDFC FMP 1100D April 2019 (1) - Quarterly IDCW Option;10;11-May-2022</v>
      </c>
      <c r="B11072" s="1"/>
    </row>
    <row r="11073">
      <c r="A11073" s="1" t="str">
        <f>IFERROR(__xludf.DUMMYFUNCTION("""COMPUTED_VALUE"""),"147238;INF179KC1924;-;HDFC FMP 1100D April 2019 (1) - Quarterly IDCW Option - Direct Plan;10;11-May-2022")</f>
        <v>147238;INF179KC1924;-;HDFC FMP 1100D April 2019 (1) - Quarterly IDCW Option - Direct Plan;10;11-May-2022</v>
      </c>
      <c r="B11073" s="1"/>
    </row>
    <row r="11074">
      <c r="A11074" s="1" t="str">
        <f>IFERROR(__xludf.DUMMYFUNCTION("""COMPUTED_VALUE"""),"146896;INF179KC1692;-;HDFC FMP 1118D March 2019 (1) - Growth Option;12.3925;18-Apr-2022")</f>
        <v>146896;INF179KC1692;-;HDFC FMP 1118D March 2019 (1) - Growth Option;12.3925;18-Apr-2022</v>
      </c>
      <c r="B11074" s="1"/>
    </row>
    <row r="11075">
      <c r="A11075" s="1" t="str">
        <f>IFERROR(__xludf.DUMMYFUNCTION("""COMPUTED_VALUE"""),"146898;INF179KC1668;-;HDFC FMP 1118D March 2019 (1) - Growth Option - Direct Plan;12.4472;18-Apr-2022")</f>
        <v>146898;INF179KC1668;-;HDFC FMP 1118D March 2019 (1) - Growth Option - Direct Plan;12.4472;18-Apr-2022</v>
      </c>
      <c r="B11075" s="1"/>
    </row>
    <row r="11076">
      <c r="A11076" s="1" t="str">
        <f>IFERROR(__xludf.DUMMYFUNCTION("""COMPUTED_VALUE"""),"146900;INF179KC1700;-;HDFC FMP 1118D March 2019 (1) - IDCW Option;10;18-Apr-2022")</f>
        <v>146900;INF179KC1700;-;HDFC FMP 1118D March 2019 (1) - IDCW Option;10;18-Apr-2022</v>
      </c>
      <c r="B11076" s="1"/>
    </row>
    <row r="11077">
      <c r="A11077" s="1" t="str">
        <f>IFERROR(__xludf.DUMMYFUNCTION("""COMPUTED_VALUE"""),"146895;INF179KC1676;-;HDFC FMP 1118D March 2019 (1) - IDCW Option - Direct Plan;10;18-Apr-2022")</f>
        <v>146895;INF179KC1676;-;HDFC FMP 1118D March 2019 (1) - IDCW Option - Direct Plan;10;18-Apr-2022</v>
      </c>
      <c r="B11077" s="1"/>
    </row>
    <row r="11078">
      <c r="A11078" s="1" t="str">
        <f>IFERROR(__xludf.DUMMYFUNCTION("""COMPUTED_VALUE"""),"146897;INF179KC1718;-;HDFC FMP 1118D March 2019 (1) - Quarterly IDCW Option;10;18-Apr-2022")</f>
        <v>146897;INF179KC1718;-;HDFC FMP 1118D March 2019 (1) - Quarterly IDCW Option;10;18-Apr-2022</v>
      </c>
      <c r="B11078" s="1"/>
    </row>
    <row r="11079">
      <c r="A11079" s="1" t="str">
        <f>IFERROR(__xludf.DUMMYFUNCTION("""COMPUTED_VALUE"""),"146892;INF179KC1635;-;HDFC FMP 1120D March 2019 (1) - Growth Option;12.354;18-Apr-2022")</f>
        <v>146892;INF179KC1635;-;HDFC FMP 1120D March 2019 (1) - Growth Option;12.354;18-Apr-2022</v>
      </c>
      <c r="B11079" s="1"/>
    </row>
    <row r="11080">
      <c r="A11080" s="1" t="str">
        <f>IFERROR(__xludf.DUMMYFUNCTION("""COMPUTED_VALUE"""),"146893;INF179KC1601;-;HDFC FMP 1120D March 2019 (1) - Growth Option - Direct Plan;12.452;18-Apr-2022")</f>
        <v>146893;INF179KC1601;-;HDFC FMP 1120D March 2019 (1) - Growth Option - Direct Plan;12.452;18-Apr-2022</v>
      </c>
      <c r="B11080" s="1"/>
    </row>
    <row r="11081">
      <c r="A11081" s="1" t="str">
        <f>IFERROR(__xludf.DUMMYFUNCTION("""COMPUTED_VALUE"""),"146891;INF179KC1643;-;HDFC FMP 1120D March 2019 (1) - IDCW Option;10;18-Apr-2022")</f>
        <v>146891;INF179KC1643;-;HDFC FMP 1120D March 2019 (1) - IDCW Option;10;18-Apr-2022</v>
      </c>
      <c r="B11081" s="1"/>
    </row>
    <row r="11082">
      <c r="A11082" s="1" t="str">
        <f>IFERROR(__xludf.DUMMYFUNCTION("""COMPUTED_VALUE"""),"146889;INF179KC1619;-;HDFC FMP 1120D March 2019 (1) - IDCW Option - Direct Plan;10;18-Apr-2022")</f>
        <v>146889;INF179KC1619;-;HDFC FMP 1120D March 2019 (1) - IDCW Option - Direct Plan;10;18-Apr-2022</v>
      </c>
      <c r="B11082" s="1"/>
    </row>
    <row r="11083">
      <c r="A11083" s="1" t="str">
        <f>IFERROR(__xludf.DUMMYFUNCTION("""COMPUTED_VALUE"""),"146894;INF179KC1650;-;HDFC FMP 1120D March 2019 (1) - Quarterly IDCW Option;10;18-Apr-2022")</f>
        <v>146894;INF179KC1650;-;HDFC FMP 1120D March 2019 (1) - Quarterly IDCW Option;10;18-Apr-2022</v>
      </c>
      <c r="B11083" s="1"/>
    </row>
    <row r="11084">
      <c r="A11084" s="1" t="str">
        <f>IFERROR(__xludf.DUMMYFUNCTION("""COMPUTED_VALUE"""),"146890;INF179KC1627;-;HDFC FMP 1120D March 2019 (1) - Quarterly IDCW Option - Direct Plan;10;18-Apr-2022")</f>
        <v>146890;INF179KC1627;-;HDFC FMP 1120D March 2019 (1) - Quarterly IDCW Option - Direct Plan;10;18-Apr-2022</v>
      </c>
      <c r="B11084" s="1"/>
    </row>
    <row r="11085">
      <c r="A11085" s="1" t="str">
        <f>IFERROR(__xludf.DUMMYFUNCTION("""COMPUTED_VALUE"""),"146649;INF179KC1510;-;HDFC FMP 1126D March 2019 (1) - Growth Option;12.5025;11-Apr-2022")</f>
        <v>146649;INF179KC1510;-;HDFC FMP 1126D March 2019 (1) - Growth Option;12.5025;11-Apr-2022</v>
      </c>
      <c r="B11085" s="1"/>
    </row>
    <row r="11086">
      <c r="A11086" s="1" t="str">
        <f>IFERROR(__xludf.DUMMYFUNCTION("""COMPUTED_VALUE"""),"146650;INF179KC1486;-;HDFC FMP 1126D March 2019 (1) - Growth Option - Direct Plan;12.6016;11-Apr-2022")</f>
        <v>146650;INF179KC1486;-;HDFC FMP 1126D March 2019 (1) - Growth Option - Direct Plan;12.6016;11-Apr-2022</v>
      </c>
      <c r="B11086" s="1"/>
    </row>
    <row r="11087">
      <c r="A11087" s="1" t="str">
        <f>IFERROR(__xludf.DUMMYFUNCTION("""COMPUTED_VALUE"""),"146647;-;INF179KC1528;HDFC FMP 1126D March 2019 (1) - IDCW Option;10;11-Apr-2022")</f>
        <v>146647;-;INF179KC1528;HDFC FMP 1126D March 2019 (1) - IDCW Option;10;11-Apr-2022</v>
      </c>
      <c r="B11087" s="1"/>
    </row>
    <row r="11088">
      <c r="A11088" s="1" t="str">
        <f>IFERROR(__xludf.DUMMYFUNCTION("""COMPUTED_VALUE"""),"146645;INF179KC1494;-;HDFC FMP 1126D March 2019 (1) - IDCW Option - Direct Plan;10;11-Apr-2022")</f>
        <v>146645;INF179KC1494;-;HDFC FMP 1126D March 2019 (1) - IDCW Option - Direct Plan;10;11-Apr-2022</v>
      </c>
      <c r="B11088" s="1"/>
    </row>
    <row r="11089">
      <c r="A11089" s="1" t="str">
        <f>IFERROR(__xludf.DUMMYFUNCTION("""COMPUTED_VALUE"""),"146648;INF179KC1536;-;HDFC FMP 1126D March 2019 (1) - Quarterly IDCW Option;10;11-Apr-2022")</f>
        <v>146648;INF179KC1536;-;HDFC FMP 1126D March 2019 (1) - Quarterly IDCW Option;10;11-Apr-2022</v>
      </c>
      <c r="B11089" s="1"/>
    </row>
    <row r="11090">
      <c r="A11090" s="1" t="str">
        <f>IFERROR(__xludf.DUMMYFUNCTION("""COMPUTED_VALUE"""),"146646;INF179KC1502;-;HDFC FMP 1126D March 2019 (1) - Quarterly IDCW Option - Direct Plan;10;11-Apr-2022")</f>
        <v>146646;INF179KC1502;-;HDFC FMP 1126D March 2019 (1) - Quarterly IDCW Option - Direct Plan;10;11-Apr-2022</v>
      </c>
      <c r="B11090" s="1"/>
    </row>
    <row r="11091">
      <c r="A11091" s="1" t="str">
        <f>IFERROR(__xludf.DUMMYFUNCTION("""COMPUTED_VALUE"""),"146778;INF179KC1577;-;HDFC FMP 1127D March 2019 (1) - Growth Option;12.4084;18-Apr-2022")</f>
        <v>146778;INF179KC1577;-;HDFC FMP 1127D March 2019 (1) - Growth Option;12.4084;18-Apr-2022</v>
      </c>
      <c r="B11091" s="1"/>
    </row>
    <row r="11092">
      <c r="A11092" s="1" t="str">
        <f>IFERROR(__xludf.DUMMYFUNCTION("""COMPUTED_VALUE"""),"146777;INF179KC1544;-;HDFC FMP 1127D March 2019 (1) - Growth Option - Direct Plan;12.507;18-Apr-2022")</f>
        <v>146777;INF179KC1544;-;HDFC FMP 1127D March 2019 (1) - Growth Option - Direct Plan;12.507;18-Apr-2022</v>
      </c>
      <c r="B11092" s="1"/>
    </row>
    <row r="11093">
      <c r="A11093" s="1" t="str">
        <f>IFERROR(__xludf.DUMMYFUNCTION("""COMPUTED_VALUE"""),"146775;INF179KC1585;-;HDFC FMP 1127D March 2019 (1) - IDCW Option;10;18-Apr-2022")</f>
        <v>146775;INF179KC1585;-;HDFC FMP 1127D March 2019 (1) - IDCW Option;10;18-Apr-2022</v>
      </c>
      <c r="B11093" s="1"/>
    </row>
    <row r="11094">
      <c r="A11094" s="1" t="str">
        <f>IFERROR(__xludf.DUMMYFUNCTION("""COMPUTED_VALUE"""),"146773;INF179KC1551;-;HDFC FMP 1127D March 2019 (1) - IDCW Option - Direct Plan;10;18-Apr-2022")</f>
        <v>146773;INF179KC1551;-;HDFC FMP 1127D March 2019 (1) - IDCW Option - Direct Plan;10;18-Apr-2022</v>
      </c>
      <c r="B11094" s="1"/>
    </row>
    <row r="11095">
      <c r="A11095" s="1" t="str">
        <f>IFERROR(__xludf.DUMMYFUNCTION("""COMPUTED_VALUE"""),"146776;INF179KC1593;-;HDFC FMP 1127D March 2019 (1) - Quarterly IDCW Option;10;18-Apr-2022")</f>
        <v>146776;INF179KC1593;-;HDFC FMP 1127D March 2019 (1) - Quarterly IDCW Option;10;18-Apr-2022</v>
      </c>
      <c r="B11095" s="1"/>
    </row>
    <row r="11096">
      <c r="A11096" s="1" t="str">
        <f>IFERROR(__xludf.DUMMYFUNCTION("""COMPUTED_VALUE"""),"146774;INF179KC1569;-;HDFC FMP 1127D March 2019 (1) - Quarterly IDCW Option - Direct Plan;10;18-Apr-2022")</f>
        <v>146774;INF179KC1569;-;HDFC FMP 1127D March 2019 (1) - Quarterly IDCW Option - Direct Plan;10;18-Apr-2022</v>
      </c>
      <c r="B11096" s="1"/>
    </row>
    <row r="11097">
      <c r="A11097" s="1" t="str">
        <f>IFERROR(__xludf.DUMMYFUNCTION("""COMPUTED_VALUE"""),"146634;INF179KC1452;-;HDFC FMP 1133D February 2019 (1) - Growth Option;12.5318;11-Apr-2022")</f>
        <v>146634;INF179KC1452;-;HDFC FMP 1133D February 2019 (1) - Growth Option;12.5318;11-Apr-2022</v>
      </c>
      <c r="B11097" s="1"/>
    </row>
    <row r="11098">
      <c r="A11098" s="1" t="str">
        <f>IFERROR(__xludf.DUMMYFUNCTION("""COMPUTED_VALUE"""),"146631;INF179KC1429;-;HDFC FMP 1133D February 2019 (1) - Growth Option - Direct Plan;12.6314;11-Apr-2022")</f>
        <v>146631;INF179KC1429;-;HDFC FMP 1133D February 2019 (1) - Growth Option - Direct Plan;12.6314;11-Apr-2022</v>
      </c>
      <c r="B11098" s="1"/>
    </row>
    <row r="11099">
      <c r="A11099" s="1" t="str">
        <f>IFERROR(__xludf.DUMMYFUNCTION("""COMPUTED_VALUE"""),"146633;INF179KC1460;-;HDFC FMP 1133D February 2019 (1) - IDCW Option;10;11-Apr-2022")</f>
        <v>146633;INF179KC1460;-;HDFC FMP 1133D February 2019 (1) - IDCW Option;10;11-Apr-2022</v>
      </c>
      <c r="B11099" s="1"/>
    </row>
    <row r="11100">
      <c r="A11100" s="1" t="str">
        <f>IFERROR(__xludf.DUMMYFUNCTION("""COMPUTED_VALUE"""),"146636;INF179KC1437;-;HDFC FMP 1133D February 2019 (1) - IDCW Option - Direct Plan;10;11-Apr-2022")</f>
        <v>146636;INF179KC1437;-;HDFC FMP 1133D February 2019 (1) - IDCW Option - Direct Plan;10;11-Apr-2022</v>
      </c>
      <c r="B11100" s="1"/>
    </row>
    <row r="11101">
      <c r="A11101" s="1" t="str">
        <f>IFERROR(__xludf.DUMMYFUNCTION("""COMPUTED_VALUE"""),"146635;INF179KC1478;-;HDFC FMP 1133D February 2019 (1) - Quarterly IDCW Option;10;11-Apr-2022")</f>
        <v>146635;INF179KC1478;-;HDFC FMP 1133D February 2019 (1) - Quarterly IDCW Option;10;11-Apr-2022</v>
      </c>
      <c r="B11101" s="1"/>
    </row>
    <row r="11102">
      <c r="A11102" s="1" t="str">
        <f>IFERROR(__xludf.DUMMYFUNCTION("""COMPUTED_VALUE"""),"146632;INF179KC1445;-;HDFC FMP 1133D February 2019 (1) - Quarterly IDCW Option - Direct Plan;10;11-Apr-2022")</f>
        <v>146632;INF179KC1445;-;HDFC FMP 1133D February 2019 (1) - Quarterly IDCW Option - Direct Plan;10;11-Apr-2022</v>
      </c>
      <c r="B11102" s="1"/>
    </row>
    <row r="11103">
      <c r="A11103" s="1" t="str">
        <f>IFERROR(__xludf.DUMMYFUNCTION("""COMPUTED_VALUE"""),"146502;INF179KC1395;-;HDFC FMP 1146D February 2019 (1) - Growth Option;12.5851;11-Apr-2022")</f>
        <v>146502;INF179KC1395;-;HDFC FMP 1146D February 2019 (1) - Growth Option;12.5851;11-Apr-2022</v>
      </c>
      <c r="B11103" s="1"/>
    </row>
    <row r="11104">
      <c r="A11104" s="1" t="str">
        <f>IFERROR(__xludf.DUMMYFUNCTION("""COMPUTED_VALUE"""),"146498;INF179KC1361;-;HDFC FMP 1146D February 2019 (1) - Growth Option - Direct Plan;12.6858;11-Apr-2022")</f>
        <v>146498;INF179KC1361;-;HDFC FMP 1146D February 2019 (1) - Growth Option - Direct Plan;12.6858;11-Apr-2022</v>
      </c>
      <c r="B11104" s="1"/>
    </row>
    <row r="11105">
      <c r="A11105" s="1" t="str">
        <f>IFERROR(__xludf.DUMMYFUNCTION("""COMPUTED_VALUE"""),"146501;INF179KC1403;-;HDFC FMP 1146D February 2019 (1) - IDCW Option;10;11-Apr-2022")</f>
        <v>146501;INF179KC1403;-;HDFC FMP 1146D February 2019 (1) - IDCW Option;10;11-Apr-2022</v>
      </c>
      <c r="B11105" s="1"/>
    </row>
    <row r="11106">
      <c r="A11106" s="1" t="str">
        <f>IFERROR(__xludf.DUMMYFUNCTION("""COMPUTED_VALUE"""),"146497;INF179KC1379;-;HDFC FMP 1146D February 2019 (1) - IDCW Option - Direct Plan;10;11-Apr-2022")</f>
        <v>146497;INF179KC1379;-;HDFC FMP 1146D February 2019 (1) - IDCW Option - Direct Plan;10;11-Apr-2022</v>
      </c>
      <c r="B11106" s="1"/>
    </row>
    <row r="11107">
      <c r="A11107" s="1" t="str">
        <f>IFERROR(__xludf.DUMMYFUNCTION("""COMPUTED_VALUE"""),"146500;INF179KC1411;-;HDFC FMP 1146D February 2019 (1) - Quarterly IDCW Option;10;11-Apr-2022")</f>
        <v>146500;INF179KC1411;-;HDFC FMP 1146D February 2019 (1) - Quarterly IDCW Option;10;11-Apr-2022</v>
      </c>
      <c r="B11107" s="1"/>
    </row>
    <row r="11108">
      <c r="A11108" s="1" t="str">
        <f>IFERROR(__xludf.DUMMYFUNCTION("""COMPUTED_VALUE"""),"146499;INF179KC1387;-;HDFC FMP 1146D February 2019 (1) - Quarterly IDCW Option - Direct Plan;10;11-Apr-2022")</f>
        <v>146499;INF179KC1387;-;HDFC FMP 1146D February 2019 (1) - Quarterly IDCW Option - Direct Plan;10;11-Apr-2022</v>
      </c>
      <c r="B11108" s="1"/>
    </row>
    <row r="11109">
      <c r="A11109" s="1" t="str">
        <f>IFERROR(__xludf.DUMMYFUNCTION("""COMPUTED_VALUE"""),"146469;INF179KC1338;-;HDFC FMP 1154D February 2019 (1) - Growth Option;12.575;11-Apr-2022")</f>
        <v>146469;INF179KC1338;-;HDFC FMP 1154D February 2019 (1) - Growth Option;12.575;11-Apr-2022</v>
      </c>
      <c r="B11109" s="1"/>
    </row>
    <row r="11110">
      <c r="A11110" s="1" t="str">
        <f>IFERROR(__xludf.DUMMYFUNCTION("""COMPUTED_VALUE"""),"146468;INF179KC1304;-;HDFC FMP 1154D February 2019 (1) - Growth Option - Direct Plan;12.675;11-Apr-2022")</f>
        <v>146468;INF179KC1304;-;HDFC FMP 1154D February 2019 (1) - Growth Option - Direct Plan;12.675;11-Apr-2022</v>
      </c>
      <c r="B11110" s="1"/>
    </row>
    <row r="11111">
      <c r="A11111" s="1" t="str">
        <f>IFERROR(__xludf.DUMMYFUNCTION("""COMPUTED_VALUE"""),"146467;INF179KC1346;-;HDFC FMP 1154D February 2019 (1) - IDCW Option;10;11-Apr-2022")</f>
        <v>146467;INF179KC1346;-;HDFC FMP 1154D February 2019 (1) - IDCW Option;10;11-Apr-2022</v>
      </c>
      <c r="B11111" s="1"/>
    </row>
    <row r="11112">
      <c r="A11112" s="1" t="str">
        <f>IFERROR(__xludf.DUMMYFUNCTION("""COMPUTED_VALUE"""),"146465;INF179KC1312;-;HDFC FMP 1154D February 2019 (1) - IDCW Option - Direct Plan;10;11-Apr-2022")</f>
        <v>146465;INF179KC1312;-;HDFC FMP 1154D February 2019 (1) - IDCW Option - Direct Plan;10;11-Apr-2022</v>
      </c>
      <c r="B11112" s="1"/>
    </row>
    <row r="11113">
      <c r="A11113" s="1" t="str">
        <f>IFERROR(__xludf.DUMMYFUNCTION("""COMPUTED_VALUE"""),"146466;INF179KC1353;-;HDFC FMP 1154D February 2019 (1) - Quarterly IDCW Option;10;11-Apr-2022")</f>
        <v>146466;INF179KC1353;-;HDFC FMP 1154D February 2019 (1) - Quarterly IDCW Option;10;11-Apr-2022</v>
      </c>
      <c r="B11113" s="1"/>
    </row>
    <row r="11114">
      <c r="A11114" s="1" t="str">
        <f>IFERROR(__xludf.DUMMYFUNCTION("""COMPUTED_VALUE"""),"146470;INF179KC1320;-;HDFC FMP 1154D February 2019 (1) - Quarterly IDCW Option - Direct Plan;10;11-Apr-2022")</f>
        <v>146470;INF179KC1320;-;HDFC FMP 1154D February 2019 (1) - Quarterly IDCW Option - Direct Plan;10;11-Apr-2022</v>
      </c>
      <c r="B11114" s="1"/>
    </row>
    <row r="11115">
      <c r="A11115" s="1" t="str">
        <f>IFERROR(__xludf.DUMMYFUNCTION("""COMPUTED_VALUE"""),"150396;INF179KC1CX3;-;HDFC FMP 1158D July 2022 - Growth Option;10.7207;25-Aug-2023")</f>
        <v>150396;INF179KC1CX3;-;HDFC FMP 1158D July 2022 - Growth Option;10.7207;25-Aug-2023</v>
      </c>
      <c r="B11115" s="1"/>
    </row>
    <row r="11116">
      <c r="A11116" s="1" t="str">
        <f>IFERROR(__xludf.DUMMYFUNCTION("""COMPUTED_VALUE"""),"150395;INF179KC1CU9;-;HDFC FMP 1158D July 2022 - Growth Option - Direct Plan;10.7546;25-Aug-2023")</f>
        <v>150395;INF179KC1CU9;-;HDFC FMP 1158D July 2022 - Growth Option - Direct Plan;10.7546;25-Aug-2023</v>
      </c>
      <c r="B11116" s="1"/>
    </row>
    <row r="11117">
      <c r="A11117" s="1" t="str">
        <f>IFERROR(__xludf.DUMMYFUNCTION("""COMPUTED_VALUE"""),"150398;INF179KC1CY1;-;HDFC FMP 1158D July 2022 - IDCW Option;10.7207;25-Aug-2023")</f>
        <v>150398;INF179KC1CY1;-;HDFC FMP 1158D July 2022 - IDCW Option;10.7207;25-Aug-2023</v>
      </c>
      <c r="B11117" s="1"/>
    </row>
    <row r="11118">
      <c r="A11118" s="1" t="str">
        <f>IFERROR(__xludf.DUMMYFUNCTION("""COMPUTED_VALUE"""),"150400;INF179KC1CV7;-;HDFC FMP 1158D July 2022 - IDCW Option - Direct Plan;10.7546;25-Aug-2023")</f>
        <v>150400;INF179KC1CV7;-;HDFC FMP 1158D July 2022 - IDCW Option - Direct Plan;10.7546;25-Aug-2023</v>
      </c>
      <c r="B11118" s="1"/>
    </row>
    <row r="11119">
      <c r="A11119" s="1" t="str">
        <f>IFERROR(__xludf.DUMMYFUNCTION("""COMPUTED_VALUE"""),"150399;INF179KC1CZ8;-;HDFC FMP 1158D July 2022 - Quarterly IDCW Option;10.0943;25-Aug-2023")</f>
        <v>150399;INF179KC1CZ8;-;HDFC FMP 1158D July 2022 - Quarterly IDCW Option;10.0943;25-Aug-2023</v>
      </c>
      <c r="B11119" s="1"/>
    </row>
    <row r="11120">
      <c r="A11120" s="1" t="str">
        <f>IFERROR(__xludf.DUMMYFUNCTION("""COMPUTED_VALUE"""),"150397;INF179KC1CW5;-;HDFC FMP 1158D July 2022 - Quarterly IDCW Option - Direct Plan;10.1;25-Aug-2023")</f>
        <v>150397;INF179KC1CW5;-;HDFC FMP 1158D July 2022 - Quarterly IDCW Option - Direct Plan;10.1;25-Aug-2023</v>
      </c>
      <c r="B11120" s="1"/>
    </row>
    <row r="11121">
      <c r="A11121" s="1" t="str">
        <f>IFERROR(__xludf.DUMMYFUNCTION("""COMPUTED_VALUE"""),"149929;INF179KC1CL8;-;HDFC FMP 1162D March 2022 - Growth Option;10.6551;25-Aug-2023")</f>
        <v>149929;INF179KC1CL8;-;HDFC FMP 1162D March 2022 - Growth Option;10.6551;25-Aug-2023</v>
      </c>
      <c r="B11121" s="1"/>
    </row>
    <row r="11122">
      <c r="A11122" s="1" t="str">
        <f>IFERROR(__xludf.DUMMYFUNCTION("""COMPUTED_VALUE"""),"149934;INF179KC1CI4;-;HDFC FMP 1162D March 2022 - Growth Option - Direct Plan;10.6783;25-Aug-2023")</f>
        <v>149934;INF179KC1CI4;-;HDFC FMP 1162D March 2022 - Growth Option - Direct Plan;10.6783;25-Aug-2023</v>
      </c>
      <c r="B11122" s="1"/>
    </row>
    <row r="11123">
      <c r="A11123" s="1" t="str">
        <f>IFERROR(__xludf.DUMMYFUNCTION("""COMPUTED_VALUE"""),"149930;INF179KC1CM6;-;HDFC FMP 1162D March 2022 - IDCW Option;10.6551;25-Aug-2023")</f>
        <v>149930;INF179KC1CM6;-;HDFC FMP 1162D March 2022 - IDCW Option;10.6551;25-Aug-2023</v>
      </c>
      <c r="B11123" s="1"/>
    </row>
    <row r="11124">
      <c r="A11124" s="1" t="str">
        <f>IFERROR(__xludf.DUMMYFUNCTION("""COMPUTED_VALUE"""),"149931;INF179KC1CJ2;-;HDFC FMP 1162D March 2022 - IDCW Option - Direct Plan;10.6783;25-Aug-2023")</f>
        <v>149931;INF179KC1CJ2;-;HDFC FMP 1162D March 2022 - IDCW Option - Direct Plan;10.6783;25-Aug-2023</v>
      </c>
      <c r="B11124" s="1"/>
    </row>
    <row r="11125">
      <c r="A11125" s="1" t="str">
        <f>IFERROR(__xludf.DUMMYFUNCTION("""COMPUTED_VALUE"""),"149932;INF179KC1CN4;-;HDFC FMP 1162D March 2022 - Quarterly Dividend Option;10.1113;25-Aug-2023")</f>
        <v>149932;INF179KC1CN4;-;HDFC FMP 1162D March 2022 - Quarterly Dividend Option;10.1113;25-Aug-2023</v>
      </c>
      <c r="B11125" s="1"/>
    </row>
    <row r="11126">
      <c r="A11126" s="1" t="str">
        <f>IFERROR(__xludf.DUMMYFUNCTION("""COMPUTED_VALUE"""),"149933;INF179KC1CK0;-;HDFC FMP 1162D March 2022 - Quarterly Dividend Option - Direct Plan;10.114;25-Aug-2023")</f>
        <v>149933;INF179KC1CK0;-;HDFC FMP 1162D March 2022 - Quarterly Dividend Option - Direct Plan;10.114;25-Aug-2023</v>
      </c>
      <c r="B11126" s="1"/>
    </row>
    <row r="11127">
      <c r="A11127" s="1" t="str">
        <f>IFERROR(__xludf.DUMMYFUNCTION("""COMPUTED_VALUE"""),"146280;INF179KC1270;-;HDFC FMP 1168D January 2019 (1) - Growth Option;12.6644;11-Apr-2022")</f>
        <v>146280;INF179KC1270;-;HDFC FMP 1168D January 2019 (1) - Growth Option;12.6644;11-Apr-2022</v>
      </c>
      <c r="B11127" s="1"/>
    </row>
    <row r="11128">
      <c r="A11128" s="1" t="str">
        <f>IFERROR(__xludf.DUMMYFUNCTION("""COMPUTED_VALUE"""),"146277;INF179KC1247;-;HDFC FMP 1168D January 2019 (1) - Growth Option - Direct Plan;12.7715;11-Apr-2022")</f>
        <v>146277;INF179KC1247;-;HDFC FMP 1168D January 2019 (1) - Growth Option - Direct Plan;12.7715;11-Apr-2022</v>
      </c>
      <c r="B11128" s="1"/>
    </row>
    <row r="11129">
      <c r="A11129" s="1" t="str">
        <f>IFERROR(__xludf.DUMMYFUNCTION("""COMPUTED_VALUE"""),"146279;INF179KC1288;-;HDFC FMP 1168D January 2019 (1) - IDCW Option;10;11-Apr-2022")</f>
        <v>146279;INF179KC1288;-;HDFC FMP 1168D January 2019 (1) - IDCW Option;10;11-Apr-2022</v>
      </c>
      <c r="B11129" s="1"/>
    </row>
    <row r="11130">
      <c r="A11130" s="1" t="str">
        <f>IFERROR(__xludf.DUMMYFUNCTION("""COMPUTED_VALUE"""),"146276;INF179KC1254;-;HDFC FMP 1168D January 2019 (1) - IDCW Option - Direct Plan;10;11-Apr-2022")</f>
        <v>146276;INF179KC1254;-;HDFC FMP 1168D January 2019 (1) - IDCW Option - Direct Plan;10;11-Apr-2022</v>
      </c>
      <c r="B11130" s="1"/>
    </row>
    <row r="11131">
      <c r="A11131" s="1" t="str">
        <f>IFERROR(__xludf.DUMMYFUNCTION("""COMPUTED_VALUE"""),"146281;INF179KC1296;-;HDFC FMP 1168D January 2019 (1) - Quarterly IDCW Option;10;11-Apr-2022")</f>
        <v>146281;INF179KC1296;-;HDFC FMP 1168D January 2019 (1) - Quarterly IDCW Option;10;11-Apr-2022</v>
      </c>
      <c r="B11131" s="1"/>
    </row>
    <row r="11132">
      <c r="A11132" s="1" t="str">
        <f>IFERROR(__xludf.DUMMYFUNCTION("""COMPUTED_VALUE"""),"146278;INF179KC1262;-;HDFC FMP 1168D January 2019 (1) - Quarterly IDCW Option - Direct Plan;10;11-Apr-2022")</f>
        <v>146278;INF179KC1262;-;HDFC FMP 1168D January 2019 (1) - Quarterly IDCW Option - Direct Plan;10;11-Apr-2022</v>
      </c>
      <c r="B11132" s="1"/>
    </row>
    <row r="11133">
      <c r="A11133" s="1" t="str">
        <f>IFERROR(__xludf.DUMMYFUNCTION("""COMPUTED_VALUE"""),"140693;INF179KB1C32;-;HDFC FMP 1170D February 2017 (1) - Direct Option - Dividend Option;10;13-May-2020")</f>
        <v>140693;INF179KB1C32;-;HDFC FMP 1170D February 2017 (1) - Direct Option - Dividend Option;10;13-May-2020</v>
      </c>
      <c r="B11133" s="1"/>
    </row>
    <row r="11134">
      <c r="A11134" s="1" t="str">
        <f>IFERROR(__xludf.DUMMYFUNCTION("""COMPUTED_VALUE"""),"140694;INF179KB1C24;-;HDFC FMP 1170D February 2017 (1) - Direct Option - Growth Option;12.8951;13-May-2020")</f>
        <v>140694;INF179KB1C24;-;HDFC FMP 1170D February 2017 (1) - Direct Option - Growth Option;12.8951;13-May-2020</v>
      </c>
      <c r="B11134" s="1"/>
    </row>
    <row r="11135">
      <c r="A11135" s="1" t="str">
        <f>IFERROR(__xludf.DUMMYFUNCTION("""COMPUTED_VALUE"""),"140697;INF179KB1C40;-;HDFC FMP 1170D February 2017 (1) - Direct Option - Quarterly Dividend Option;10;13-May-2020")</f>
        <v>140697;INF179KB1C40;-;HDFC FMP 1170D February 2017 (1) - Direct Option - Quarterly Dividend Option;10;13-May-2020</v>
      </c>
      <c r="B11135" s="1"/>
    </row>
    <row r="11136">
      <c r="A11136" s="1" t="str">
        <f>IFERROR(__xludf.DUMMYFUNCTION("""COMPUTED_VALUE"""),"140698;INF179KB1C65;-;HDFC FMP 1170D February 2017 (1) - Regular Option - Dividend Option;10;13-May-2020")</f>
        <v>140698;INF179KB1C65;-;HDFC FMP 1170D February 2017 (1) - Regular Option - Dividend Option;10;13-May-2020</v>
      </c>
      <c r="B11136" s="1"/>
    </row>
    <row r="11137">
      <c r="A11137" s="1" t="str">
        <f>IFERROR(__xludf.DUMMYFUNCTION("""COMPUTED_VALUE"""),"140695;INF179KB1C57;-;HDFC FMP 1170D February 2017 (1) - Regular Option - Growth Option;12.7436;13-May-2020")</f>
        <v>140695;INF179KB1C57;-;HDFC FMP 1170D February 2017 (1) - Regular Option - Growth Option;12.7436;13-May-2020</v>
      </c>
      <c r="B11137" s="1"/>
    </row>
    <row r="11138">
      <c r="A11138" s="1" t="str">
        <f>IFERROR(__xludf.DUMMYFUNCTION("""COMPUTED_VALUE"""),"140696;INF179KB1C73;-;HDFC FMP 1170D February 2017 (1) - Regular Option - Quarterly Dividend Option;10;13-May-2020")</f>
        <v>140696;INF179KB1C73;-;HDFC FMP 1170D February 2017 (1) - Regular Option - Quarterly Dividend Option;10;13-May-2020</v>
      </c>
      <c r="B11138" s="1"/>
    </row>
    <row r="11139">
      <c r="A11139" s="1" t="str">
        <f>IFERROR(__xludf.DUMMYFUNCTION("""COMPUTED_VALUE"""),"146153;INF179KC1213;-;HDFC FMP 1175D January 2019 (1) - Growth Option;12.6824;11-Apr-2022")</f>
        <v>146153;INF179KC1213;-;HDFC FMP 1175D January 2019 (1) - Growth Option;12.6824;11-Apr-2022</v>
      </c>
      <c r="B11139" s="1"/>
    </row>
    <row r="11140">
      <c r="A11140" s="1" t="str">
        <f>IFERROR(__xludf.DUMMYFUNCTION("""COMPUTED_VALUE"""),"146155;INF179KC1189;-;HDFC FMP 1175D January 2019 (1) - Growth Option - Direct Plan;12.7896;11-Apr-2022")</f>
        <v>146155;INF179KC1189;-;HDFC FMP 1175D January 2019 (1) - Growth Option - Direct Plan;12.7896;11-Apr-2022</v>
      </c>
      <c r="B11140" s="1"/>
    </row>
    <row r="11141">
      <c r="A11141" s="1" t="str">
        <f>IFERROR(__xludf.DUMMYFUNCTION("""COMPUTED_VALUE"""),"146152;INF179KC1221;-;HDFC FMP 1175D January 2019 (1) - IDCW Option;10;11-Apr-2022")</f>
        <v>146152;INF179KC1221;-;HDFC FMP 1175D January 2019 (1) - IDCW Option;10;11-Apr-2022</v>
      </c>
      <c r="B11141" s="1"/>
    </row>
    <row r="11142">
      <c r="A11142" s="1" t="str">
        <f>IFERROR(__xludf.DUMMYFUNCTION("""COMPUTED_VALUE"""),"146149;INF179KC1197;-;HDFC FMP 1175D January 2019 (1) - IDCW Option - Direct Plan;10;11-Apr-2022")</f>
        <v>146149;INF179KC1197;-;HDFC FMP 1175D January 2019 (1) - IDCW Option - Direct Plan;10;11-Apr-2022</v>
      </c>
      <c r="B11142" s="1"/>
    </row>
    <row r="11143">
      <c r="A11143" s="1" t="str">
        <f>IFERROR(__xludf.DUMMYFUNCTION("""COMPUTED_VALUE"""),"146156;INF179KC1239;-;HDFC FMP 1175D January 2019 (1) - Quarterly IDCW Option;10;11-Apr-2022")</f>
        <v>146156;INF179KC1239;-;HDFC FMP 1175D January 2019 (1) - Quarterly IDCW Option;10;11-Apr-2022</v>
      </c>
      <c r="B11143" s="1"/>
    </row>
    <row r="11144">
      <c r="A11144" s="1" t="str">
        <f>IFERROR(__xludf.DUMMYFUNCTION("""COMPUTED_VALUE"""),"146154;INF179KC1205;-;HDFC FMP 1175D January 2019 (1) - Quarterly IDCW Option - Direct Plan;10;11-Apr-2022")</f>
        <v>146154;INF179KC1205;-;HDFC FMP 1175D January 2019 (1) - Quarterly IDCW Option - Direct Plan;10;11-Apr-2022</v>
      </c>
      <c r="B11144" s="1"/>
    </row>
    <row r="11145">
      <c r="A11145" s="1" t="str">
        <f>IFERROR(__xludf.DUMMYFUNCTION("""COMPUTED_VALUE"""),"146147;INF179KC1155;-;HDFC FMP 1182D January 2019 (1) - Growth Option;12.7229;12-Apr-2022")</f>
        <v>146147;INF179KC1155;-;HDFC FMP 1182D January 2019 (1) - Growth Option;12.7229;12-Apr-2022</v>
      </c>
      <c r="B11145" s="1"/>
    </row>
    <row r="11146">
      <c r="A11146" s="1" t="str">
        <f>IFERROR(__xludf.DUMMYFUNCTION("""COMPUTED_VALUE"""),"146145;INF179KC1122;-;HDFC FMP 1182D January 2019 (1) - Growth Option - Direct Plan;12.8188;12-Apr-2022")</f>
        <v>146145;INF179KC1122;-;HDFC FMP 1182D January 2019 (1) - Growth Option - Direct Plan;12.8188;12-Apr-2022</v>
      </c>
      <c r="B11146" s="1"/>
    </row>
    <row r="11147">
      <c r="A11147" s="1" t="str">
        <f>IFERROR(__xludf.DUMMYFUNCTION("""COMPUTED_VALUE"""),"146146;INF179KC1163;-;HDFC FMP 1182D January 2019 (1) - IDCW Option;10;12-Apr-2022")</f>
        <v>146146;INF179KC1163;-;HDFC FMP 1182D January 2019 (1) - IDCW Option;10;12-Apr-2022</v>
      </c>
      <c r="B11147" s="1"/>
    </row>
    <row r="11148">
      <c r="A11148" s="1" t="str">
        <f>IFERROR(__xludf.DUMMYFUNCTION("""COMPUTED_VALUE"""),"146144;INF179KC1171;-;HDFC FMP 1182D January 2019 (1) - Quarterly IDCW Option;10;12-Apr-2022")</f>
        <v>146144;INF179KC1171;-;HDFC FMP 1182D January 2019 (1) - Quarterly IDCW Option;10;12-Apr-2022</v>
      </c>
      <c r="B11148" s="1"/>
    </row>
    <row r="11149">
      <c r="A11149" s="1" t="str">
        <f>IFERROR(__xludf.DUMMYFUNCTION("""COMPUTED_VALUE"""),"146148;INF179KC1148;-;HDFC FMP 1182D January 2019 (1) - Quarterly IDCW Option - Direct Plan;10;12-Apr-2022")</f>
        <v>146148;INF179KC1148;-;HDFC FMP 1182D January 2019 (1) - Quarterly IDCW Option - Direct Plan;10;12-Apr-2022</v>
      </c>
      <c r="B11149" s="1"/>
    </row>
    <row r="11150">
      <c r="A11150" s="1" t="str">
        <f>IFERROR(__xludf.DUMMYFUNCTION("""COMPUTED_VALUE"""),"146058;INF179KC1098;-;HDFC FMP 1190D January 2019 (1) - Growth Option;12.7474;12-Apr-2022")</f>
        <v>146058;INF179KC1098;-;HDFC FMP 1190D January 2019 (1) - Growth Option;12.7474;12-Apr-2022</v>
      </c>
      <c r="B11150" s="1"/>
    </row>
    <row r="11151">
      <c r="A11151" s="1" t="str">
        <f>IFERROR(__xludf.DUMMYFUNCTION("""COMPUTED_VALUE"""),"146056;INF179KC1064;-;HDFC FMP 1190D January 2019 (1) - Growth Option - Direct Plan;12.8425;12-Apr-2022")</f>
        <v>146056;INF179KC1064;-;HDFC FMP 1190D January 2019 (1) - Growth Option - Direct Plan;12.8425;12-Apr-2022</v>
      </c>
      <c r="B11151" s="1"/>
    </row>
    <row r="11152">
      <c r="A11152" s="1" t="str">
        <f>IFERROR(__xludf.DUMMYFUNCTION("""COMPUTED_VALUE"""),"146055;INF179KC1072;-;HDFC FMP 1190D January 2019 (1) - IDCW Option - Direct Plan;10;12-Apr-2022")</f>
        <v>146055;INF179KC1072;-;HDFC FMP 1190D January 2019 (1) - IDCW Option - Direct Plan;10;12-Apr-2022</v>
      </c>
      <c r="B11152" s="1"/>
    </row>
    <row r="11153">
      <c r="A11153" s="1" t="str">
        <f>IFERROR(__xludf.DUMMYFUNCTION("""COMPUTED_VALUE"""),"146059;INF179KC1114;-;HDFC FMP 1190D January 2019 (1) - Quarterly IDCW Option;10;12-Apr-2022")</f>
        <v>146059;INF179KC1114;-;HDFC FMP 1190D January 2019 (1) - Quarterly IDCW Option;10;12-Apr-2022</v>
      </c>
      <c r="B11153" s="1"/>
    </row>
    <row r="11154">
      <c r="A11154" s="1" t="str">
        <f>IFERROR(__xludf.DUMMYFUNCTION("""COMPUTED_VALUE"""),"146057;INF179KC1080;-;HDFC FMP 1190D January 2019 (1) - Quarterly IDCW Option - Direct Plan;10;12-Apr-2022")</f>
        <v>146057;INF179KC1080;-;HDFC FMP 1190D January 2019 (1) - Quarterly IDCW Option - Direct Plan;10;12-Apr-2022</v>
      </c>
      <c r="B11154" s="1"/>
    </row>
    <row r="11155">
      <c r="A11155" s="1" t="str">
        <f>IFERROR(__xludf.DUMMYFUNCTION("""COMPUTED_VALUE"""),"145985;INF179KC1031;-;HDFC FMP 1196D December 2018 (1) - Growth Option;12.7552;12-Apr-2022")</f>
        <v>145985;INF179KC1031;-;HDFC FMP 1196D December 2018 (1) - Growth Option;12.7552;12-Apr-2022</v>
      </c>
      <c r="B11155" s="1"/>
    </row>
    <row r="11156">
      <c r="A11156" s="1" t="str">
        <f>IFERROR(__xludf.DUMMYFUNCTION("""COMPUTED_VALUE"""),"145982;INF179KB19Z9;-;HDFC FMP 1196D December 2018 (1) - Growth Option - Direct Plan;12.857;12-Apr-2022")</f>
        <v>145982;INF179KB19Z9;-;HDFC FMP 1196D December 2018 (1) - Growth Option - Direct Plan;12.857;12-Apr-2022</v>
      </c>
      <c r="B11156" s="1"/>
    </row>
    <row r="11157">
      <c r="A11157" s="1" t="str">
        <f>IFERROR(__xludf.DUMMYFUNCTION("""COMPUTED_VALUE"""),"145984;INF179KC1049;-;HDFC FMP 1196D December 2018 (1) - IDCW Option;10;12-Apr-2022")</f>
        <v>145984;INF179KC1049;-;HDFC FMP 1196D December 2018 (1) - IDCW Option;10;12-Apr-2022</v>
      </c>
      <c r="B11157" s="1"/>
    </row>
    <row r="11158">
      <c r="A11158" s="1" t="str">
        <f>IFERROR(__xludf.DUMMYFUNCTION("""COMPUTED_VALUE"""),"145981;INF179KC1015;-;HDFC FMP 1196D December 2018 (1) - IDCW Option - Direct Plan;10;12-Apr-2022")</f>
        <v>145981;INF179KC1015;-;HDFC FMP 1196D December 2018 (1) - IDCW Option - Direct Plan;10;12-Apr-2022</v>
      </c>
      <c r="B11158" s="1"/>
    </row>
    <row r="11159">
      <c r="A11159" s="1" t="str">
        <f>IFERROR(__xludf.DUMMYFUNCTION("""COMPUTED_VALUE"""),"145986;INF179KC1056;-;HDFC FMP 1196D December 2018 (1) - Quarterly IDCW Option;10;12-Apr-2022")</f>
        <v>145986;INF179KC1056;-;HDFC FMP 1196D December 2018 (1) - Quarterly IDCW Option;10;12-Apr-2022</v>
      </c>
      <c r="B11159" s="1"/>
    </row>
    <row r="11160">
      <c r="A11160" s="1" t="str">
        <f>IFERROR(__xludf.DUMMYFUNCTION("""COMPUTED_VALUE"""),"145983;INF179KC1023;-;HDFC FMP 1196D December 2018 (1) - Quarterly IDCW Option - Direct Plan;10;12-Apr-2022")</f>
        <v>145983;INF179KC1023;-;HDFC FMP 1196D December 2018 (1) - Quarterly IDCW Option - Direct Plan;10;12-Apr-2022</v>
      </c>
      <c r="B11160" s="1"/>
    </row>
    <row r="11161">
      <c r="A11161" s="1" t="str">
        <f>IFERROR(__xludf.DUMMYFUNCTION("""COMPUTED_VALUE"""),"145869;INF179KB16Z5;-;HDFC FMP 1203D December 2018 (1) - Growth Option;12.78;12-Apr-2022")</f>
        <v>145869;INF179KB16Z5;-;HDFC FMP 1203D December 2018 (1) - Growth Option;12.78;12-Apr-2022</v>
      </c>
      <c r="B11161" s="1"/>
    </row>
    <row r="11162">
      <c r="A11162" s="1" t="str">
        <f>IFERROR(__xludf.DUMMYFUNCTION("""COMPUTED_VALUE"""),"145866;INF179KB13Z2;-;HDFC FMP 1203D December 2018 (1) - Growth Option - Direct Plan;12.8755;12-Apr-2022")</f>
        <v>145866;INF179KB13Z2;-;HDFC FMP 1203D December 2018 (1) - Growth Option - Direct Plan;12.8755;12-Apr-2022</v>
      </c>
      <c r="B11162" s="1"/>
    </row>
    <row r="11163">
      <c r="A11163" s="1" t="str">
        <f>IFERROR(__xludf.DUMMYFUNCTION("""COMPUTED_VALUE"""),"145868;INF179KB17Z3;-;HDFC FMP 1203D December 2018 (1) - IDCW Option;10;12-Apr-2022")</f>
        <v>145868;INF179KB17Z3;-;HDFC FMP 1203D December 2018 (1) - IDCW Option;10;12-Apr-2022</v>
      </c>
      <c r="B11163" s="1"/>
    </row>
    <row r="11164">
      <c r="A11164" s="1" t="str">
        <f>IFERROR(__xludf.DUMMYFUNCTION("""COMPUTED_VALUE"""),"145870;INF179KB18Z1;-;HDFC FMP 1203D December 2018 (1) - Quarterly IDCW Option;10;12-Apr-2022")</f>
        <v>145870;INF179KB18Z1;-;HDFC FMP 1203D December 2018 (1) - Quarterly IDCW Option;10;12-Apr-2022</v>
      </c>
      <c r="B11164" s="1"/>
    </row>
    <row r="11165">
      <c r="A11165" s="1" t="str">
        <f>IFERROR(__xludf.DUMMYFUNCTION("""COMPUTED_VALUE"""),"151224;INF179KC1EQ3;-;HDFC FMP 1204D December - Growth Option;10.4396;25-Aug-2023")</f>
        <v>151224;INF179KC1EQ3;-;HDFC FMP 1204D December - Growth Option;10.4396;25-Aug-2023</v>
      </c>
      <c r="B11165" s="1"/>
    </row>
    <row r="11166">
      <c r="A11166" s="1" t="str">
        <f>IFERROR(__xludf.DUMMYFUNCTION("""COMPUTED_VALUE"""),"151225;INF179KC1EN0;-;HDFC FMP 1204D December - Growth Option - Direct Plan;10.4568;25-Aug-2023")</f>
        <v>151225;INF179KC1EN0;-;HDFC FMP 1204D December - Growth Option - Direct Plan;10.4568;25-Aug-2023</v>
      </c>
      <c r="B11166" s="1"/>
    </row>
    <row r="11167">
      <c r="A11167" s="1" t="str">
        <f>IFERROR(__xludf.DUMMYFUNCTION("""COMPUTED_VALUE"""),"151220;INF179KC1ER1;-;HDFC FMP 1204D December - IDCW Option;10.4396;25-Aug-2023")</f>
        <v>151220;INF179KC1ER1;-;HDFC FMP 1204D December - IDCW Option;10.4396;25-Aug-2023</v>
      </c>
      <c r="B11167" s="1"/>
    </row>
    <row r="11168">
      <c r="A11168" s="1" t="str">
        <f>IFERROR(__xludf.DUMMYFUNCTION("""COMPUTED_VALUE"""),"151221;INF179KC1EO8;-;HDFC FMP 1204D December - IDCW Option - Direct Plan;10.4568;25-Aug-2023")</f>
        <v>151221;INF179KC1EO8;-;HDFC FMP 1204D December - IDCW Option - Direct Plan;10.4568;25-Aug-2023</v>
      </c>
      <c r="B11168" s="1"/>
    </row>
    <row r="11169">
      <c r="A11169" s="1" t="str">
        <f>IFERROR(__xludf.DUMMYFUNCTION("""COMPUTED_VALUE"""),"151222;INF179KC1ES9;-;HDFC FMP 1204D December - Quarterly IDCW Option;10.1692;25-Aug-2023")</f>
        <v>151222;INF179KC1ES9;-;HDFC FMP 1204D December - Quarterly IDCW Option;10.1692;25-Aug-2023</v>
      </c>
      <c r="B11169" s="1"/>
    </row>
    <row r="11170">
      <c r="A11170" s="1" t="str">
        <f>IFERROR(__xludf.DUMMYFUNCTION("""COMPUTED_VALUE"""),"151223;INF179KC1EP5;-;HDFC FMP 1204D December - Quarterly IDCW Option - Direct Plan;10.1739;25-Aug-2023")</f>
        <v>151223;INF179KC1EP5;-;HDFC FMP 1204D December - Quarterly IDCW Option - Direct Plan;10.1739;25-Aug-2023</v>
      </c>
      <c r="B11170" s="1"/>
    </row>
    <row r="11171">
      <c r="A11171" s="1" t="str">
        <f>IFERROR(__xludf.DUMMYFUNCTION("""COMPUTED_VALUE"""),"145862;INF179KB10Z8;-;HDFC FMP 1211D December 2018 (1) - Growth Option;12.7973;12-Apr-2022")</f>
        <v>145862;INF179KB10Z8;-;HDFC FMP 1211D December 2018 (1) - Growth Option;12.7973;12-Apr-2022</v>
      </c>
      <c r="B11171" s="1"/>
    </row>
    <row r="11172">
      <c r="A11172" s="1" t="str">
        <f>IFERROR(__xludf.DUMMYFUNCTION("""COMPUTED_VALUE"""),"145860;INF179KB17Y6;-;HDFC FMP 1211D December 2018 (1) - Growth Option - Direct Plan;12.8967;12-Apr-2022")</f>
        <v>145860;INF179KB17Y6;-;HDFC FMP 1211D December 2018 (1) - Growth Option - Direct Plan;12.8967;12-Apr-2022</v>
      </c>
      <c r="B11172" s="1"/>
    </row>
    <row r="11173">
      <c r="A11173" s="1" t="str">
        <f>IFERROR(__xludf.DUMMYFUNCTION("""COMPUTED_VALUE"""),"145799;INF179KB14Y3;-;HDFC FMP 1218D December 2018 (1) - Growth Option;12.8676;12-Apr-2022")</f>
        <v>145799;INF179KB14Y3;-;HDFC FMP 1218D December 2018 (1) - Growth Option;12.8676;12-Apr-2022</v>
      </c>
      <c r="B11173" s="1"/>
    </row>
    <row r="11174">
      <c r="A11174" s="1" t="str">
        <f>IFERROR(__xludf.DUMMYFUNCTION("""COMPUTED_VALUE"""),"145796;INF179KB11Y9;-;HDFC FMP 1218D December 2018 (1) - Growth Option - Direct Plan;12.9629;12-Apr-2022")</f>
        <v>145796;INF179KB11Y9;-;HDFC FMP 1218D December 2018 (1) - Growth Option - Direct Plan;12.9629;12-Apr-2022</v>
      </c>
      <c r="B11174" s="1"/>
    </row>
    <row r="11175">
      <c r="A11175" s="1" t="str">
        <f>IFERROR(__xludf.DUMMYFUNCTION("""COMPUTED_VALUE"""),"145798;INF179KB15Y0;-;HDFC FMP 1218D December 2018 (1) - IDCW Option;10;12-Apr-2022")</f>
        <v>145798;INF179KB15Y0;-;HDFC FMP 1218D December 2018 (1) - IDCW Option;10;12-Apr-2022</v>
      </c>
      <c r="B11175" s="1"/>
    </row>
    <row r="11176">
      <c r="A11176" s="1" t="str">
        <f>IFERROR(__xludf.DUMMYFUNCTION("""COMPUTED_VALUE"""),"145795;INF179KB12Y7;-;HDFC FMP 1218D December 2018 (1) - IDCW Option - Direct Plan;10;12-Apr-2022")</f>
        <v>145795;INF179KB12Y7;-;HDFC FMP 1218D December 2018 (1) - IDCW Option - Direct Plan;10;12-Apr-2022</v>
      </c>
      <c r="B11176" s="1"/>
    </row>
    <row r="11177">
      <c r="A11177" s="1" t="str">
        <f>IFERROR(__xludf.DUMMYFUNCTION("""COMPUTED_VALUE"""),"145800;INF179KB16Y8;-;HDFC FMP 1218D December 2018 (1) - Quarterly IDCW Option;10;12-Apr-2022")</f>
        <v>145800;INF179KB16Y8;-;HDFC FMP 1218D December 2018 (1) - Quarterly IDCW Option;10;12-Apr-2022</v>
      </c>
      <c r="B11177" s="1"/>
    </row>
    <row r="11178">
      <c r="A11178" s="1" t="str">
        <f>IFERROR(__xludf.DUMMYFUNCTION("""COMPUTED_VALUE"""),"145797;-;-;HDFC FMP 1218D December 2018(1)-Direct Plan-Quarterly Div Option;10;17-Dec-2018")</f>
        <v>145797;-;-;HDFC FMP 1218D December 2018(1)-Direct Plan-Quarterly Div Option;10;17-Dec-2018</v>
      </c>
      <c r="B11178" s="1"/>
    </row>
    <row r="11179">
      <c r="A11179" s="1" t="str">
        <f>IFERROR(__xludf.DUMMYFUNCTION("""COMPUTED_VALUE"""),"145719;INF179KB18X6;-;HDFC FMP 1224D DECEMBER 2018 (1) - Growth Option;12.8352;12-Apr-2022")</f>
        <v>145719;INF179KB18X6;-;HDFC FMP 1224D DECEMBER 2018 (1) - Growth Option;12.8352;12-Apr-2022</v>
      </c>
      <c r="B11179" s="1"/>
    </row>
    <row r="11180">
      <c r="A11180" s="1" t="str">
        <f>IFERROR(__xludf.DUMMYFUNCTION("""COMPUTED_VALUE"""),"145720;INF179KB15X2;-;HDFC FMP 1224D DECEMBER 2018 (1) - Growth Option - Direct Plan;12.9448;12-Apr-2022")</f>
        <v>145720;INF179KB15X2;-;HDFC FMP 1224D DECEMBER 2018 (1) - Growth Option - Direct Plan;12.9448;12-Apr-2022</v>
      </c>
      <c r="B11180" s="1"/>
    </row>
    <row r="11181">
      <c r="A11181" s="1" t="str">
        <f>IFERROR(__xludf.DUMMYFUNCTION("""COMPUTED_VALUE"""),"145721;INF179KB19X4;-;HDFC FMP 1224D DECEMBER 2018 (1) - IDCW Option;10;12-Apr-2022")</f>
        <v>145721;INF179KB19X4;-;HDFC FMP 1224D DECEMBER 2018 (1) - IDCW Option;10;12-Apr-2022</v>
      </c>
      <c r="B11181" s="1"/>
    </row>
    <row r="11182">
      <c r="A11182" s="1" t="str">
        <f>IFERROR(__xludf.DUMMYFUNCTION("""COMPUTED_VALUE"""),"145717;INF179KB16X0;-;HDFC FMP 1224D DECEMBER 2018 (1) - IDCW Option - Direct Plan;10;12-Apr-2022")</f>
        <v>145717;INF179KB16X0;-;HDFC FMP 1224D DECEMBER 2018 (1) - IDCW Option - Direct Plan;10;12-Apr-2022</v>
      </c>
      <c r="B11182" s="1"/>
    </row>
    <row r="11183">
      <c r="A11183" s="1" t="str">
        <f>IFERROR(__xludf.DUMMYFUNCTION("""COMPUTED_VALUE"""),"145722;INF179KB10Y1;-;HDFC FMP 1224D DECEMBER 2018 (1) - Quarterly IDCW Option;10;12-Apr-2022")</f>
        <v>145722;INF179KB10Y1;-;HDFC FMP 1224D DECEMBER 2018 (1) - Quarterly IDCW Option;10;12-Apr-2022</v>
      </c>
      <c r="B11183" s="1"/>
    </row>
    <row r="11184">
      <c r="A11184" s="1" t="str">
        <f>IFERROR(__xludf.DUMMYFUNCTION("""COMPUTED_VALUE"""),"145639;INF179KB18W8;-;HDFC FMP 1232D NOVEMBER 2018 (1) - Growth Option;12.9599;12-Apr-2022")</f>
        <v>145639;INF179KB18W8;-;HDFC FMP 1232D NOVEMBER 2018 (1) - Growth Option;12.9599;12-Apr-2022</v>
      </c>
      <c r="B11184" s="1"/>
    </row>
    <row r="11185">
      <c r="A11185" s="1" t="str">
        <f>IFERROR(__xludf.DUMMYFUNCTION("""COMPUTED_VALUE"""),"145643;INF179KB15W4;-;HDFC FMP 1232D NOVEMBER 2018 (1) - Growth Option - Direct Plan;13.0571;12-Apr-2022")</f>
        <v>145643;INF179KB15W4;-;HDFC FMP 1232D NOVEMBER 2018 (1) - Growth Option - Direct Plan;13.0571;12-Apr-2022</v>
      </c>
      <c r="B11185" s="1"/>
    </row>
    <row r="11186">
      <c r="A11186" s="1" t="str">
        <f>IFERROR(__xludf.DUMMYFUNCTION("""COMPUTED_VALUE"""),"145642;INF179KB10X3;-;HDFC FMP 1232D NOVEMBER 2018 (1) - Quarterly IDCW Option;10;12-Apr-2022")</f>
        <v>145642;INF179KB10X3;-;HDFC FMP 1232D NOVEMBER 2018 (1) - Quarterly IDCW Option;10;12-Apr-2022</v>
      </c>
      <c r="B11186" s="1"/>
    </row>
    <row r="11187">
      <c r="A11187" s="1" t="str">
        <f>IFERROR(__xludf.DUMMYFUNCTION("""COMPUTED_VALUE"""),"145640;INF179KB17W0;-;HDFC FMP 1232D NOVEMBER 2018 (1) - Quarterly IDCW Option - Direct Plan;10;12-Apr-2022")</f>
        <v>145640;INF179KB17W0;-;HDFC FMP 1232D NOVEMBER 2018 (1) - Quarterly IDCW Option - Direct Plan;10;12-Apr-2022</v>
      </c>
      <c r="B11187" s="1"/>
    </row>
    <row r="11188">
      <c r="A11188" s="1" t="str">
        <f>IFERROR(__xludf.DUMMYFUNCTION("""COMPUTED_VALUE"""),"145495;INF179KB12W1;-;HDFC FMP 1246D NOVEMBER 2018 (1) - Growth Option;12.994;18-Apr-2022")</f>
        <v>145495;INF179KB12W1;-;HDFC FMP 1246D NOVEMBER 2018 (1) - Growth Option;12.994;18-Apr-2022</v>
      </c>
      <c r="B11188" s="1"/>
    </row>
    <row r="11189">
      <c r="A11189" s="1" t="str">
        <f>IFERROR(__xludf.DUMMYFUNCTION("""COMPUTED_VALUE"""),"145492;INF179KB19V8;-;HDFC FMP 1246D NOVEMBER 2018 (1) - Growth Option - Direct Plan;13.0912;18-Apr-2022")</f>
        <v>145492;INF179KB19V8;-;HDFC FMP 1246D NOVEMBER 2018 (1) - Growth Option - Direct Plan;13.0912;18-Apr-2022</v>
      </c>
      <c r="B11189" s="1"/>
    </row>
    <row r="11190">
      <c r="A11190" s="1" t="str">
        <f>IFERROR(__xludf.DUMMYFUNCTION("""COMPUTED_VALUE"""),"145494;INF179KB13W9;-;HDFC FMP 1246D NOVEMBER 2018 (1) - IDCW Option;10;18-Apr-2022")</f>
        <v>145494;INF179KB13W9;-;HDFC FMP 1246D NOVEMBER 2018 (1) - IDCW Option;10;18-Apr-2022</v>
      </c>
      <c r="B11190" s="1"/>
    </row>
    <row r="11191">
      <c r="A11191" s="1" t="str">
        <f>IFERROR(__xludf.DUMMYFUNCTION("""COMPUTED_VALUE"""),"145491;INF179KB10W5;-;HDFC FMP 1246D NOVEMBER 2018 (1) - IDCW Option - Direct Plan;10;18-Apr-2022")</f>
        <v>145491;INF179KB10W5;-;HDFC FMP 1246D NOVEMBER 2018 (1) - IDCW Option - Direct Plan;10;18-Apr-2022</v>
      </c>
      <c r="B11191" s="1"/>
    </row>
    <row r="11192">
      <c r="A11192" s="1" t="str">
        <f>IFERROR(__xludf.DUMMYFUNCTION("""COMPUTED_VALUE"""),"145496;INF179KB14W7;-;HDFC FMP 1246D NOVEMBER 2018 (1) - Quarterly IDCW Option;10;18-Apr-2022")</f>
        <v>145496;INF179KB14W7;-;HDFC FMP 1246D NOVEMBER 2018 (1) - Quarterly IDCW Option;10;18-Apr-2022</v>
      </c>
      <c r="B11192" s="1"/>
    </row>
    <row r="11193">
      <c r="A11193" s="1" t="str">
        <f>IFERROR(__xludf.DUMMYFUNCTION("""COMPUTED_VALUE"""),"145493;INF179KB11W3;-;HDFC FMP 1246D NOVEMBER 2018 (1) - Quarterly IDCW Option - Direct Plan;10;18-Apr-2022")</f>
        <v>145493;INF179KB11W3;-;HDFC FMP 1246D NOVEMBER 2018 (1) - Quarterly IDCW Option - Direct Plan;10;18-Apr-2022</v>
      </c>
      <c r="B11193" s="1"/>
    </row>
    <row r="11194">
      <c r="A11194" s="1" t="str">
        <f>IFERROR(__xludf.DUMMYFUNCTION("""COMPUTED_VALUE"""),"145462;INF179KB16V4;-;HDFC FMP 1260D October 2018 (1) - Growth Option;13.0583;12-Apr-2022")</f>
        <v>145462;INF179KB16V4;-;HDFC FMP 1260D October 2018 (1) - Growth Option;13.0583;12-Apr-2022</v>
      </c>
      <c r="B11194" s="1"/>
    </row>
    <row r="11195">
      <c r="A11195" s="1" t="str">
        <f>IFERROR(__xludf.DUMMYFUNCTION("""COMPUTED_VALUE"""),"145461;INF179KB13V1;-;HDFC FMP 1260D October 2018 (1) - Growth Option - Direct Plan;13.1714;12-Apr-2022")</f>
        <v>145461;INF179KB13V1;-;HDFC FMP 1260D October 2018 (1) - Growth Option - Direct Plan;13.1714;12-Apr-2022</v>
      </c>
      <c r="B11195" s="1"/>
    </row>
    <row r="11196">
      <c r="A11196" s="1" t="str">
        <f>IFERROR(__xludf.DUMMYFUNCTION("""COMPUTED_VALUE"""),"145458;INF179KB15V6;-;HDFC FMP 1260D October 2018 (1) - Quarterly IDCW Option - Direct Plan;10;12-Apr-2022")</f>
        <v>145458;INF179KB15V6;-;HDFC FMP 1260D October 2018 (1) - Quarterly IDCW Option - Direct Plan;10;12-Apr-2022</v>
      </c>
      <c r="B11196" s="1"/>
    </row>
    <row r="11197">
      <c r="A11197" s="1" t="str">
        <f>IFERROR(__xludf.DUMMYFUNCTION("""COMPUTED_VALUE"""),"145395;INF179KB10V7;-;HDFC FMP 1261D October 2018 (1) - Growth Option;12.9691;07-Apr-2022")</f>
        <v>145395;INF179KB10V7;-;HDFC FMP 1261D October 2018 (1) - Growth Option;12.9691;07-Apr-2022</v>
      </c>
      <c r="B11197" s="1"/>
    </row>
    <row r="11198">
      <c r="A11198" s="1" t="str">
        <f>IFERROR(__xludf.DUMMYFUNCTION("""COMPUTED_VALUE"""),"145394;INF179KB17U4;-;HDFC FMP 1261D October 2018 (1) - Growth Option - Direct Plan;13.0815;07-Apr-2022")</f>
        <v>145394;INF179KB17U4;-;HDFC FMP 1261D October 2018 (1) - Growth Option - Direct Plan;13.0815;07-Apr-2022</v>
      </c>
      <c r="B11198" s="1"/>
    </row>
    <row r="11199">
      <c r="A11199" s="1" t="str">
        <f>IFERROR(__xludf.DUMMYFUNCTION("""COMPUTED_VALUE"""),"145388;INF179KB18U2;-;HDFC FMP 1261D October 2018 (1) - IDCW Option - Direct Plan;10;07-Apr-2022")</f>
        <v>145388;INF179KB18U2;-;HDFC FMP 1261D October 2018 (1) - IDCW Option - Direct Plan;10;07-Apr-2022</v>
      </c>
      <c r="B11199" s="1"/>
    </row>
    <row r="11200">
      <c r="A11200" s="1" t="str">
        <f>IFERROR(__xludf.DUMMYFUNCTION("""COMPUTED_VALUE"""),"145391;INF179KB19U0;-;HDFC FMP 1261D October 2018 (1) - Quarterly IDCW Option - Direct Plan;10;07-Apr-2022")</f>
        <v>145391;INF179KB19U0;-;HDFC FMP 1261D October 2018 (1) - Quarterly IDCW Option - Direct Plan;10;07-Apr-2022</v>
      </c>
      <c r="B11200" s="1"/>
    </row>
    <row r="11201">
      <c r="A11201" s="1" t="str">
        <f>IFERROR(__xludf.DUMMYFUNCTION("""COMPUTED_VALUE"""),"145429;INF179KB14U1;-;HDFC FMP 1265D October 2018 (1) - Growth Option;13.0684;18-Apr-2022")</f>
        <v>145429;INF179KB14U1;-;HDFC FMP 1265D October 2018 (1) - Growth Option;13.0684;18-Apr-2022</v>
      </c>
      <c r="B11201" s="1"/>
    </row>
    <row r="11202">
      <c r="A11202" s="1" t="str">
        <f>IFERROR(__xludf.DUMMYFUNCTION("""COMPUTED_VALUE"""),"145426;INF179KB11U7;-;HDFC FMP 1265D October 2018 (1) - Growth Option - Direct Plan;13.2028;18-Apr-2022")</f>
        <v>145426;INF179KB11U7;-;HDFC FMP 1265D October 2018 (1) - Growth Option - Direct Plan;13.2028;18-Apr-2022</v>
      </c>
      <c r="B11202" s="1"/>
    </row>
    <row r="11203">
      <c r="A11203" s="1" t="str">
        <f>IFERROR(__xludf.DUMMYFUNCTION("""COMPUTED_VALUE"""),"145428;INF179KB15U8;-;HDFC FMP 1265D October 2018 (1) - IDCW Option;10;18-Apr-2022")</f>
        <v>145428;INF179KB15U8;-;HDFC FMP 1265D October 2018 (1) - IDCW Option;10;18-Apr-2022</v>
      </c>
      <c r="B11203" s="1"/>
    </row>
    <row r="11204">
      <c r="A11204" s="1" t="str">
        <f>IFERROR(__xludf.DUMMYFUNCTION("""COMPUTED_VALUE"""),"145425;INF179KB12U5;-;HDFC FMP 1265D October 2018 (1) - IDCW Option - Direct Plan;10;18-Apr-2022")</f>
        <v>145425;INF179KB12U5;-;HDFC FMP 1265D October 2018 (1) - IDCW Option - Direct Plan;10;18-Apr-2022</v>
      </c>
      <c r="B11204" s="1"/>
    </row>
    <row r="11205">
      <c r="A11205" s="1" t="str">
        <f>IFERROR(__xludf.DUMMYFUNCTION("""COMPUTED_VALUE"""),"145430;INF179KB16U6;-;HDFC FMP 1265D October 2018 (1) - Quarterly IDCW Option;10;18-Apr-2022")</f>
        <v>145430;INF179KB16U6;-;HDFC FMP 1265D October 2018 (1) - Quarterly IDCW Option;10;18-Apr-2022</v>
      </c>
      <c r="B11205" s="1"/>
    </row>
    <row r="11206">
      <c r="A11206" s="1" t="str">
        <f>IFERROR(__xludf.DUMMYFUNCTION("""COMPUTED_VALUE"""),"145427;INF179KB13U3;-;HDFC FMP 1265D October 2018 (1) - Quarterly IDCW Option - Direct Plan;10;18-Apr-2022")</f>
        <v>145427;INF179KB13U3;-;HDFC FMP 1265D October 2018 (1) - Quarterly IDCW Option - Direct Plan;10;18-Apr-2022</v>
      </c>
      <c r="B11206" s="1"/>
    </row>
    <row r="11207">
      <c r="A11207" s="1" t="str">
        <f>IFERROR(__xludf.DUMMYFUNCTION("""COMPUTED_VALUE"""),"151564;-;-;HDFC FMP 1269D March 2023 - Growth Option;10.2654;25-Aug-2023")</f>
        <v>151564;-;-;HDFC FMP 1269D March 2023 - Growth Option;10.2654;25-Aug-2023</v>
      </c>
      <c r="B11207" s="1"/>
    </row>
    <row r="11208">
      <c r="A11208" s="1" t="str">
        <f>IFERROR(__xludf.DUMMYFUNCTION("""COMPUTED_VALUE"""),"151565;-;-;HDFC FMP 1269D March 2023 - Growth Option - Direct Plan;10.2753;25-Aug-2023")</f>
        <v>151565;-;-;HDFC FMP 1269D March 2023 - Growth Option - Direct Plan;10.2753;25-Aug-2023</v>
      </c>
      <c r="B11208" s="1"/>
    </row>
    <row r="11209">
      <c r="A11209" s="1" t="str">
        <f>IFERROR(__xludf.DUMMYFUNCTION("""COMPUTED_VALUE"""),"151566;-;-;HDFC FMP 1269D March 2023 - IDCW Option;10.2654;25-Aug-2023")</f>
        <v>151566;-;-;HDFC FMP 1269D March 2023 - IDCW Option;10.2654;25-Aug-2023</v>
      </c>
      <c r="B11209" s="1"/>
    </row>
    <row r="11210">
      <c r="A11210" s="1" t="str">
        <f>IFERROR(__xludf.DUMMYFUNCTION("""COMPUTED_VALUE"""),"151567;-;-;HDFC FMP 1269D March 2023 - IDCW Option - Direct Plan;10.2753;25-Aug-2023")</f>
        <v>151567;-;-;HDFC FMP 1269D March 2023 - IDCW Option - Direct Plan;10.2753;25-Aug-2023</v>
      </c>
      <c r="B11210" s="1"/>
    </row>
    <row r="11211">
      <c r="A11211" s="1" t="str">
        <f>IFERROR(__xludf.DUMMYFUNCTION("""COMPUTED_VALUE"""),"151568;-;-;HDFC FMP 1269D March 2023 - Quarterly IDCW Option;10.0757;25-Aug-2023")</f>
        <v>151568;-;-;HDFC FMP 1269D March 2023 - Quarterly IDCW Option;10.0757;25-Aug-2023</v>
      </c>
      <c r="B11211" s="1"/>
    </row>
    <row r="11212">
      <c r="A11212" s="1" t="str">
        <f>IFERROR(__xludf.DUMMYFUNCTION("""COMPUTED_VALUE"""),"151569;-;-;HDFC FMP 1269D March 2023 - Quarterly IDCW Option - Direct Plan;10.0803;25-Aug-2023")</f>
        <v>151569;-;-;HDFC FMP 1269D March 2023 - Quarterly IDCW Option - Direct Plan;10.0803;25-Aug-2023</v>
      </c>
      <c r="B11212" s="1"/>
    </row>
    <row r="11213">
      <c r="A11213" s="1" t="str">
        <f>IFERROR(__xludf.DUMMYFUNCTION("""COMPUTED_VALUE"""),"145301;INF179KB18T4;-;HDFC FMP 1274D October 2018 (1) - Growth Option;13.105;12-Apr-2022")</f>
        <v>145301;INF179KB18T4;-;HDFC FMP 1274D October 2018 (1) - Growth Option;13.105;12-Apr-2022</v>
      </c>
      <c r="B11213" s="1"/>
    </row>
    <row r="11214">
      <c r="A11214" s="1" t="str">
        <f>IFERROR(__xludf.DUMMYFUNCTION("""COMPUTED_VALUE"""),"145298;INF179KB15T0;-;HDFC FMP 1274D October 2018 (1) - Growth Option - Direct Plan;13.2233;12-Apr-2022")</f>
        <v>145298;INF179KB15T0;-;HDFC FMP 1274D October 2018 (1) - Growth Option - Direct Plan;13.2233;12-Apr-2022</v>
      </c>
      <c r="B11214" s="1"/>
    </row>
    <row r="11215">
      <c r="A11215" s="1" t="str">
        <f>IFERROR(__xludf.DUMMYFUNCTION("""COMPUTED_VALUE"""),"145300;INF179KB19T2;-;HDFC FMP 1274D October 2018 (1) - IDCW Option;10;12-Apr-2022")</f>
        <v>145300;INF179KB19T2;-;HDFC FMP 1274D October 2018 (1) - IDCW Option;10;12-Apr-2022</v>
      </c>
      <c r="B11215" s="1"/>
    </row>
    <row r="11216">
      <c r="A11216" s="1" t="str">
        <f>IFERROR(__xludf.DUMMYFUNCTION("""COMPUTED_VALUE"""),"145297;INF179KB16T8;-;HDFC FMP 1274D October 2018 (1) - IDCW Option - Direct Plan;10;12-Apr-2022")</f>
        <v>145297;INF179KB16T8;-;HDFC FMP 1274D October 2018 (1) - IDCW Option - Direct Plan;10;12-Apr-2022</v>
      </c>
      <c r="B11216" s="1"/>
    </row>
    <row r="11217">
      <c r="A11217" s="1" t="str">
        <f>IFERROR(__xludf.DUMMYFUNCTION("""COMPUTED_VALUE"""),"145302;INF179KB10U9;-;HDFC FMP 1274D October 2018 (1) - Quarterly IDCW Option;10;12-Apr-2022")</f>
        <v>145302;INF179KB10U9;-;HDFC FMP 1274D October 2018 (1) - Quarterly IDCW Option;10;12-Apr-2022</v>
      </c>
      <c r="B11217" s="1"/>
    </row>
    <row r="11218">
      <c r="A11218" s="1" t="str">
        <f>IFERROR(__xludf.DUMMYFUNCTION("""COMPUTED_VALUE"""),"145299;INF179KB17T6;-;HDFC FMP 1274D October 2018 (1) - Quarterly IDCW Option - Direct Plan;10;12-Apr-2022")</f>
        <v>145299;INF179KB17T6;-;HDFC FMP 1274D October 2018 (1) - Quarterly IDCW Option - Direct Plan;10;12-Apr-2022</v>
      </c>
      <c r="B11218" s="1"/>
    </row>
    <row r="11219">
      <c r="A11219" s="1" t="str">
        <f>IFERROR(__xludf.DUMMYFUNCTION("""COMPUTED_VALUE"""),"145274;INF179KB16S0;-;HDFC FMP 1280D October 2018 (1) - Growth Option;13.1298;12-Apr-2022")</f>
        <v>145274;INF179KB16S0;-;HDFC FMP 1280D October 2018 (1) - Growth Option;13.1298;12-Apr-2022</v>
      </c>
      <c r="B11219" s="1"/>
    </row>
    <row r="11220">
      <c r="A11220" s="1" t="str">
        <f>IFERROR(__xludf.DUMMYFUNCTION("""COMPUTED_VALUE"""),"145272;INF179KB13S7;-;HDFC FMP 1280D October 2018 (1) - Growth Option - Direct Plan;13.2549;12-Apr-2022")</f>
        <v>145272;INF179KB13S7;-;HDFC FMP 1280D October 2018 (1) - Growth Option - Direct Plan;13.2549;12-Apr-2022</v>
      </c>
      <c r="B11220" s="1"/>
    </row>
    <row r="11221">
      <c r="A11221" s="1" t="str">
        <f>IFERROR(__xludf.DUMMYFUNCTION("""COMPUTED_VALUE"""),"145275;INF179KB18S6;-;HDFC FMP 1280D October 2018 (1) - Quarterly IDCW Option;10;12-Apr-2022")</f>
        <v>145275;INF179KB18S6;-;HDFC FMP 1280D October 2018 (1) - Quarterly IDCW Option;10;12-Apr-2022</v>
      </c>
      <c r="B11221" s="1"/>
    </row>
    <row r="11222">
      <c r="A11222" s="1" t="str">
        <f>IFERROR(__xludf.DUMMYFUNCTION("""COMPUTED_VALUE"""),"145286;INF179KB12T7;-;HDFC FMP 1344D October 2018 (1) - Growth Option;13.3581;28-Jun-2022")</f>
        <v>145286;INF179KB12T7;-;HDFC FMP 1344D October 2018 (1) - Growth Option;13.3581;28-Jun-2022</v>
      </c>
      <c r="B11222" s="1"/>
    </row>
    <row r="11223">
      <c r="A11223" s="1" t="str">
        <f>IFERROR(__xludf.DUMMYFUNCTION("""COMPUTED_VALUE"""),"145285;INF179KB19S4;-;HDFC FMP 1344D October 2018 (1) - Growth Option - Direct Plan;13.5064;28-Jun-2022")</f>
        <v>145285;INF179KB19S4;-;HDFC FMP 1344D October 2018 (1) - Growth Option - Direct Plan;13.5064;28-Jun-2022</v>
      </c>
      <c r="B11223" s="1"/>
    </row>
    <row r="11224">
      <c r="A11224" s="1" t="str">
        <f>IFERROR(__xludf.DUMMYFUNCTION("""COMPUTED_VALUE"""),"145283;INF179KB13T5;-;HDFC FMP 1344D October 2018 (1) - IDCW Option;10;28-Jun-2022")</f>
        <v>145283;INF179KB13T5;-;HDFC FMP 1344D October 2018 (1) - IDCW Option;10;28-Jun-2022</v>
      </c>
      <c r="B11224" s="1"/>
    </row>
    <row r="11225">
      <c r="A11225" s="1" t="str">
        <f>IFERROR(__xludf.DUMMYFUNCTION("""COMPUTED_VALUE"""),"145281;INF179KB10T1;-;HDFC FMP 1344D October 2018 (1) - IDCW Option - Direct Plan;10;28-Jun-2022")</f>
        <v>145281;INF179KB10T1;-;HDFC FMP 1344D October 2018 (1) - IDCW Option - Direct Plan;10;28-Jun-2022</v>
      </c>
      <c r="B11225" s="1"/>
    </row>
    <row r="11226">
      <c r="A11226" s="1" t="str">
        <f>IFERROR(__xludf.DUMMYFUNCTION("""COMPUTED_VALUE"""),"145284;INF179KB14T3;-;HDFC FMP 1344D October 2018 (1) - Quarterly IDCW Option;10;28-Jun-2022")</f>
        <v>145284;INF179KB14T3;-;HDFC FMP 1344D October 2018 (1) - Quarterly IDCW Option;10;28-Jun-2022</v>
      </c>
      <c r="B11226" s="1"/>
    </row>
    <row r="11227">
      <c r="A11227" s="1" t="str">
        <f>IFERROR(__xludf.DUMMYFUNCTION("""COMPUTED_VALUE"""),"145282;INF179KB11T9;-;HDFC FMP 1344D October 2018 (1) - Quarterly IDCW Option - Direct Plan;10;28-Jun-2022")</f>
        <v>145282;INF179KB11T9;-;HDFC FMP 1344D October 2018 (1) - Quarterly IDCW Option - Direct Plan;10;28-Jun-2022</v>
      </c>
      <c r="B11227" s="1"/>
    </row>
    <row r="11228">
      <c r="A11228" s="1" t="str">
        <f>IFERROR(__xludf.DUMMYFUNCTION("""COMPUTED_VALUE"""),"150651;-;-;HDFC FMP 1359D September - Growth Option;10.6575;25-Aug-2023")</f>
        <v>150651;-;-;HDFC FMP 1359D September - Growth Option;10.6575;25-Aug-2023</v>
      </c>
      <c r="B11228" s="1"/>
    </row>
    <row r="11229">
      <c r="A11229" s="1" t="str">
        <f>IFERROR(__xludf.DUMMYFUNCTION("""COMPUTED_VALUE"""),"150655;-;-;HDFC FMP 1359D September - Growth Option - Direct Plan;10.6816;25-Aug-2023")</f>
        <v>150655;-;-;HDFC FMP 1359D September - Growth Option - Direct Plan;10.6816;25-Aug-2023</v>
      </c>
      <c r="B11229" s="1"/>
    </row>
    <row r="11230">
      <c r="A11230" s="1" t="str">
        <f>IFERROR(__xludf.DUMMYFUNCTION("""COMPUTED_VALUE"""),"150652;-;-;HDFC FMP 1359D September - IDCW Option;10.6575;25-Aug-2023")</f>
        <v>150652;-;-;HDFC FMP 1359D September - IDCW Option;10.6575;25-Aug-2023</v>
      </c>
      <c r="B11230" s="1"/>
    </row>
    <row r="11231">
      <c r="A11231" s="1" t="str">
        <f>IFERROR(__xludf.DUMMYFUNCTION("""COMPUTED_VALUE"""),"150653;-;-;HDFC FMP 1359D September - IDCW Option - Direct Plan;10.6816;25-Aug-2023")</f>
        <v>150653;-;-;HDFC FMP 1359D September - IDCW Option - Direct Plan;10.6816;25-Aug-2023</v>
      </c>
      <c r="B11231" s="1"/>
    </row>
    <row r="11232">
      <c r="A11232" s="1" t="str">
        <f>IFERROR(__xludf.DUMMYFUNCTION("""COMPUTED_VALUE"""),"150656;-;-;HDFC FMP 1359D September - Quarterly IDCW Option;10.1168;25-Aug-2023")</f>
        <v>150656;-;-;HDFC FMP 1359D September - Quarterly IDCW Option;10.1168;25-Aug-2023</v>
      </c>
      <c r="B11232" s="1"/>
    </row>
    <row r="11233">
      <c r="A11233" s="1" t="str">
        <f>IFERROR(__xludf.DUMMYFUNCTION("""COMPUTED_VALUE"""),"150654;-;-;HDFC FMP 1359D September - Quarterly IDCW Option - Direct Plan;10.1216;25-Aug-2023")</f>
        <v>150654;-;-;HDFC FMP 1359D September - Quarterly IDCW Option - Direct Plan;10.1216;25-Aug-2023</v>
      </c>
      <c r="B11233" s="1"/>
    </row>
    <row r="11234">
      <c r="A11234" s="1" t="str">
        <f>IFERROR(__xludf.DUMMYFUNCTION("""COMPUTED_VALUE"""),"145107;INF179KB10S3;-;HDFC FMP 1372D September 2018 (1) - Growth Option;13.3497;30-Jun-2022")</f>
        <v>145107;INF179KB10S3;-;HDFC FMP 1372D September 2018 (1) - Growth Option;13.3497;30-Jun-2022</v>
      </c>
      <c r="B11234" s="1"/>
    </row>
    <row r="11235">
      <c r="A11235" s="1" t="str">
        <f>IFERROR(__xludf.DUMMYFUNCTION("""COMPUTED_VALUE"""),"145104;INF179KB17R0;-;HDFC FMP 1372D September 2018 (1) - Growth Option - Direct Plan;13.4575;30-Jun-2022")</f>
        <v>145104;INF179KB17R0;-;HDFC FMP 1372D September 2018 (1) - Growth Option - Direct Plan;13.4575;30-Jun-2022</v>
      </c>
      <c r="B11235" s="1"/>
    </row>
    <row r="11236">
      <c r="A11236" s="1" t="str">
        <f>IFERROR(__xludf.DUMMYFUNCTION("""COMPUTED_VALUE"""),"145106;INF179KB11S1;-;HDFC FMP 1372D September 2018 (1) - IDCW Option;10;30-Jun-2022")</f>
        <v>145106;INF179KB11S1;-;HDFC FMP 1372D September 2018 (1) - IDCW Option;10;30-Jun-2022</v>
      </c>
      <c r="B11236" s="1"/>
    </row>
    <row r="11237">
      <c r="A11237" s="1" t="str">
        <f>IFERROR(__xludf.DUMMYFUNCTION("""COMPUTED_VALUE"""),"145103;INF179KB18R8;-;HDFC FMP 1372D September 2018 (1) - IDCW Option - Direct Plan;10;30-Jun-2022")</f>
        <v>145103;INF179KB18R8;-;HDFC FMP 1372D September 2018 (1) - IDCW Option - Direct Plan;10;30-Jun-2022</v>
      </c>
      <c r="B11237" s="1"/>
    </row>
    <row r="11238">
      <c r="A11238" s="1" t="str">
        <f>IFERROR(__xludf.DUMMYFUNCTION("""COMPUTED_VALUE"""),"145105;INF179KB19R6;-;HDFC FMP 1372D September 2018 (1) - Quarterly IDCW Option - Direct Plan;10;30-Jun-2022")</f>
        <v>145105;INF179KB19R6;-;HDFC FMP 1372D September 2018 (1) - Quarterly IDCW Option - Direct Plan;10;30-Jun-2022</v>
      </c>
      <c r="B11238" s="1"/>
    </row>
    <row r="11239">
      <c r="A11239" s="1" t="str">
        <f>IFERROR(__xludf.DUMMYFUNCTION("""COMPUTED_VALUE"""),"144979;INF179KB12Q3;-;HDFC FMP 1381D September 2018 (1) - Growth Option;13.4359;30-Jun-2022")</f>
        <v>144979;INF179KB12Q3;-;HDFC FMP 1381D September 2018 (1) - Growth Option;13.4359;30-Jun-2022</v>
      </c>
      <c r="B11239" s="1"/>
    </row>
    <row r="11240">
      <c r="A11240" s="1" t="str">
        <f>IFERROR(__xludf.DUMMYFUNCTION("""COMPUTED_VALUE"""),"144981;INF179KB19P0;-;HDFC FMP 1381D September 2018 (1) - Growth Option - Direct Plan;13.5632;30-Jun-2022")</f>
        <v>144981;INF179KB19P0;-;HDFC FMP 1381D September 2018 (1) - Growth Option - Direct Plan;13.5632;30-Jun-2022</v>
      </c>
      <c r="B11240" s="1"/>
    </row>
    <row r="11241">
      <c r="A11241" s="1" t="str">
        <f>IFERROR(__xludf.DUMMYFUNCTION("""COMPUTED_VALUE"""),"144978;INF179KB13Q1;-;HDFC FMP 1381D September 2018 (1) - IDCW Option;10;30-Jun-2022")</f>
        <v>144978;INF179KB13Q1;-;HDFC FMP 1381D September 2018 (1) - IDCW Option;10;30-Jun-2022</v>
      </c>
      <c r="B11241" s="1"/>
    </row>
    <row r="11242">
      <c r="A11242" s="1" t="str">
        <f>IFERROR(__xludf.DUMMYFUNCTION("""COMPUTED_VALUE"""),"144976;INF179KB10Q7;-;HDFC FMP 1381D September 2018 (1) - IDCW Option - Direct Plan;10;30-Jun-2022")</f>
        <v>144976;INF179KB10Q7;-;HDFC FMP 1381D September 2018 (1) - IDCW Option - Direct Plan;10;30-Jun-2022</v>
      </c>
      <c r="B11242" s="1"/>
    </row>
    <row r="11243">
      <c r="A11243" s="1" t="str">
        <f>IFERROR(__xludf.DUMMYFUNCTION("""COMPUTED_VALUE"""),"144980;INF179KB14Q9;-;HDFC FMP 1381D September 2018 (1) - Quarterly IDCW Option;10;30-Jun-2022")</f>
        <v>144980;INF179KB14Q9;-;HDFC FMP 1381D September 2018 (1) - Quarterly IDCW Option;10;30-Jun-2022</v>
      </c>
      <c r="B11243" s="1"/>
    </row>
    <row r="11244">
      <c r="A11244" s="1" t="str">
        <f>IFERROR(__xludf.DUMMYFUNCTION("""COMPUTED_VALUE"""),"144977;INF179KB11Q5;-;HDFC FMP 1381D September 2018 (1) - Quarterly IDCW Option - Direct Plan;10;30-Jun-2022")</f>
        <v>144977;INF179KB11Q5;-;HDFC FMP 1381D September 2018 (1) - Quarterly IDCW Option - Direct Plan;10;30-Jun-2022</v>
      </c>
      <c r="B11244" s="1"/>
    </row>
    <row r="11245">
      <c r="A11245" s="1" t="str">
        <f>IFERROR(__xludf.DUMMYFUNCTION("""COMPUTED_VALUE"""),"150546;-;-;HDFC FMP 1406D August 2022 - Growth Option;10.6154;25-Aug-2023")</f>
        <v>150546;-;-;HDFC FMP 1406D August 2022 - Growth Option;10.6154;25-Aug-2023</v>
      </c>
      <c r="B11245" s="1"/>
    </row>
    <row r="11246">
      <c r="A11246" s="1" t="str">
        <f>IFERROR(__xludf.DUMMYFUNCTION("""COMPUTED_VALUE"""),"150547;-;-;HDFC FMP 1406D August 2022 - Growth Option - Direct Plan;10.6446;25-Aug-2023")</f>
        <v>150547;-;-;HDFC FMP 1406D August 2022 - Growth Option - Direct Plan;10.6446;25-Aug-2023</v>
      </c>
      <c r="B11246" s="1"/>
    </row>
    <row r="11247">
      <c r="A11247" s="1" t="str">
        <f>IFERROR(__xludf.DUMMYFUNCTION("""COMPUTED_VALUE"""),"150550;-;-;HDFC FMP 1406D August 2022 - IDCW Option;10.6154;25-Aug-2023")</f>
        <v>150550;-;-;HDFC FMP 1406D August 2022 - IDCW Option;10.6154;25-Aug-2023</v>
      </c>
      <c r="B11247" s="1"/>
    </row>
    <row r="11248">
      <c r="A11248" s="1" t="str">
        <f>IFERROR(__xludf.DUMMYFUNCTION("""COMPUTED_VALUE"""),"150548;-;-;HDFC FMP 1406D August 2022 - IDCW Option - Direct Plan;10.6446;25-Aug-2023")</f>
        <v>150548;-;-;HDFC FMP 1406D August 2022 - IDCW Option - Direct Plan;10.6446;25-Aug-2023</v>
      </c>
      <c r="B11248" s="1"/>
    </row>
    <row r="11249">
      <c r="A11249" s="1" t="str">
        <f>IFERROR(__xludf.DUMMYFUNCTION("""COMPUTED_VALUE"""),"150551;-;-;HDFC FMP 1406D August 2022 - Quarterly IDCW Option;10.0896;25-Aug-2023")</f>
        <v>150551;-;-;HDFC FMP 1406D August 2022 - Quarterly IDCW Option;10.0896;25-Aug-2023</v>
      </c>
      <c r="B11249" s="1"/>
    </row>
    <row r="11250">
      <c r="A11250" s="1" t="str">
        <f>IFERROR(__xludf.DUMMYFUNCTION("""COMPUTED_VALUE"""),"150549;-;-;HDFC FMP 1406D August 2022 - Quarterly IDCW Option - Direct Plan;10.0948;25-Aug-2023")</f>
        <v>150549;-;-;HDFC FMP 1406D August 2022 - Quarterly IDCW Option - Direct Plan;10.0948;25-Aug-2023</v>
      </c>
      <c r="B11250" s="1"/>
    </row>
    <row r="11251">
      <c r="A11251" s="1" t="str">
        <f>IFERROR(__xludf.DUMMYFUNCTION("""COMPUTED_VALUE"""),"143252;INF179KB11E1;-;HDFC FMP 1434D May 2018 (1) - Growth Option;13.386;11-Apr-2022")</f>
        <v>143252;INF179KB11E1;-;HDFC FMP 1434D May 2018 (1) - Growth Option;13.386;11-Apr-2022</v>
      </c>
      <c r="B11251" s="1"/>
    </row>
    <row r="11252">
      <c r="A11252" s="1" t="str">
        <f>IFERROR(__xludf.DUMMYFUNCTION("""COMPUTED_VALUE"""),"143253;INF179KB18D8;-;HDFC FMP 1434D May 2018 (1) - Growth Option - Direct Plan;13.5183;11-Apr-2022")</f>
        <v>143253;INF179KB18D8;-;HDFC FMP 1434D May 2018 (1) - Growth Option - Direct Plan;13.5183;11-Apr-2022</v>
      </c>
      <c r="B11252" s="1"/>
    </row>
    <row r="11253">
      <c r="A11253" s="1" t="str">
        <f>IFERROR(__xludf.DUMMYFUNCTION("""COMPUTED_VALUE"""),"143251;INF179KB12E9;-;HDFC FMP 1434D May 2018 (1) - IDCW Option;10;11-Apr-2022")</f>
        <v>143251;INF179KB12E9;-;HDFC FMP 1434D May 2018 (1) - IDCW Option;10;11-Apr-2022</v>
      </c>
      <c r="B11253" s="1"/>
    </row>
    <row r="11254">
      <c r="A11254" s="1" t="str">
        <f>IFERROR(__xludf.DUMMYFUNCTION("""COMPUTED_VALUE"""),"143248;INF179KB19D6;-;HDFC FMP 1434D May 2018 (1) - IDCW Option - Direct Plan;10;11-Apr-2022")</f>
        <v>143248;INF179KB19D6;-;HDFC FMP 1434D May 2018 (1) - IDCW Option - Direct Plan;10;11-Apr-2022</v>
      </c>
      <c r="B11254" s="1"/>
    </row>
    <row r="11255">
      <c r="A11255" s="1" t="str">
        <f>IFERROR(__xludf.DUMMYFUNCTION("""COMPUTED_VALUE"""),"143250;INF179KB13E7;-;HDFC FMP 1434D May 2018 (1) - Quarterly IDCW Option;10;11-Apr-2022")</f>
        <v>143250;INF179KB13E7;-;HDFC FMP 1434D May 2018 (1) - Quarterly IDCW Option;10;11-Apr-2022</v>
      </c>
      <c r="B11255" s="1"/>
    </row>
    <row r="11256">
      <c r="A11256" s="1" t="str">
        <f>IFERROR(__xludf.DUMMYFUNCTION("""COMPUTED_VALUE"""),"143249;INF179KB10E3;-;HDFC FMP 1434D May 2018 (1) - Quarterly IDCW Option - Direct Plan;10;11-Apr-2022")</f>
        <v>143249;INF179KB10E3;-;HDFC FMP 1434D May 2018 (1) - Quarterly IDCW Option - Direct Plan;10;11-Apr-2022</v>
      </c>
      <c r="B11256" s="1"/>
    </row>
    <row r="11257">
      <c r="A11257" s="1" t="str">
        <f>IFERROR(__xludf.DUMMYFUNCTION("""COMPUTED_VALUE"""),"144798;INF179KB12O8;-;HDFC FMP 1487D August 2018 (1) - Growth Option;13.9793;29-Sep-2022")</f>
        <v>144798;INF179KB12O8;-;HDFC FMP 1487D August 2018 (1) - Growth Option;13.9793;29-Sep-2022</v>
      </c>
      <c r="B11257" s="1"/>
    </row>
    <row r="11258">
      <c r="A11258" s="1" t="str">
        <f>IFERROR(__xludf.DUMMYFUNCTION("""COMPUTED_VALUE"""),"144800;INF179KB19N5;-;HDFC FMP 1487D August 2018 (1) - Growth Option - Direct Plan;14.1762;29-Sep-2022")</f>
        <v>144800;INF179KB19N5;-;HDFC FMP 1487D August 2018 (1) - Growth Option - Direct Plan;14.1762;29-Sep-2022</v>
      </c>
      <c r="B11258" s="1"/>
    </row>
    <row r="11259">
      <c r="A11259" s="1" t="str">
        <f>IFERROR(__xludf.DUMMYFUNCTION("""COMPUTED_VALUE"""),"144797;INF179KB13O6;-;HDFC FMP 1487D August 2018 (1) - IDCW Option;10;29-Sep-2022")</f>
        <v>144797;INF179KB13O6;-;HDFC FMP 1487D August 2018 (1) - IDCW Option;10;29-Sep-2022</v>
      </c>
      <c r="B11259" s="1"/>
    </row>
    <row r="11260">
      <c r="A11260" s="1" t="str">
        <f>IFERROR(__xludf.DUMMYFUNCTION("""COMPUTED_VALUE"""),"144796;INF179KB10O2;-;HDFC FMP 1487D August 2018 (1) - IDCW Option - Direct Plan;10;29-Sep-2022")</f>
        <v>144796;INF179KB10O2;-;HDFC FMP 1487D August 2018 (1) - IDCW Option - Direct Plan;10;29-Sep-2022</v>
      </c>
      <c r="B11260" s="1"/>
    </row>
    <row r="11261">
      <c r="A11261" s="1" t="str">
        <f>IFERROR(__xludf.DUMMYFUNCTION("""COMPUTED_VALUE"""),"144801;INF179KB11O0;-;HDFC FMP 1487D August 2018 (1) - Quarterly IDCW Option - Direct Plan;10;29-Sep-2022")</f>
        <v>144801;INF179KB11O0;-;HDFC FMP 1487D August 2018 (1) - Quarterly IDCW Option - Direct Plan;10;29-Sep-2022</v>
      </c>
      <c r="B11261" s="1"/>
    </row>
    <row r="11262">
      <c r="A11262" s="1" t="str">
        <f>IFERROR(__xludf.DUMMYFUNCTION("""COMPUTED_VALUE"""),"123401;INF179KB15P8;-;HDFC FMP 1846D August 2013 (1) - Growth Option;21.3673;29-Sep-2022")</f>
        <v>123401;INF179KB15P8;-;HDFC FMP 1846D August 2013 (1) - Growth Option;21.3673;29-Sep-2022</v>
      </c>
      <c r="B11262" s="1"/>
    </row>
    <row r="11263">
      <c r="A11263" s="1" t="str">
        <f>IFERROR(__xludf.DUMMYFUNCTION("""COMPUTED_VALUE"""),"123402;INF179KB11P7;-;HDFC FMP 1846D August 2013 (1) - Growth Option - Direct Plan;21.9648;29-Sep-2022")</f>
        <v>123402;INF179KB11P7;-;HDFC FMP 1846D August 2013 (1) - Growth Option - Direct Plan;21.9648;29-Sep-2022</v>
      </c>
      <c r="B11263" s="1"/>
    </row>
    <row r="11264">
      <c r="A11264" s="1" t="str">
        <f>IFERROR(__xludf.DUMMYFUNCTION("""COMPUTED_VALUE"""),"123406;INF179KB16P6;-;HDFC FMP 1846D August 2013 (1) - IDCW Option;10;29-Sep-2022")</f>
        <v>123406;INF179KB16P6;-;HDFC FMP 1846D August 2013 (1) - IDCW Option;10;29-Sep-2022</v>
      </c>
      <c r="B11264" s="1"/>
    </row>
    <row r="11265">
      <c r="A11265" s="1" t="str">
        <f>IFERROR(__xludf.DUMMYFUNCTION("""COMPUTED_VALUE"""),"123403;INF179KB12P5;-;HDFC FMP 1846D August 2013 (1) - IDCW Option - Direct Plan;10;29-Sep-2022")</f>
        <v>123403;INF179KB12P5;-;HDFC FMP 1846D August 2013 (1) - IDCW Option - Direct Plan;10;29-Sep-2022</v>
      </c>
      <c r="B11265" s="1"/>
    </row>
    <row r="11266">
      <c r="A11266" s="1" t="str">
        <f>IFERROR(__xludf.DUMMYFUNCTION("""COMPUTED_VALUE"""),"149922;INF179KC1CF0;-;HDFC FMP 1861D March 2022 - Growth Option;10.692;25-Aug-2023")</f>
        <v>149922;INF179KC1CF0;-;HDFC FMP 1861D March 2022 - Growth Option;10.692;25-Aug-2023</v>
      </c>
      <c r="B11266" s="1"/>
    </row>
    <row r="11267">
      <c r="A11267" s="1" t="str">
        <f>IFERROR(__xludf.DUMMYFUNCTION("""COMPUTED_VALUE"""),"149924;INF179KC1CC7;-;HDFC FMP 1861D March 2022 - Growth Option - Direct Plan;10.7189;25-Aug-2023")</f>
        <v>149924;INF179KC1CC7;-;HDFC FMP 1861D March 2022 - Growth Option - Direct Plan;10.7189;25-Aug-2023</v>
      </c>
      <c r="B11267" s="1"/>
    </row>
    <row r="11268">
      <c r="A11268" s="1" t="str">
        <f>IFERROR(__xludf.DUMMYFUNCTION("""COMPUTED_VALUE"""),"149925;INF179KC1CG8;-;HDFC FMP 1861D March 2022 - IDCW Option;10.692;25-Aug-2023")</f>
        <v>149925;INF179KC1CG8;-;HDFC FMP 1861D March 2022 - IDCW Option;10.692;25-Aug-2023</v>
      </c>
      <c r="B11268" s="1"/>
    </row>
    <row r="11269">
      <c r="A11269" s="1" t="str">
        <f>IFERROR(__xludf.DUMMYFUNCTION("""COMPUTED_VALUE"""),"149926;INF179KC1CD5;-;HDFC FMP 1861D March 2022 - IDCW Option - Direct Plan;10.7189;25-Aug-2023")</f>
        <v>149926;INF179KC1CD5;-;HDFC FMP 1861D March 2022 - IDCW Option - Direct Plan;10.7189;25-Aug-2023</v>
      </c>
      <c r="B11269" s="1"/>
    </row>
    <row r="11270">
      <c r="A11270" s="1" t="str">
        <f>IFERROR(__xludf.DUMMYFUNCTION("""COMPUTED_VALUE"""),"149927;INF179KC1CH6;-;HDFC FMP 1861D March 2022 - Quarterly Dividend Option;10.0844;25-Aug-2023")</f>
        <v>149927;INF179KC1CH6;-;HDFC FMP 1861D March 2022 - Quarterly Dividend Option;10.0844;25-Aug-2023</v>
      </c>
      <c r="B11270" s="1"/>
    </row>
    <row r="11271">
      <c r="A11271" s="1" t="str">
        <f>IFERROR(__xludf.DUMMYFUNCTION("""COMPUTED_VALUE"""),"149923;INF179KC1CE3;-;HDFC FMP 1861D March 2022 - Quarterly Dividend Option - Direct Plan;10.0875;25-Aug-2023")</f>
        <v>149923;INF179KC1CE3;-;HDFC FMP 1861D March 2022 - Quarterly Dividend Option - Direct Plan;10.0875;25-Aug-2023</v>
      </c>
      <c r="B11271" s="1"/>
    </row>
    <row r="11272">
      <c r="A11272" s="1" t="str">
        <f>IFERROR(__xludf.DUMMYFUNCTION("""COMPUTED_VALUE"""),"150001;INF179KC1CR5;-;HDFC FMP 1876D March 2022 - Growth Option;10.6512;25-Aug-2023")</f>
        <v>150001;INF179KC1CR5;-;HDFC FMP 1876D March 2022 - Growth Option;10.6512;25-Aug-2023</v>
      </c>
      <c r="B11272" s="1"/>
    </row>
    <row r="11273">
      <c r="A11273" s="1" t="str">
        <f>IFERROR(__xludf.DUMMYFUNCTION("""COMPUTED_VALUE"""),"150002;INF179KC1CO2;-;HDFC FMP 1876D March 2022 - Growth Option - Direct Plan;10.674;25-Aug-2023")</f>
        <v>150002;INF179KC1CO2;-;HDFC FMP 1876D March 2022 - Growth Option - Direct Plan;10.674;25-Aug-2023</v>
      </c>
      <c r="B11273" s="1"/>
    </row>
    <row r="11274">
      <c r="A11274" s="1" t="str">
        <f>IFERROR(__xludf.DUMMYFUNCTION("""COMPUTED_VALUE"""),"150004;INF179KC1CS3;-;HDFC FMP 1876D March 2022 - IDCW Option;10.6512;25-Aug-2023")</f>
        <v>150004;INF179KC1CS3;-;HDFC FMP 1876D March 2022 - IDCW Option;10.6512;25-Aug-2023</v>
      </c>
      <c r="B11274" s="1"/>
    </row>
    <row r="11275">
      <c r="A11275" s="1" t="str">
        <f>IFERROR(__xludf.DUMMYFUNCTION("""COMPUTED_VALUE"""),"150003;INF179KC1CP9;-;HDFC FMP 1876D March 2022 - IDCW Option - Direct Plan;10.674;25-Aug-2023")</f>
        <v>150003;INF179KC1CP9;-;HDFC FMP 1876D March 2022 - IDCW Option - Direct Plan;10.674;25-Aug-2023</v>
      </c>
      <c r="B11275" s="1"/>
    </row>
    <row r="11276">
      <c r="A11276" s="1" t="str">
        <f>IFERROR(__xludf.DUMMYFUNCTION("""COMPUTED_VALUE"""),"150005;INF179KC1CT1;-;HDFC FMP 1876D March 2022 - Quarterly Dividend Option;10.0742;25-Aug-2023")</f>
        <v>150005;INF179KC1CT1;-;HDFC FMP 1876D March 2022 - Quarterly Dividend Option;10.0742;25-Aug-2023</v>
      </c>
      <c r="B11276" s="1"/>
    </row>
    <row r="11277">
      <c r="A11277" s="1" t="str">
        <f>IFERROR(__xludf.DUMMYFUNCTION("""COMPUTED_VALUE"""),"150006;INF179KC1CQ7;-;HDFC FMP 1876D March 2022 - Quarterly Dividend Option - Direct Plan;10.077;25-Aug-2023")</f>
        <v>150006;INF179KC1CQ7;-;HDFC FMP 1876D March 2022 - Quarterly Dividend Option - Direct Plan;10.077;25-Aug-2023</v>
      </c>
      <c r="B11277" s="1"/>
    </row>
    <row r="11278">
      <c r="A11278" s="1" t="str">
        <f>IFERROR(__xludf.DUMMYFUNCTION("""COMPUTED_VALUE"""),"151465;-;-;HDFC FMP 2638D February 2023 - Growth Option;10.4982;25-Aug-2023")</f>
        <v>151465;-;-;HDFC FMP 2638D February 2023 - Growth Option;10.4982;25-Aug-2023</v>
      </c>
      <c r="B11278" s="1"/>
    </row>
    <row r="11279">
      <c r="A11279" s="1" t="str">
        <f>IFERROR(__xludf.DUMMYFUNCTION("""COMPUTED_VALUE"""),"151470;-;-;HDFC FMP 2638D February 2023 - Growth Option - Direct Plan;10.5123;25-Aug-2023")</f>
        <v>151470;-;-;HDFC FMP 2638D February 2023 - Growth Option - Direct Plan;10.5123;25-Aug-2023</v>
      </c>
      <c r="B11279" s="1"/>
    </row>
    <row r="11280">
      <c r="A11280" s="1" t="str">
        <f>IFERROR(__xludf.DUMMYFUNCTION("""COMPUTED_VALUE"""),"151468;-;-;HDFC FMP 2638D February 2023 - IDCW Option;10.4982;25-Aug-2023")</f>
        <v>151468;-;-;HDFC FMP 2638D February 2023 - IDCW Option;10.4982;25-Aug-2023</v>
      </c>
      <c r="B11280" s="1"/>
    </row>
    <row r="11281">
      <c r="A11281" s="1" t="str">
        <f>IFERROR(__xludf.DUMMYFUNCTION("""COMPUTED_VALUE"""),"151467;-;-;HDFC FMP 2638D February 2023 - Quarterly IDCW Option;10.2155;25-Aug-2023")</f>
        <v>151467;-;-;HDFC FMP 2638D February 2023 - Quarterly IDCW Option;10.2155;25-Aug-2023</v>
      </c>
      <c r="B11281" s="1"/>
    </row>
    <row r="11282">
      <c r="A11282" s="1" t="str">
        <f>IFERROR(__xludf.DUMMYFUNCTION("""COMPUTED_VALUE"""),"151469;-;-;HDFC FMP 2638D February 2023 - Quarterly IDCW Option - Direct Plan;10.2204;25-Aug-2023")</f>
        <v>151469;-;-;HDFC FMP 2638D February 2023 - Quarterly IDCW Option - Direct Plan;10.2204;25-Aug-2023</v>
      </c>
      <c r="B11282" s="1"/>
    </row>
    <row r="11283">
      <c r="A11283" s="1" t="str">
        <f>IFERROR(__xludf.DUMMYFUNCTION("""COMPUTED_VALUE"""),"128541;INF179KA1II3;-;HDFC FMP 3360D March 2014 (1) - Flexi Option;18.4345;06-Jun-2023")</f>
        <v>128541;INF179KA1II3;-;HDFC FMP 3360D March 2014 (1) - Flexi Option;18.4345;06-Jun-2023</v>
      </c>
      <c r="B11283" s="1"/>
    </row>
    <row r="11284">
      <c r="A11284" s="1" t="str">
        <f>IFERROR(__xludf.DUMMYFUNCTION("""COMPUTED_VALUE"""),"128539;INF179KA1IE2;-;HDFC FMP 3360D March 2014 (1) - Flexi Option - Direct Plan;18.675;06-Jun-2023")</f>
        <v>128539;INF179KA1IE2;-;HDFC FMP 3360D March 2014 (1) - Flexi Option - Direct Plan;18.675;06-Jun-2023</v>
      </c>
      <c r="B11284" s="1"/>
    </row>
    <row r="11285">
      <c r="A11285" s="1" t="str">
        <f>IFERROR(__xludf.DUMMYFUNCTION("""COMPUTED_VALUE"""),"128542;INF179KA1IF9;-;HDFC FMP 3360D March 2014 (1) - Growth Option;18.4345;06-Jun-2023")</f>
        <v>128542;INF179KA1IF9;-;HDFC FMP 3360D March 2014 (1) - Growth Option;18.4345;06-Jun-2023</v>
      </c>
      <c r="B11285" s="1"/>
    </row>
    <row r="11286">
      <c r="A11286" s="1" t="str">
        <f>IFERROR(__xludf.DUMMYFUNCTION("""COMPUTED_VALUE"""),"128544;INF179KA1IB8;-;HDFC FMP 3360D March 2014 (1) - Growth Option - Direct Plan;18.675;06-Jun-2023")</f>
        <v>128544;INF179KA1IB8;-;HDFC FMP 3360D March 2014 (1) - Growth Option - Direct Plan;18.675;06-Jun-2023</v>
      </c>
      <c r="B11286" s="1"/>
    </row>
    <row r="11287">
      <c r="A11287" s="1" t="str">
        <f>IFERROR(__xludf.DUMMYFUNCTION("""COMPUTED_VALUE"""),"128540;INF179KA1IG7;-;HDFC FMP 3360D March 2014 (1) - IDCW Option;10;06-Jun-2023")</f>
        <v>128540;INF179KA1IG7;-;HDFC FMP 3360D March 2014 (1) - IDCW Option;10;06-Jun-2023</v>
      </c>
      <c r="B11287" s="1"/>
    </row>
    <row r="11288">
      <c r="A11288" s="1" t="str">
        <f>IFERROR(__xludf.DUMMYFUNCTION("""COMPUTED_VALUE"""),"128538;INF179KA1IC6;-;HDFC FMP 3360D March 2014 (1) - IDCW Option - Direct Plan;10;06-Jun-2023")</f>
        <v>128538;INF179KA1IC6;-;HDFC FMP 3360D March 2014 (1) - IDCW Option - Direct Plan;10;06-Jun-2023</v>
      </c>
      <c r="B11288" s="1"/>
    </row>
    <row r="11289">
      <c r="A11289" s="1" t="str">
        <f>IFERROR(__xludf.DUMMYFUNCTION("""COMPUTED_VALUE"""),"128543;INF179KA1IH5;-;HDFC FMP 3360D March 2014 (1) - Quarterly IDCW Option;10;06-Jun-2023")</f>
        <v>128543;INF179KA1IH5;-;HDFC FMP 3360D March 2014 (1) - Quarterly IDCW Option;10;06-Jun-2023</v>
      </c>
      <c r="B11289" s="1"/>
    </row>
    <row r="11290">
      <c r="A11290" s="1" t="str">
        <f>IFERROR(__xludf.DUMMYFUNCTION("""COMPUTED_VALUE"""),"128545;INF179KA1ID4;-;HDFC FMP 3360D March 2014 (1) - Quarterly IDCW Option - Direct Plan;10;06-Jun-2023")</f>
        <v>128545;INF179KA1ID4;-;HDFC FMP 3360D March 2014 (1) - Quarterly IDCW Option - Direct Plan;10;06-Jun-2023</v>
      </c>
      <c r="B11290" s="1"/>
    </row>
    <row r="11291">
      <c r="A11291" s="1"/>
      <c r="B11291" s="1"/>
    </row>
    <row r="11292">
      <c r="A11292" s="1" t="str">
        <f>IFERROR(__xludf.DUMMYFUNCTION("""COMPUTED_VALUE"""),"HSBC Mutual Fund")</f>
        <v>HSBC Mutual Fund</v>
      </c>
      <c r="B11292" s="1"/>
    </row>
    <row r="11293">
      <c r="A11293" s="1"/>
      <c r="B11293" s="1"/>
    </row>
    <row r="11294">
      <c r="A11294" s="1" t="str">
        <f>IFERROR(__xludf.DUMMYFUNCTION("""COMPUTED_VALUE"""),"139091;INF336L01KX7;-;HSBC Fixed Term Series 125 - Direct Plan Growth Option;12.6358;18-Apr-2019")</f>
        <v>139091;INF336L01KX7;-;HSBC Fixed Term Series 125 - Direct Plan Growth Option;12.6358;18-Apr-2019</v>
      </c>
      <c r="B11294" s="1"/>
    </row>
    <row r="11295">
      <c r="A11295" s="1" t="str">
        <f>IFERROR(__xludf.DUMMYFUNCTION("""COMPUTED_VALUE"""),"139092;INF336L01LA3;-;HSBC Fixed Term Series 125 - Dividend Option;10;18-Apr-2019")</f>
        <v>139092;INF336L01LA3;-;HSBC Fixed Term Series 125 - Dividend Option;10;18-Apr-2019</v>
      </c>
      <c r="B11295" s="1"/>
    </row>
    <row r="11296">
      <c r="A11296" s="1" t="str">
        <f>IFERROR(__xludf.DUMMYFUNCTION("""COMPUTED_VALUE"""),"139093;INF336L01KZ2;-;HSBC Fixed Term Series 125 - Growth Option;12.5053;18-Apr-2019")</f>
        <v>139093;INF336L01KZ2;-;HSBC Fixed Term Series 125 - Growth Option;12.5053;18-Apr-2019</v>
      </c>
      <c r="B11296" s="1"/>
    </row>
    <row r="11297">
      <c r="A11297" s="1" t="str">
        <f>IFERROR(__xludf.DUMMYFUNCTION("""COMPUTED_VALUE"""),"139365;INF336L01LB1;-;HSBC Fixed Term Series 126 - Direct Plan Growth Option;12.5896;01-Jul-2019")</f>
        <v>139365;INF336L01LB1;-;HSBC Fixed Term Series 126 - Direct Plan Growth Option;12.5896;01-Jul-2019</v>
      </c>
      <c r="B11297" s="1"/>
    </row>
    <row r="11298">
      <c r="A11298" s="1" t="str">
        <f>IFERROR(__xludf.DUMMYFUNCTION("""COMPUTED_VALUE"""),"139366;INF336L01LE5;-;HSBC Fixed Term Series 126 - Dividend Option;10;01-Jul-2019")</f>
        <v>139366;INF336L01LE5;-;HSBC Fixed Term Series 126 - Dividend Option;10;01-Jul-2019</v>
      </c>
      <c r="B11298" s="1"/>
    </row>
    <row r="11299">
      <c r="A11299" s="1" t="str">
        <f>IFERROR(__xludf.DUMMYFUNCTION("""COMPUTED_VALUE"""),"139363;INF336L01LD7;-;HSBC Fixed Term Series 126 - Growth Option;12.4567;01-Jul-2019")</f>
        <v>139363;INF336L01LD7;-;HSBC Fixed Term Series 126 - Growth Option;12.4567;01-Jul-2019</v>
      </c>
      <c r="B11299" s="1"/>
    </row>
    <row r="11300">
      <c r="A11300" s="1" t="str">
        <f>IFERROR(__xludf.DUMMYFUNCTION("""COMPUTED_VALUE"""),"141204;INF336L01LX5;-;HSBC Fixed Term Series 128 - Direct Plan Growth Option;12.3266;29-Apr-2020")</f>
        <v>141204;INF336L01LX5;-;HSBC Fixed Term Series 128 - Direct Plan Growth Option;12.3266;29-Apr-2020</v>
      </c>
      <c r="B11300" s="1"/>
    </row>
    <row r="11301">
      <c r="A11301" s="1" t="str">
        <f>IFERROR(__xludf.DUMMYFUNCTION("""COMPUTED_VALUE"""),"141206;INF336L01LZ0;-;HSBC Fixed Term Series 128 - Growth Option;12.1978;29-Apr-2020")</f>
        <v>141206;INF336L01LZ0;-;HSBC Fixed Term Series 128 - Growth Option;12.1978;29-Apr-2020</v>
      </c>
      <c r="B11301" s="1"/>
    </row>
    <row r="11302">
      <c r="A11302" s="1" t="str">
        <f>IFERROR(__xludf.DUMMYFUNCTION("""COMPUTED_VALUE"""),"141205;INF336L01MA1;-;HSBC FTS 128 - IDCW - Tenure 1106 Days - Maturity: 29-Apr-2020;10;29-Apr-2020")</f>
        <v>141205;INF336L01MA1;-;HSBC FTS 128 - IDCW - Tenure 1106 Days - Maturity: 29-Apr-2020;10;29-Apr-2020</v>
      </c>
      <c r="B11302" s="1"/>
    </row>
    <row r="11303">
      <c r="A11303" s="1" t="str">
        <f>IFERROR(__xludf.DUMMYFUNCTION("""COMPUTED_VALUE"""),"141469;INF336L01MB9;-;HSBC Fixed Term Series 129 - Direct Plan Growth Option;12.3834;30-Jun-2020")</f>
        <v>141469;INF336L01MB9;-;HSBC Fixed Term Series 129 - Direct Plan Growth Option;12.3834;30-Jun-2020</v>
      </c>
      <c r="B11303" s="1"/>
    </row>
    <row r="11304">
      <c r="A11304" s="1" t="str">
        <f>IFERROR(__xludf.DUMMYFUNCTION("""COMPUTED_VALUE"""),"141467;INF336L01MD5;-;HSBC Fixed Term Series 129 - Growth Option;12.2853;30-Jun-2020")</f>
        <v>141467;INF336L01MD5;-;HSBC Fixed Term Series 129 - Growth Option;12.2853;30-Jun-2020</v>
      </c>
      <c r="B11304" s="1"/>
    </row>
    <row r="11305">
      <c r="A11305" s="1" t="str">
        <f>IFERROR(__xludf.DUMMYFUNCTION("""COMPUTED_VALUE"""),"141468;INF336L01ME3;-;HSBC FTS 129 - IDCW - Tenure 1120 Days - Maturity: 30-Jun-2020;10;30-Jun-2020")</f>
        <v>141468;INF336L01ME3;-;HSBC FTS 129 - IDCW - Tenure 1120 Days - Maturity: 30-Jun-2020;10;30-Jun-2020</v>
      </c>
      <c r="B11305" s="1"/>
    </row>
    <row r="11306">
      <c r="A11306" s="1" t="str">
        <f>IFERROR(__xludf.DUMMYFUNCTION("""COMPUTED_VALUE"""),"142086;INF336L01MH6;-;HSBC Fixed Term Series 130 - Growth Option;12.4433;08-Apr-2021")</f>
        <v>142086;INF336L01MH6;-;HSBC Fixed Term Series 130 - Growth Option;12.4433;08-Apr-2021</v>
      </c>
      <c r="B11306" s="1"/>
    </row>
    <row r="11307">
      <c r="A11307" s="1" t="str">
        <f>IFERROR(__xludf.DUMMYFUNCTION("""COMPUTED_VALUE"""),"142085;INF336L01MI4;-;HSBC FTS 130 - IDCW - Tenure 1204 Days - Maturity: 08-Apr-2021;10;08-Apr-2021")</f>
        <v>142085;INF336L01MI4;-;HSBC FTS 130 - IDCW - Tenure 1204 Days - Maturity: 08-Apr-2021;10;08-Apr-2021</v>
      </c>
      <c r="B11307" s="1"/>
    </row>
    <row r="11308">
      <c r="A11308" s="1" t="str">
        <f>IFERROR(__xludf.DUMMYFUNCTION("""COMPUTED_VALUE"""),"142087;INF336L01MF0;-;HSBC FTS 130 - IDCW Direct Plan-Tenure 1204 Days-Maturity: 08-Apr-2021;12.5287;08-Apr-2021")</f>
        <v>142087;INF336L01MF0;-;HSBC FTS 130 - IDCW Direct Plan-Tenure 1204 Days-Maturity: 08-Apr-2021;12.5287;08-Apr-2021</v>
      </c>
      <c r="B11308" s="1"/>
    </row>
    <row r="11309">
      <c r="A11309" s="1" t="str">
        <f>IFERROR(__xludf.DUMMYFUNCTION("""COMPUTED_VALUE"""),"142989;INF336L01MN4;-;HSBC Fixed Term Series 131 - Direct Plan Growth Option;12.2882;03-May-2021")</f>
        <v>142989;INF336L01MN4;-;HSBC Fixed Term Series 131 - Direct Plan Growth Option;12.2882;03-May-2021</v>
      </c>
      <c r="B11309" s="1"/>
    </row>
    <row r="11310">
      <c r="A11310" s="1" t="str">
        <f>IFERROR(__xludf.DUMMYFUNCTION("""COMPUTED_VALUE"""),"142990;INF336L01MP9;-;HSBC Fixed Term Series 131 - Growth Option;12.1877;03-May-2021")</f>
        <v>142990;INF336L01MP9;-;HSBC Fixed Term Series 131 - Growth Option;12.1877;03-May-2021</v>
      </c>
      <c r="B11310" s="1"/>
    </row>
    <row r="11311">
      <c r="A11311" s="1" t="str">
        <f>IFERROR(__xludf.DUMMYFUNCTION("""COMPUTED_VALUE"""),"142991;INF336L01MQ7;-;HSBC FTS 131 - IDCW - Tenure 1140 Days -  Maturity: 03-May-2021;10;03-May-2021")</f>
        <v>142991;INF336L01MQ7;-;HSBC FTS 131 - IDCW - Tenure 1140 Days -  Maturity: 03-May-2021;10;03-May-2021</v>
      </c>
      <c r="B11311" s="1"/>
    </row>
    <row r="11312">
      <c r="A11312" s="1" t="str">
        <f>IFERROR(__xludf.DUMMYFUNCTION("""COMPUTED_VALUE"""),"142740;INF336L01MJ2;-;HSBC Fixed Term Series 132 - Direct Plan Growth Option;12.7291;03-May-2021")</f>
        <v>142740;INF336L01MJ2;-;HSBC Fixed Term Series 132 - Direct Plan Growth Option;12.7291;03-May-2021</v>
      </c>
      <c r="B11312" s="1"/>
    </row>
    <row r="11313">
      <c r="A11313" s="1" t="str">
        <f>IFERROR(__xludf.DUMMYFUNCTION("""COMPUTED_VALUE"""),"142739;INF336L01ML8;-;HSBC Fixed Term Series 132 - Growth Option;12.646;03-May-2021")</f>
        <v>142739;INF336L01ML8;-;HSBC Fixed Term Series 132 - Growth Option;12.646;03-May-2021</v>
      </c>
      <c r="B11313" s="1"/>
    </row>
    <row r="11314">
      <c r="A11314" s="1" t="str">
        <f>IFERROR(__xludf.DUMMYFUNCTION("""COMPUTED_VALUE"""),"142741;INF336L01MM6;-;HSBC FTS 132 - IDCW - Tenure 1149 Days - Maturity: 03-May-2021;10;03-May-2021")</f>
        <v>142741;INF336L01MM6;-;HSBC FTS 132 - IDCW - Tenure 1149 Days - Maturity: 03-May-2021;10;03-May-2021</v>
      </c>
      <c r="B11314" s="1"/>
    </row>
    <row r="11315">
      <c r="A11315" s="1" t="str">
        <f>IFERROR(__xludf.DUMMYFUNCTION("""COMPUTED_VALUE"""),"142742;INF336L01MK0;-;HSBC FTS 132 - IDCW Direct Plan-Tenure 1149 Days-Maturity: 03-May-2021;10;03-May-2021")</f>
        <v>142742;INF336L01MK0;-;HSBC FTS 132 - IDCW Direct Plan-Tenure 1149 Days-Maturity: 03-May-2021;10;03-May-2021</v>
      </c>
      <c r="B11315" s="1"/>
    </row>
    <row r="11316">
      <c r="A11316" s="1" t="str">
        <f>IFERROR(__xludf.DUMMYFUNCTION("""COMPUTED_VALUE"""),"143050;INF336L01MR5;-;HSBC Fixed Term Series 133 - Direct Plan Growth Option;12.3742;03-May-2021")</f>
        <v>143050;INF336L01MR5;-;HSBC Fixed Term Series 133 - Direct Plan Growth Option;12.3742;03-May-2021</v>
      </c>
      <c r="B11316" s="1"/>
    </row>
    <row r="11317">
      <c r="A11317" s="1" t="str">
        <f>IFERROR(__xludf.DUMMYFUNCTION("""COMPUTED_VALUE"""),"143052;INF336L01MT1;-;HSBC Fixed Term Series 133 - Growth Option;12.2944;03-May-2021")</f>
        <v>143052;INF336L01MT1;-;HSBC Fixed Term Series 133 - Growth Option;12.2944;03-May-2021</v>
      </c>
      <c r="B11317" s="1"/>
    </row>
    <row r="11318">
      <c r="A11318" s="1" t="str">
        <f>IFERROR(__xludf.DUMMYFUNCTION("""COMPUTED_VALUE"""),"143051;INF336L01MU9;-;HSBC FTS 133 - IDCW - Tenure 1134 Days - Maturity: 03-May-2021;10;03-May-2021")</f>
        <v>143051;INF336L01MU9;-;HSBC FTS 133 - IDCW - Tenure 1134 Days - Maturity: 03-May-2021;10;03-May-2021</v>
      </c>
      <c r="B11318" s="1"/>
    </row>
    <row r="11319">
      <c r="A11319" s="1" t="str">
        <f>IFERROR(__xludf.DUMMYFUNCTION("""COMPUTED_VALUE"""),"143049;INF336L01MS3;-;HSBC FTS 133 - IDCW Direct Plan-Tenure 1134 Days-Maturity: 03-May-2021;10;03-May-2021")</f>
        <v>143049;INF336L01MS3;-;HSBC FTS 133 - IDCW Direct Plan-Tenure 1134 Days-Maturity: 03-May-2021;10;03-May-2021</v>
      </c>
      <c r="B11319" s="1"/>
    </row>
    <row r="11320">
      <c r="A11320" s="1" t="str">
        <f>IFERROR(__xludf.DUMMYFUNCTION("""COMPUTED_VALUE"""),"143668;INF336L01MV7;-;HSBC Fixed Term Series 134 - Direct Plan Growth Option;11.202;29-Jun-2021")</f>
        <v>143668;INF336L01MV7;-;HSBC Fixed Term Series 134 - Direct Plan Growth Option;11.202;29-Jun-2021</v>
      </c>
      <c r="B11320" s="1"/>
    </row>
    <row r="11321">
      <c r="A11321" s="1" t="str">
        <f>IFERROR(__xludf.DUMMYFUNCTION("""COMPUTED_VALUE"""),"143670;INF336L01MY1;-;HSBC Fixed Term Series 134 - Dividend Option;10;29-Jun-2021")</f>
        <v>143670;INF336L01MY1;-;HSBC Fixed Term Series 134 - Dividend Option;10;29-Jun-2021</v>
      </c>
      <c r="B11321" s="1"/>
    </row>
    <row r="11322">
      <c r="A11322" s="1" t="str">
        <f>IFERROR(__xludf.DUMMYFUNCTION("""COMPUTED_VALUE"""),"143669;INF336L01MX3;-;HSBC FTS 134 - IDCW - Tenure 1118 Days - Maturity: 29-Jun-2021;11.0782;29-Jun-2021")</f>
        <v>143669;INF336L01MX3;-;HSBC FTS 134 - IDCW - Tenure 1118 Days - Maturity: 29-Jun-2021;11.0782;29-Jun-2021</v>
      </c>
      <c r="B11322" s="1"/>
    </row>
    <row r="11323">
      <c r="A11323" s="1" t="str">
        <f>IFERROR(__xludf.DUMMYFUNCTION("""COMPUTED_VALUE"""),"143667;INF336L01MW5;-;HSBC FTS 134 - IDCW Direct Plan - Tenure 1118 Days - Maturity: 29-Jun-2021;10;29-Jun-2021")</f>
        <v>143667;INF336L01MW5;-;HSBC FTS 134 - IDCW Direct Plan - Tenure 1118 Days - Maturity: 29-Jun-2021;10;29-Jun-2021</v>
      </c>
      <c r="B11323" s="1"/>
    </row>
    <row r="11324">
      <c r="A11324" s="1" t="str">
        <f>IFERROR(__xludf.DUMMYFUNCTION("""COMPUTED_VALUE"""),"144117;INF336L01MZ8;-;HSBC Fixed Term Series 135 - Direct Plan Growth Option;11.1898;30-Jul-2021")</f>
        <v>144117;INF336L01MZ8;-;HSBC Fixed Term Series 135 - Direct Plan Growth Option;11.1898;30-Jul-2021</v>
      </c>
      <c r="B11324" s="1"/>
    </row>
    <row r="11325">
      <c r="A11325" s="1" t="str">
        <f>IFERROR(__xludf.DUMMYFUNCTION("""COMPUTED_VALUE"""),"144115;INF336L01NB7;-;HSBC Fixed Term Series 135 - Growth Option;11.0813;30-Jul-2021")</f>
        <v>144115;INF336L01NB7;-;HSBC Fixed Term Series 135 - Growth Option;11.0813;30-Jul-2021</v>
      </c>
      <c r="B11325" s="1"/>
    </row>
    <row r="11326">
      <c r="A11326" s="1" t="str">
        <f>IFERROR(__xludf.DUMMYFUNCTION("""COMPUTED_VALUE"""),"144116;INF336L01NC5;-;HSBC FTS 135 - IDCW - Tenure 1117 Days - Maturity: 30-Jul-2021;10;30-Jul-2021")</f>
        <v>144116;INF336L01NC5;-;HSBC FTS 135 - IDCW - Tenure 1117 Days - Maturity: 30-Jul-2021;10;30-Jul-2021</v>
      </c>
      <c r="B11326" s="1"/>
    </row>
    <row r="11327">
      <c r="A11327" s="1" t="str">
        <f>IFERROR(__xludf.DUMMYFUNCTION("""COMPUTED_VALUE"""),"144118;INF336L01NA9;-;HSBC FTS 135 - IDCW Direct Plan - Tenure 1117 Days - Maturity: 30-Jul-2021;10;30-Jul-2021")</f>
        <v>144118;INF336L01NA9;-;HSBC FTS 135 - IDCW Direct Plan - Tenure 1117 Days - Maturity: 30-Jul-2021;10;30-Jul-2021</v>
      </c>
      <c r="B11327" s="1"/>
    </row>
    <row r="11328">
      <c r="A11328" s="1" t="str">
        <f>IFERROR(__xludf.DUMMYFUNCTION("""COMPUTED_VALUE"""),"144556;INF336L01ND3;-;HSBC Fixed Term Series 136 - Direct Plan Growth Option;11.3493;30-Sep-2021")</f>
        <v>144556;INF336L01ND3;-;HSBC Fixed Term Series 136 - Direct Plan Growth Option;11.3493;30-Sep-2021</v>
      </c>
      <c r="B11328" s="1"/>
    </row>
    <row r="11329">
      <c r="A11329" s="1" t="str">
        <f>IFERROR(__xludf.DUMMYFUNCTION("""COMPUTED_VALUE"""),"144555;INF336L01NF8;-;HSBC Fixed Term Series 136 - Growth Option;11.2368;30-Sep-2021")</f>
        <v>144555;INF336L01NF8;-;HSBC Fixed Term Series 136 - Growth Option;11.2368;30-Sep-2021</v>
      </c>
      <c r="B11329" s="1"/>
    </row>
    <row r="11330">
      <c r="A11330" s="1" t="str">
        <f>IFERROR(__xludf.DUMMYFUNCTION("""COMPUTED_VALUE"""),"144557;INF336L01NG6;-;HSBC FTS 136 - IDCW - Tenure 1145 Days - Maturity: 30-Sep-2021;10;30-Sep-2021")</f>
        <v>144557;INF336L01NG6;-;HSBC FTS 136 - IDCW - Tenure 1145 Days - Maturity: 30-Sep-2021;10;30-Sep-2021</v>
      </c>
      <c r="B11330" s="1"/>
    </row>
    <row r="11331">
      <c r="A11331" s="1" t="str">
        <f>IFERROR(__xludf.DUMMYFUNCTION("""COMPUTED_VALUE"""),"144558;INF336L01NE1;-;HSBC FTS 136 - IDCW Direct Plan - Tenure 1145 Days - Maturity: 30-Sep-2021;10;30-Sep-2021")</f>
        <v>144558;INF336L01NE1;-;HSBC FTS 136 - IDCW Direct Plan - Tenure 1145 Days - Maturity: 30-Sep-2021;10;30-Sep-2021</v>
      </c>
      <c r="B11331" s="1"/>
    </row>
    <row r="11332">
      <c r="A11332" s="1" t="str">
        <f>IFERROR(__xludf.DUMMYFUNCTION("""COMPUTED_VALUE"""),"146104;INF336L01NP7;-;HSBC Fixed Term Series 137 - Growth Option;12.7062;18-Apr-2022")</f>
        <v>146104;INF336L01NP7;-;HSBC Fixed Term Series 137 - Growth Option;12.7062;18-Apr-2022</v>
      </c>
      <c r="B11332" s="1"/>
    </row>
    <row r="11333">
      <c r="A11333" s="1" t="str">
        <f>IFERROR(__xludf.DUMMYFUNCTION("""COMPUTED_VALUE"""),"146102;INF336L01NN2;-;HSBC Fixed Term Series 137 Direct Plan Growth Option;12.8166;18-Apr-2022")</f>
        <v>146102;INF336L01NN2;-;HSBC Fixed Term Series 137 Direct Plan Growth Option;12.8166;18-Apr-2022</v>
      </c>
      <c r="B11333" s="1"/>
    </row>
    <row r="11334">
      <c r="A11334" s="1" t="str">
        <f>IFERROR(__xludf.DUMMYFUNCTION("""COMPUTED_VALUE"""),"146103;INF336L01NQ5;-;HSBC FTS 137 - IDCW - Tenure 1187 Days - Maturity: 18-Apr-2022;10;18-Apr-2022")</f>
        <v>146103;INF336L01NQ5;-;HSBC FTS 137 - IDCW - Tenure 1187 Days - Maturity: 18-Apr-2022;10;18-Apr-2022</v>
      </c>
      <c r="B11334" s="1"/>
    </row>
    <row r="11335">
      <c r="A11335" s="1" t="str">
        <f>IFERROR(__xludf.DUMMYFUNCTION("""COMPUTED_VALUE"""),"146101;INF336L01NO0;-;HSBC FTS 137 - IDCW Direct Plan - Tenure 1187 Days - Maturity: 18-Apr-2022;10;18-Apr-2022")</f>
        <v>146101;INF336L01NO0;-;HSBC FTS 137 - IDCW Direct Plan - Tenure 1187 Days - Maturity: 18-Apr-2022;10;18-Apr-2022</v>
      </c>
      <c r="B11335" s="1"/>
    </row>
    <row r="11336">
      <c r="A11336" s="1" t="str">
        <f>IFERROR(__xludf.DUMMYFUNCTION("""COMPUTED_VALUE"""),"146487;INF336L01NR3;-;HSBC Fixed Term Series 139 - Direct Plan - Direct Plan - Growth Option;12.713;04-May-2022")</f>
        <v>146487;INF336L01NR3;-;HSBC Fixed Term Series 139 - Direct Plan - Direct Plan - Growth Option;12.713;04-May-2022</v>
      </c>
      <c r="B11336" s="1"/>
    </row>
    <row r="11337">
      <c r="A11337" s="1" t="str">
        <f>IFERROR(__xludf.DUMMYFUNCTION("""COMPUTED_VALUE"""),"146488;INF336L01NT9;-;HSBC Fixed Term Series 139 - Growth Option;12.6054;04-May-2022")</f>
        <v>146488;INF336L01NT9;-;HSBC Fixed Term Series 139 - Growth Option;12.6054;04-May-2022</v>
      </c>
      <c r="B11337" s="1"/>
    </row>
    <row r="11338">
      <c r="A11338" s="1" t="str">
        <f>IFERROR(__xludf.DUMMYFUNCTION("""COMPUTED_VALUE"""),"146485;INF336L01NU7;-;HSBC FTS 139 - IDCW - Tenure 1163 Days - Maturity: 03-May-2022;10;04-May-2022")</f>
        <v>146485;INF336L01NU7;-;HSBC FTS 139 - IDCW - Tenure 1163 Days - Maturity: 03-May-2022;10;04-May-2022</v>
      </c>
      <c r="B11338" s="1"/>
    </row>
    <row r="11339">
      <c r="A11339" s="1" t="str">
        <f>IFERROR(__xludf.DUMMYFUNCTION("""COMPUTED_VALUE"""),"146486;INF336L01NS1;-;HSBC FTS 139 - IDCW Direct Plan - Tenure 1163 Days - Maturity: 03-May-2022;10;04-May-2022")</f>
        <v>146486;INF336L01NS1;-;HSBC FTS 139 - IDCW Direct Plan - Tenure 1163 Days - Maturity: 03-May-2022;10;04-May-2022</v>
      </c>
      <c r="B11339" s="1"/>
    </row>
    <row r="11340">
      <c r="A11340" s="1" t="str">
        <f>IFERROR(__xludf.DUMMYFUNCTION("""COMPUTED_VALUE"""),"147149;INF336L01OD1;-;HSBC Fixed Term Series 140 - Growth Option;12.5132;15-Jun-2022")</f>
        <v>147149;INF336L01OD1;-;HSBC Fixed Term Series 140 - Growth Option;12.5132;15-Jun-2022</v>
      </c>
      <c r="B11340" s="1"/>
    </row>
    <row r="11341">
      <c r="A11341" s="1" t="str">
        <f>IFERROR(__xludf.DUMMYFUNCTION("""COMPUTED_VALUE"""),"147152;INF336L01OB5;-;HSBC Fixed Term Series 140 Direct plan - Growth Option;12.6185;15-Jun-2022")</f>
        <v>147152;INF336L01OB5;-;HSBC Fixed Term Series 140 Direct plan - Growth Option;12.6185;15-Jun-2022</v>
      </c>
      <c r="B11341" s="1"/>
    </row>
    <row r="11342">
      <c r="A11342" s="1" t="str">
        <f>IFERROR(__xludf.DUMMYFUNCTION("""COMPUTED_VALUE"""),"147151;INF336L01OE9;-;HSBC FTS 140 - IDCW - Tenure 1147 Days - Maturity: 15-Jun-2022;10;15-Jun-2022")</f>
        <v>147151;INF336L01OE9;-;HSBC FTS 140 - IDCW - Tenure 1147 Days - Maturity: 15-Jun-2022;10;15-Jun-2022</v>
      </c>
      <c r="B11342" s="1"/>
    </row>
    <row r="11343">
      <c r="A11343" s="1" t="str">
        <f>IFERROR(__xludf.DUMMYFUNCTION("""COMPUTED_VALUE"""),"147150;INF336L01OC3;-;HSBC FTS 140 - IDCW Direct Plan - Tenure 1147 Days - Maturity: 15-Jun-2022;10;15-Jun-2022")</f>
        <v>147150;INF336L01OC3;-;HSBC FTS 140 - IDCW Direct Plan - Tenure 1147 Days - Maturity: 15-Jun-2022;10;15-Jun-2022</v>
      </c>
      <c r="B11343" s="1"/>
    </row>
    <row r="11344">
      <c r="A11344" s="1"/>
      <c r="B11344" s="1"/>
    </row>
    <row r="11345">
      <c r="A11345" s="1" t="str">
        <f>IFERROR(__xludf.DUMMYFUNCTION("""COMPUTED_VALUE"""),"ICICI Prudential Mutual Fund")</f>
        <v>ICICI Prudential Mutual Fund</v>
      </c>
      <c r="B11345" s="1"/>
    </row>
    <row r="11346">
      <c r="A11346" s="1"/>
      <c r="B11346" s="1"/>
    </row>
    <row r="11347">
      <c r="A11347" s="1" t="str">
        <f>IFERROR(__xludf.DUMMYFUNCTION("""COMPUTED_VALUE"""),"115768;INF109K01SX3;-;ICICI Prudential Capital Protection Oriented Fund - Series V - 60 Months - Cumulative;17.6463;14-Oct-2016")</f>
        <v>115768;INF109K01SX3;-;ICICI Prudential Capital Protection Oriented Fund - Series V - 60 Months - Cumulative;17.6463;14-Oct-2016</v>
      </c>
      <c r="B11347" s="1"/>
    </row>
    <row r="11348">
      <c r="A11348" s="1" t="str">
        <f>IFERROR(__xludf.DUMMYFUNCTION("""COMPUTED_VALUE"""),"115767;INF109K01SY1;-;ICICI Prudential Capital Protection Oriented Fund - Series V - 60 Months - Dividend;17.6463;14-Oct-2016")</f>
        <v>115767;INF109K01SY1;-;ICICI Prudential Capital Protection Oriented Fund - Series V - 60 Months - Dividend;17.6463;14-Oct-2016</v>
      </c>
      <c r="B11348" s="1"/>
    </row>
    <row r="11349">
      <c r="A11349" s="1" t="str">
        <f>IFERROR(__xludf.DUMMYFUNCTION("""COMPUTED_VALUE"""),"130181;INF109KA1XD8;-;ICICI Prudential Capital Protection Oriented Fund Series VI -1100 Days Plan B Cumulative Option;12.5091;05-Jul-2017")</f>
        <v>130181;INF109KA1XD8;-;ICICI Prudential Capital Protection Oriented Fund Series VI -1100 Days Plan B Cumulative Option;12.5091;05-Jul-2017</v>
      </c>
      <c r="B11349" s="1"/>
    </row>
    <row r="11350">
      <c r="A11350" s="1" t="str">
        <f>IFERROR(__xludf.DUMMYFUNCTION("""COMPUTED_VALUE"""),"130183;INF109KA1XF3;-;ICICI Prudential Capital Protection Oriented Fund Series VI- 1100 Days Plan B Direct Plan Cumulative option;13.0276;05-Jul-2017")</f>
        <v>130183;INF109KA1XF3;-;ICICI Prudential Capital Protection Oriented Fund Series VI- 1100 Days Plan B Direct Plan Cumulative option;13.0276;05-Jul-2017</v>
      </c>
      <c r="B11350" s="1"/>
    </row>
    <row r="11351">
      <c r="A11351" s="1" t="str">
        <f>IFERROR(__xludf.DUMMYFUNCTION("""COMPUTED_VALUE"""),"130182;INF109KA1XG1;-;ICICI Prudential Capital Protection Oriented Fund Series VI- 1100 Days Plan B Direct Plan Dividend Option;13.0275;05-Jul-2017")</f>
        <v>130182;INF109KA1XG1;-;ICICI Prudential Capital Protection Oriented Fund Series VI- 1100 Days Plan B Direct Plan Dividend Option;13.0275;05-Jul-2017</v>
      </c>
      <c r="B11351" s="1"/>
    </row>
    <row r="11352">
      <c r="A11352" s="1" t="str">
        <f>IFERROR(__xludf.DUMMYFUNCTION("""COMPUTED_VALUE"""),"130184;INF109KA1XE6;-;ICICI Prudential Capital Protection Oriented Fund Series VI- 1100 Days Plan B Dividend Option;12.5091;05-Jul-2017")</f>
        <v>130184;INF109KA1XE6;-;ICICI Prudential Capital Protection Oriented Fund Series VI- 1100 Days Plan B Dividend Option;12.5091;05-Jul-2017</v>
      </c>
      <c r="B11352" s="1"/>
    </row>
    <row r="11353">
      <c r="A11353" s="1" t="str">
        <f>IFERROR(__xludf.DUMMYFUNCTION("""COMPUTED_VALUE"""),"130333;INF109KA1XX6;-;ICICI Prudential Capital Protection Oriented Fund - Series VI - 1100 Days Plan D Direct Plan Cumulative Option;13.0413;18-Jul-2017")</f>
        <v>130333;INF109KA1XX6;-;ICICI Prudential Capital Protection Oriented Fund - Series VI - 1100 Days Plan D Direct Plan Cumulative Option;13.0413;18-Jul-2017</v>
      </c>
      <c r="B11353" s="1"/>
    </row>
    <row r="11354">
      <c r="A11354" s="1" t="str">
        <f>IFERROR(__xludf.DUMMYFUNCTION("""COMPUTED_VALUE"""),"130335;INF109KA1XY4;-;ICICI Prudential Capital Protection Oriented Fund - Series VI - 1100 Days Plan D Direct Plan Dividend Option;13.0413;18-Jul-2017")</f>
        <v>130335;INF109KA1XY4;-;ICICI Prudential Capital Protection Oriented Fund - Series VI - 1100 Days Plan D Direct Plan Dividend Option;13.0413;18-Jul-2017</v>
      </c>
      <c r="B11354" s="1"/>
    </row>
    <row r="11355">
      <c r="A11355" s="1" t="str">
        <f>IFERROR(__xludf.DUMMYFUNCTION("""COMPUTED_VALUE"""),"130334;INF109KA1XW8;-;ICICI Prudential Capital Protection Oriented Fund - Series VI - 1100 Days Plan D Dividend Option;12.5263;18-Jul-2017")</f>
        <v>130334;INF109KA1XW8;-;ICICI Prudential Capital Protection Oriented Fund - Series VI - 1100 Days Plan D Dividend Option;12.5263;18-Jul-2017</v>
      </c>
      <c r="B11355" s="1"/>
    </row>
    <row r="11356">
      <c r="A11356" s="1" t="str">
        <f>IFERROR(__xludf.DUMMYFUNCTION("""COMPUTED_VALUE"""),"130336;INF109KA1XV0;-;ICICI Prudential Capital Protection Oriented Fund - Series VI -1100 Days Plan D Cumulative Option;12.5263;18-Jul-2017")</f>
        <v>130336;INF109KA1XV0;-;ICICI Prudential Capital Protection Oriented Fund - Series VI -1100 Days Plan D Cumulative Option;12.5263;18-Jul-2017</v>
      </c>
      <c r="B11356" s="1"/>
    </row>
    <row r="11357">
      <c r="A11357" s="1" t="str">
        <f>IFERROR(__xludf.DUMMYFUNCTION("""COMPUTED_VALUE"""),"130642;INF109KA1YZ9;-;ICICI Prudential Capital Protection Oriented Fund - Series VI - 1100 Days Plan E Cumulative Option;12.5202;07-Aug-2017")</f>
        <v>130642;INF109KA1YZ9;-;ICICI Prudential Capital Protection Oriented Fund - Series VI - 1100 Days Plan E Cumulative Option;12.5202;07-Aug-2017</v>
      </c>
      <c r="B11357" s="1"/>
    </row>
    <row r="11358">
      <c r="A11358" s="1" t="str">
        <f>IFERROR(__xludf.DUMMYFUNCTION("""COMPUTED_VALUE"""),"130641;INF109KA1ZB7;-;ICICI Prudential Capital Protection Oriented Fund - Series VI - 1100 Days Plan E Direct Plan Cumulative Option;13.0428;07-Aug-2017")</f>
        <v>130641;INF109KA1ZB7;-;ICICI Prudential Capital Protection Oriented Fund - Series VI - 1100 Days Plan E Direct Plan Cumulative Option;13.0428;07-Aug-2017</v>
      </c>
      <c r="B11358" s="1"/>
    </row>
    <row r="11359">
      <c r="A11359" s="1" t="str">
        <f>IFERROR(__xludf.DUMMYFUNCTION("""COMPUTED_VALUE"""),"130643;INF109KA1ZA9;-;ICICI Prudential Capital Protection Oriented Fund - Series VI - 1100 Days Plan E Dividend Option;12.5202;07-Aug-2017")</f>
        <v>130643;INF109KA1ZA9;-;ICICI Prudential Capital Protection Oriented Fund - Series VI - 1100 Days Plan E Dividend Option;12.5202;07-Aug-2017</v>
      </c>
      <c r="B11359" s="1"/>
    </row>
    <row r="11360">
      <c r="A11360" s="1" t="str">
        <f>IFERROR(__xludf.DUMMYFUNCTION("""COMPUTED_VALUE"""),"130837;INF109KA1A66;-;ICICI Prudential Capital Protection Oriented Fund - Series VI - 1100 Days Plan F Cumulative Option;12.4678;28-Aug-2017")</f>
        <v>130837;INF109KA1A66;-;ICICI Prudential Capital Protection Oriented Fund - Series VI - 1100 Days Plan F Cumulative Option;12.4678;28-Aug-2017</v>
      </c>
      <c r="B11360" s="1"/>
    </row>
    <row r="11361">
      <c r="A11361" s="1" t="str">
        <f>IFERROR(__xludf.DUMMYFUNCTION("""COMPUTED_VALUE"""),"130834;INF109KA1A82;-;ICICI Prudential Capital Protection Oriented Fund - Series VI - 1100 Days Plan F Direct Plan Cumulative Option;12.9984;28-Aug-2017")</f>
        <v>130834;INF109KA1A82;-;ICICI Prudential Capital Protection Oriented Fund - Series VI - 1100 Days Plan F Direct Plan Cumulative Option;12.9984;28-Aug-2017</v>
      </c>
      <c r="B11361" s="1"/>
    </row>
    <row r="11362">
      <c r="A11362" s="1" t="str">
        <f>IFERROR(__xludf.DUMMYFUNCTION("""COMPUTED_VALUE"""),"130835;INF109KA1A90;-;ICICI Prudential Capital Protection Oriented Fund - Series VI - 1100 Days Plan F Direct Plan Dividend Option;12.9984;28-Aug-2017")</f>
        <v>130835;INF109KA1A90;-;ICICI Prudential Capital Protection Oriented Fund - Series VI - 1100 Days Plan F Direct Plan Dividend Option;12.9984;28-Aug-2017</v>
      </c>
      <c r="B11362" s="1"/>
    </row>
    <row r="11363">
      <c r="A11363" s="1" t="str">
        <f>IFERROR(__xludf.DUMMYFUNCTION("""COMPUTED_VALUE"""),"130836;INF109KA1A74;-;ICICI Prudential Capital Protection Oriented Fund - Series VI - 1100 Days Plan F Dividend Option;12.4678;28-Aug-2017")</f>
        <v>130836;INF109KA1A74;-;ICICI Prudential Capital Protection Oriented Fund - Series VI - 1100 Days Plan F Dividend Option;12.4678;28-Aug-2017</v>
      </c>
      <c r="B11363" s="1"/>
    </row>
    <row r="11364">
      <c r="A11364" s="1" t="str">
        <f>IFERROR(__xludf.DUMMYFUNCTION("""COMPUTED_VALUE"""),"130872;INF109KA1B08;-;ICICI Prudential Capital Protection Oriented Fund - Series VI - 1100 Days Plan G Cumulative Option;12.3047;04-Sep-2017")</f>
        <v>130872;INF109KA1B08;-;ICICI Prudential Capital Protection Oriented Fund - Series VI - 1100 Days Plan G Cumulative Option;12.3047;04-Sep-2017</v>
      </c>
      <c r="B11364" s="1"/>
    </row>
    <row r="11365">
      <c r="A11365" s="1" t="str">
        <f>IFERROR(__xludf.DUMMYFUNCTION("""COMPUTED_VALUE"""),"130870;INF109KA1B24;-;ICICI Prudential Capital Protection Oriented Fund - Series VI - 1100 Days Plan G Direct Plan Cumulative Option;12.8230;04-Sep-2017")</f>
        <v>130870;INF109KA1B24;-;ICICI Prudential Capital Protection Oriented Fund - Series VI - 1100 Days Plan G Direct Plan Cumulative Option;12.8230;04-Sep-2017</v>
      </c>
      <c r="B11365" s="1"/>
    </row>
    <row r="11366">
      <c r="A11366" s="1" t="str">
        <f>IFERROR(__xludf.DUMMYFUNCTION("""COMPUTED_VALUE"""),"130871;INF109KA1B32;-;ICICI Prudential Capital Protection Oriented Fund - Series VI - 1100 Days Plan G Direct Plan Dividend Option;12.8230;04-Sep-2017")</f>
        <v>130871;INF109KA1B32;-;ICICI Prudential Capital Protection Oriented Fund - Series VI - 1100 Days Plan G Direct Plan Dividend Option;12.8230;04-Sep-2017</v>
      </c>
      <c r="B11366" s="1"/>
    </row>
    <row r="11367">
      <c r="A11367" s="1" t="str">
        <f>IFERROR(__xludf.DUMMYFUNCTION("""COMPUTED_VALUE"""),"130873;INF109KA1B16;-;ICICI Prudential Capital Protection Oriented Fund - Series VI - 1100 Days Plan G Dividend Option;12.3047;04-Sep-2017")</f>
        <v>130873;INF109KA1B16;-;ICICI Prudential Capital Protection Oriented Fund - Series VI - 1100 Days Plan G Dividend Option;12.3047;04-Sep-2017</v>
      </c>
      <c r="B11367" s="1"/>
    </row>
    <row r="11368">
      <c r="A11368" s="1" t="str">
        <f>IFERROR(__xludf.DUMMYFUNCTION("""COMPUTED_VALUE"""),"131176;INF109KA1Q01;-;ICICI Prudential Capital Protection Oriented Fund - Series VI - 1100 Days Plan H Cumulative Option;12.3715;21-Sep-2017")</f>
        <v>131176;INF109KA1Q01;-;ICICI Prudential Capital Protection Oriented Fund - Series VI - 1100 Days Plan H Cumulative Option;12.3715;21-Sep-2017</v>
      </c>
      <c r="B11368" s="1"/>
    </row>
    <row r="11369">
      <c r="A11369" s="1" t="str">
        <f>IFERROR(__xludf.DUMMYFUNCTION("""COMPUTED_VALUE"""),"131175;INF109KA1Q27;-;ICICI Prudential Capital Protection Oriented Fund - Series VI - 1100 Days Plan H Direct Plan Cumulative Option;12.8837;21-Sep-2017")</f>
        <v>131175;INF109KA1Q27;-;ICICI Prudential Capital Protection Oriented Fund - Series VI - 1100 Days Plan H Direct Plan Cumulative Option;12.8837;21-Sep-2017</v>
      </c>
      <c r="B11369" s="1"/>
    </row>
    <row r="11370">
      <c r="A11370" s="1" t="str">
        <f>IFERROR(__xludf.DUMMYFUNCTION("""COMPUTED_VALUE"""),"131177;INF109KA1Q35;-;ICICI Prudential Capital Protection Oriented Fund - Series VI - 1100 Days Plan H Direct Plan Dividend Option;12.8837;21-Sep-2017")</f>
        <v>131177;INF109KA1Q35;-;ICICI Prudential Capital Protection Oriented Fund - Series VI - 1100 Days Plan H Direct Plan Dividend Option;12.8837;21-Sep-2017</v>
      </c>
      <c r="B11370" s="1"/>
    </row>
    <row r="11371">
      <c r="A11371" s="1" t="str">
        <f>IFERROR(__xludf.DUMMYFUNCTION("""COMPUTED_VALUE"""),"131178;INF109KA1Q19;-;ICICI Prudential Capital Protection Oriented Fund - Series VI - 1100 Days Plan H Dividend Option;12.3715;21-Sep-2017")</f>
        <v>131178;INF109KA1Q19;-;ICICI Prudential Capital Protection Oriented Fund - Series VI - 1100 Days Plan H Dividend Option;12.3715;21-Sep-2017</v>
      </c>
      <c r="B11371" s="1"/>
    </row>
    <row r="11372">
      <c r="A11372" s="1" t="str">
        <f>IFERROR(__xludf.DUMMYFUNCTION("""COMPUTED_VALUE"""),"133218;INF109KA18M8;-;ICICI Prudential Capital Protection Oriented Fund - Series VII - 1284 Days Plan C Cumulative Option;12.373;05-Jul-2018")</f>
        <v>133218;INF109KA18M8;-;ICICI Prudential Capital Protection Oriented Fund - Series VII - 1284 Days Plan C Cumulative Option;12.373;05-Jul-2018</v>
      </c>
      <c r="B11372" s="1"/>
    </row>
    <row r="11373">
      <c r="A11373" s="1" t="str">
        <f>IFERROR(__xludf.DUMMYFUNCTION("""COMPUTED_VALUE"""),"133216;INF109KA10N3;-;ICICI Prudential Capital Protection Oriented Fund - Series VII - 1284 Days Plan C Direct Plan Cumulative Option;12.9201;05-Jul-2018")</f>
        <v>133216;INF109KA10N3;-;ICICI Prudential Capital Protection Oriented Fund - Series VII - 1284 Days Plan C Direct Plan Cumulative Option;12.9201;05-Jul-2018</v>
      </c>
      <c r="B11373" s="1"/>
    </row>
    <row r="11374">
      <c r="A11374" s="1" t="str">
        <f>IFERROR(__xludf.DUMMYFUNCTION("""COMPUTED_VALUE"""),"133217;INF109KA11N1;-;ICICI Prudential Capital Protection Oriented Fund - Series VII - 1284 Days Plan C Direct Plan Dividend Option;12.9201;05-Jul-2018")</f>
        <v>133217;INF109KA11N1;-;ICICI Prudential Capital Protection Oriented Fund - Series VII - 1284 Days Plan C Direct Plan Dividend Option;12.9201;05-Jul-2018</v>
      </c>
      <c r="B11374" s="1"/>
    </row>
    <row r="11375">
      <c r="A11375" s="1" t="str">
        <f>IFERROR(__xludf.DUMMYFUNCTION("""COMPUTED_VALUE"""),"133219;INF109KA19M6;-;ICICI Prudential Capital Protection Oriented Fund - Series VII - 1284 Days Plan C Dividend Option;12.373;05-Jul-2018")</f>
        <v>133219;INF109KA19M6;-;ICICI Prudential Capital Protection Oriented Fund - Series VII - 1284 Days Plan C Dividend Option;12.373;05-Jul-2018</v>
      </c>
      <c r="B11375" s="1"/>
    </row>
    <row r="11376">
      <c r="A11376" s="1" t="str">
        <f>IFERROR(__xludf.DUMMYFUNCTION("""COMPUTED_VALUE"""),"133382;INF109KA14P0;-;ICICI Prudential Capital Protection Oriented Fund - Series VII - 1284 Days Plan E Cumulative Option;12.0871;26-Jul-2018")</f>
        <v>133382;INF109KA14P0;-;ICICI Prudential Capital Protection Oriented Fund - Series VII - 1284 Days Plan E Cumulative Option;12.0871;26-Jul-2018</v>
      </c>
      <c r="B11376" s="1"/>
    </row>
    <row r="11377">
      <c r="A11377" s="1" t="str">
        <f>IFERROR(__xludf.DUMMYFUNCTION("""COMPUTED_VALUE"""),"133379;INF109KA16P5;-;ICICI Prudential Capital Protection Oriented Fund - Series VII - 1284 Days Plan E Direct Plan Cumulative Option;12.5409;26-Jul-2018")</f>
        <v>133379;INF109KA16P5;-;ICICI Prudential Capital Protection Oriented Fund - Series VII - 1284 Days Plan E Direct Plan Cumulative Option;12.5409;26-Jul-2018</v>
      </c>
      <c r="B11377" s="1"/>
    </row>
    <row r="11378">
      <c r="A11378" s="1" t="str">
        <f>IFERROR(__xludf.DUMMYFUNCTION("""COMPUTED_VALUE"""),"133380;INF109KA17P3;-;ICICI Prudential Capital Protection Oriented Fund - Series VII - 1284 Days Plan E Direct Plan Dividend Option;12.5409;26-Jul-2018")</f>
        <v>133380;INF109KA17P3;-;ICICI Prudential Capital Protection Oriented Fund - Series VII - 1284 Days Plan E Direct Plan Dividend Option;12.5409;26-Jul-2018</v>
      </c>
      <c r="B11378" s="1"/>
    </row>
    <row r="11379">
      <c r="A11379" s="1" t="str">
        <f>IFERROR(__xludf.DUMMYFUNCTION("""COMPUTED_VALUE"""),"133381;INF109KA15P7;-;ICICI Prudential Capital Protection Oriented Fund - Series VII - 1284 Days Plan E Dividend Option;12.0871;26-Jul-2018")</f>
        <v>133381;INF109KA15P7;-;ICICI Prudential Capital Protection Oriented Fund - Series VII - 1284 Days Plan E Dividend Option;12.0871;26-Jul-2018</v>
      </c>
      <c r="B11379" s="1"/>
    </row>
    <row r="11380">
      <c r="A11380" s="1" t="str">
        <f>IFERROR(__xludf.DUMMYFUNCTION("""COMPUTED_VALUE"""),"131455;INF109KA1W29;-;ICICI Prudential Capital Protection Oriented Fund - Series VII - 1285 Days Plan A Cumulative Option;12.9737;03-May-2018")</f>
        <v>131455;INF109KA1W29;-;ICICI Prudential Capital Protection Oriented Fund - Series VII - 1285 Days Plan A Cumulative Option;12.9737;03-May-2018</v>
      </c>
      <c r="B11380" s="1"/>
    </row>
    <row r="11381">
      <c r="A11381" s="1" t="str">
        <f>IFERROR(__xludf.DUMMYFUNCTION("""COMPUTED_VALUE"""),"131454;INF109KA1W45;-;ICICI Prudential Capital Protection Oriented Fund - Series VII - 1285 Days Plan A Direct Plan Cumulative Option;13.5048;03-May-2018")</f>
        <v>131454;INF109KA1W45;-;ICICI Prudential Capital Protection Oriented Fund - Series VII - 1285 Days Plan A Direct Plan Cumulative Option;13.5048;03-May-2018</v>
      </c>
      <c r="B11381" s="1"/>
    </row>
    <row r="11382">
      <c r="A11382" s="1" t="str">
        <f>IFERROR(__xludf.DUMMYFUNCTION("""COMPUTED_VALUE"""),"131457;INF109KA1W52;-;ICICI Prudential Capital Protection Oriented Fund - Series VII - 1285 Days Plan A Direct Plan Dividend Option;13.5048;03-May-2018")</f>
        <v>131457;INF109KA1W52;-;ICICI Prudential Capital Protection Oriented Fund - Series VII - 1285 Days Plan A Direct Plan Dividend Option;13.5048;03-May-2018</v>
      </c>
      <c r="B11382" s="1"/>
    </row>
    <row r="11383">
      <c r="A11383" s="1" t="str">
        <f>IFERROR(__xludf.DUMMYFUNCTION("""COMPUTED_VALUE"""),"131456;INF109KA1W37;-;ICICI Prudential Capital Protection Oriented Fund - Series VII - 1285 Days Plan A Dividend Option;12.9737;03-May-2018")</f>
        <v>131456;INF109KA1W37;-;ICICI Prudential Capital Protection Oriented Fund - Series VII - 1285 Days Plan A Dividend Option;12.9737;03-May-2018</v>
      </c>
      <c r="B11383" s="1"/>
    </row>
    <row r="11384">
      <c r="A11384" s="1" t="str">
        <f>IFERROR(__xludf.DUMMYFUNCTION("""COMPUTED_VALUE"""),"132877;INF109KA14E4;-;ICICI Prudential Capital Protection Oriented Fund - Series VII - 1285 Days Plan B Cumulative Option;12.8347;31-May-2018")</f>
        <v>132877;INF109KA14E4;-;ICICI Prudential Capital Protection Oriented Fund - Series VII - 1285 Days Plan B Cumulative Option;12.8347;31-May-2018</v>
      </c>
      <c r="B11384" s="1"/>
    </row>
    <row r="11385">
      <c r="A11385" s="1" t="str">
        <f>IFERROR(__xludf.DUMMYFUNCTION("""COMPUTED_VALUE"""),"132875;INF109KA16E9;-;ICICI Prudential Capital Protection Oriented Fund - Series VII - 1285 Days Plan B Direct Plan Cumulative Option;13.3986;31-May-2018")</f>
        <v>132875;INF109KA16E9;-;ICICI Prudential Capital Protection Oriented Fund - Series VII - 1285 Days Plan B Direct Plan Cumulative Option;13.3986;31-May-2018</v>
      </c>
      <c r="B11385" s="1"/>
    </row>
    <row r="11386">
      <c r="A11386" s="1" t="str">
        <f>IFERROR(__xludf.DUMMYFUNCTION("""COMPUTED_VALUE"""),"132876;INF109KA17E7;-;ICICI Prudential Capital Protection Oriented Fund - Series VII - 1285 Days Plan B Direct Plan Dividend Option;13.3986;31-May-2018")</f>
        <v>132876;INF109KA17E7;-;ICICI Prudential Capital Protection Oriented Fund - Series VII - 1285 Days Plan B Direct Plan Dividend Option;13.3986;31-May-2018</v>
      </c>
      <c r="B11386" s="1"/>
    </row>
    <row r="11387">
      <c r="A11387" s="1" t="str">
        <f>IFERROR(__xludf.DUMMYFUNCTION("""COMPUTED_VALUE"""),"132878;INF109KA15E1;-;ICICI Prudential Capital Protection Oriented Fund - Series VII - 1285 Days Plan B Dividend Option;12.8347;31-May-2018")</f>
        <v>132878;INF109KA15E1;-;ICICI Prudential Capital Protection Oriented Fund - Series VII - 1285 Days Plan B Dividend Option;12.8347;31-May-2018</v>
      </c>
      <c r="B11387" s="1"/>
    </row>
    <row r="11388">
      <c r="A11388" s="1" t="str">
        <f>IFERROR(__xludf.DUMMYFUNCTION("""COMPUTED_VALUE"""),"134717;INF109KB1GZ5;-;ICICI Prudential Capital Protection Oriented Fund - Series VIII -1101 Days Plan D Cumulative Option;11.8819;25-Jun-2018")</f>
        <v>134717;INF109KB1GZ5;-;ICICI Prudential Capital Protection Oriented Fund - Series VIII -1101 Days Plan D Cumulative Option;11.8819;25-Jun-2018</v>
      </c>
      <c r="B11388" s="1"/>
    </row>
    <row r="11389">
      <c r="A11389" s="1" t="str">
        <f>IFERROR(__xludf.DUMMYFUNCTION("""COMPUTED_VALUE"""),"134716;INF109KB1GX0;-;ICICI Prudential Capital Protection Oriented Fund - Series VIII -1101 Days Plan D Direct Plan Cumulative Option;12.3263;25-Jun-2018")</f>
        <v>134716;INF109KB1GX0;-;ICICI Prudential Capital Protection Oriented Fund - Series VIII -1101 Days Plan D Direct Plan Cumulative Option;12.3263;25-Jun-2018</v>
      </c>
      <c r="B11389" s="1"/>
    </row>
    <row r="11390">
      <c r="A11390" s="1" t="str">
        <f>IFERROR(__xludf.DUMMYFUNCTION("""COMPUTED_VALUE"""),"134718;INF109KB1GY8;-;ICICI Prudential Capital Protection Oriented Fund - Series VIII -1101 Days Plan D Direct Plan Dividend Option;12.3263;25-Jun-2018")</f>
        <v>134718;INF109KB1GY8;-;ICICI Prudential Capital Protection Oriented Fund - Series VIII -1101 Days Plan D Direct Plan Dividend Option;12.3263;25-Jun-2018</v>
      </c>
      <c r="B11390" s="1"/>
    </row>
    <row r="11391">
      <c r="A11391" s="1" t="str">
        <f>IFERROR(__xludf.DUMMYFUNCTION("""COMPUTED_VALUE"""),"134719;INF109KB1HA6;-;ICICI Prudential Capital Protection Oriented Fund - Series VIII -1101 Days Plan D Dividend Option;11.8819;25-Jun-2018")</f>
        <v>134719;INF109KB1HA6;-;ICICI Prudential Capital Protection Oriented Fund - Series VIII -1101 Days Plan D Dividend Option;11.8819;25-Jun-2018</v>
      </c>
      <c r="B11391" s="1"/>
    </row>
    <row r="11392">
      <c r="A11392" s="1" t="str">
        <f>IFERROR(__xludf.DUMMYFUNCTION("""COMPUTED_VALUE"""),"135108;INF109KB1KN3;-;ICICI Prudential Capital Protection Oriented Fund - Series VIII - 1101 Days Plan G Cumulative Option;11.8187;16-Aug-2018")</f>
        <v>135108;INF109KB1KN3;-;ICICI Prudential Capital Protection Oriented Fund - Series VIII - 1101 Days Plan G Cumulative Option;11.8187;16-Aug-2018</v>
      </c>
      <c r="B11392" s="1"/>
    </row>
    <row r="11393">
      <c r="A11393" s="1" t="str">
        <f>IFERROR(__xludf.DUMMYFUNCTION("""COMPUTED_VALUE"""),"135109;INF109KB1KP8;-;ICICI Prudential Capital Protection Oriented Fund - Series VIII - 1101 Days Plan G Direct Plan Cumulative Option;12.3975;16-Aug-2018")</f>
        <v>135109;INF109KB1KP8;-;ICICI Prudential Capital Protection Oriented Fund - Series VIII - 1101 Days Plan G Direct Plan Cumulative Option;12.3975;16-Aug-2018</v>
      </c>
      <c r="B11393" s="1"/>
    </row>
    <row r="11394">
      <c r="A11394" s="1" t="str">
        <f>IFERROR(__xludf.DUMMYFUNCTION("""COMPUTED_VALUE"""),"135110;INF109KB1KO1;-;ICICI Prudential Capital Protection Oriented Fund - Series VIII - 1101 Days Plan G Dividend Option;11.8187;16-Aug-2018")</f>
        <v>135110;INF109KB1KO1;-;ICICI Prudential Capital Protection Oriented Fund - Series VIII - 1101 Days Plan G Dividend Option;11.8187;16-Aug-2018</v>
      </c>
      <c r="B11394" s="1"/>
    </row>
    <row r="11395">
      <c r="A11395" s="1" t="str">
        <f>IFERROR(__xludf.DUMMYFUNCTION("""COMPUTED_VALUE"""),"134347;INF109KB1AT1;-;ICICI Prudential Capital Protection Oriented Fund - Series VIII - 1103 Days Plan B Cumulative Option;11.9800;02-May-2018")</f>
        <v>134347;INF109KB1AT1;-;ICICI Prudential Capital Protection Oriented Fund - Series VIII - 1103 Days Plan B Cumulative Option;11.9800;02-May-2018</v>
      </c>
      <c r="B11395" s="1"/>
    </row>
    <row r="11396">
      <c r="A11396" s="1" t="str">
        <f>IFERROR(__xludf.DUMMYFUNCTION("""COMPUTED_VALUE"""),"134348;INF109KB1AV7;-;ICICI Prudential Capital Protection Oriented Fund - Series VIII - 1103 Days Plan B Direct Plan Cumulative Option;12.4874;02-May-2018")</f>
        <v>134348;INF109KB1AV7;-;ICICI Prudential Capital Protection Oriented Fund - Series VIII - 1103 Days Plan B Direct Plan Cumulative Option;12.4874;02-May-2018</v>
      </c>
      <c r="B11396" s="1"/>
    </row>
    <row r="11397">
      <c r="A11397" s="1" t="str">
        <f>IFERROR(__xludf.DUMMYFUNCTION("""COMPUTED_VALUE"""),"134350;INF109KB1AW5;-;ICICI Prudential Capital Protection Oriented Fund - Series VIII - 1103 Days Plan B Direct Plan Dividend Option;12.4874;02-May-2018")</f>
        <v>134350;INF109KB1AW5;-;ICICI Prudential Capital Protection Oriented Fund - Series VIII - 1103 Days Plan B Direct Plan Dividend Option;12.4874;02-May-2018</v>
      </c>
      <c r="B11397" s="1"/>
    </row>
    <row r="11398">
      <c r="A11398" s="1" t="str">
        <f>IFERROR(__xludf.DUMMYFUNCTION("""COMPUTED_VALUE"""),"134349;INF109KB1AU9;-;ICICI Prudential Capital Protection Oriented Fund - Series VIII - 1103 Days Plan B Dividend Option;11.9800;02-May-2018")</f>
        <v>134349;INF109KB1AU9;-;ICICI Prudential Capital Protection Oriented Fund - Series VIII - 1103 Days Plan B Dividend Option;11.9800;02-May-2018</v>
      </c>
      <c r="B11398" s="1"/>
    </row>
    <row r="11399">
      <c r="A11399" s="1" t="str">
        <f>IFERROR(__xludf.DUMMYFUNCTION("""COMPUTED_VALUE"""),"134544;INF109KB1DB3;-;ICICI Prudential Capital Protection Oriented Fund - Series VIII - 1103 Days Plan C Cumulative Option;11.9788;21-May-2018")</f>
        <v>134544;INF109KB1DB3;-;ICICI Prudential Capital Protection Oriented Fund - Series VIII - 1103 Days Plan C Cumulative Option;11.9788;21-May-2018</v>
      </c>
      <c r="B11399" s="1"/>
    </row>
    <row r="11400">
      <c r="A11400" s="1" t="str">
        <f>IFERROR(__xludf.DUMMYFUNCTION("""COMPUTED_VALUE"""),"134541;INF109KB1DD9;-;ICICI Prudential Capital Protection Oriented Fund - Series VIII - 1103 Days Plan C Direct Plan Cumulative Option;12.4991;21-May-2018")</f>
        <v>134541;INF109KB1DD9;-;ICICI Prudential Capital Protection Oriented Fund - Series VIII - 1103 Days Plan C Direct Plan Cumulative Option;12.4991;21-May-2018</v>
      </c>
      <c r="B11400" s="1"/>
    </row>
    <row r="11401">
      <c r="A11401" s="1" t="str">
        <f>IFERROR(__xludf.DUMMYFUNCTION("""COMPUTED_VALUE"""),"134543;INF109KB1DE7;-;ICICI Prudential Capital Protection Oriented Fund - Series VIII - 1103 Days Plan C Direct Plan Dividend Option;12.4991;21-May-2018")</f>
        <v>134543;INF109KB1DE7;-;ICICI Prudential Capital Protection Oriented Fund - Series VIII - 1103 Days Plan C Direct Plan Dividend Option;12.4991;21-May-2018</v>
      </c>
      <c r="B11401" s="1"/>
    </row>
    <row r="11402">
      <c r="A11402" s="1" t="str">
        <f>IFERROR(__xludf.DUMMYFUNCTION("""COMPUTED_VALUE"""),"134542;INF109KB1DC1;-;ICICI Prudential Capital Protection Oriented Fund - Series VIII - 1103 Days Plan C Dividend Option;11.9788;21-May-2018")</f>
        <v>134542;INF109KB1DC1;-;ICICI Prudential Capital Protection Oriented Fund - Series VIII - 1103 Days Plan C Dividend Option;11.9788;21-May-2018</v>
      </c>
      <c r="B11402" s="1"/>
    </row>
    <row r="11403">
      <c r="A11403" s="1" t="str">
        <f>IFERROR(__xludf.DUMMYFUNCTION("""COMPUTED_VALUE"""),"134845;INF109KB1HZ3;-;ICICI Prudential Capital Protection Oriented Fund - Series VIII -1107 Days Plan E Cumulative Option;12.0358;20-Jul-2018")</f>
        <v>134845;INF109KB1HZ3;-;ICICI Prudential Capital Protection Oriented Fund - Series VIII -1107 Days Plan E Cumulative Option;12.0358;20-Jul-2018</v>
      </c>
      <c r="B11403" s="1"/>
    </row>
    <row r="11404">
      <c r="A11404" s="1" t="str">
        <f>IFERROR(__xludf.DUMMYFUNCTION("""COMPUTED_VALUE"""),"134844;INF109KB1IB2;-;ICICI Prudential Capital Protection Oriented Fund - Series VIII -1107 Days Plan E Direct Plan Cumulative Option;12.6391;20-Jul-2018")</f>
        <v>134844;INF109KB1IB2;-;ICICI Prudential Capital Protection Oriented Fund - Series VIII -1107 Days Plan E Direct Plan Cumulative Option;12.6391;20-Jul-2018</v>
      </c>
      <c r="B11404" s="1"/>
    </row>
    <row r="11405">
      <c r="A11405" s="1" t="str">
        <f>IFERROR(__xludf.DUMMYFUNCTION("""COMPUTED_VALUE"""),"134842;INF109KB1IC0;-;ICICI Prudential Capital Protection Oriented Fund - Series VIII -1107 Days Plan E Direct Plan Dividend Option;12.6391;20-Jul-2018")</f>
        <v>134842;INF109KB1IC0;-;ICICI Prudential Capital Protection Oriented Fund - Series VIII -1107 Days Plan E Direct Plan Dividend Option;12.6391;20-Jul-2018</v>
      </c>
      <c r="B11405" s="1"/>
    </row>
    <row r="11406">
      <c r="A11406" s="1" t="str">
        <f>IFERROR(__xludf.DUMMYFUNCTION("""COMPUTED_VALUE"""),"134843;INF109KB1IA4;-;ICICI Prudential Capital Protection Oriented Fund - Series VIII -1107 Days Plan E Dividend Option;12.0358;20-Jul-2018")</f>
        <v>134843;INF109KB1IA4;-;ICICI Prudential Capital Protection Oriented Fund - Series VIII -1107 Days Plan E Dividend Option;12.0358;20-Jul-2018</v>
      </c>
      <c r="B11406" s="1"/>
    </row>
    <row r="11407">
      <c r="A11407" s="1" t="str">
        <f>IFERROR(__xludf.DUMMYFUNCTION("""COMPUTED_VALUE"""),"134942;INF109KB1IX6;-;ICICI Prudential Capital Protection Oriented Fund - Series VIII - 1115 Days Plan F Cumulative Option;12.0153;16-Aug-2018")</f>
        <v>134942;INF109KB1IX6;-;ICICI Prudential Capital Protection Oriented Fund - Series VIII - 1115 Days Plan F Cumulative Option;12.0153;16-Aug-2018</v>
      </c>
      <c r="B11407" s="1"/>
    </row>
    <row r="11408">
      <c r="A11408" s="1" t="str">
        <f>IFERROR(__xludf.DUMMYFUNCTION("""COMPUTED_VALUE"""),"134945;INF109KB1IZ1;-;ICICI Prudential Capital Protection Oriented Fund - Series VIII - 1115 Days Plan F Direct Plan Cumulative Option;12.4129;16-Aug-2018")</f>
        <v>134945;INF109KB1IZ1;-;ICICI Prudential Capital Protection Oriented Fund - Series VIII - 1115 Days Plan F Direct Plan Cumulative Option;12.4129;16-Aug-2018</v>
      </c>
      <c r="B11408" s="1"/>
    </row>
    <row r="11409">
      <c r="A11409" s="1" t="str">
        <f>IFERROR(__xludf.DUMMYFUNCTION("""COMPUTED_VALUE"""),"134943;INF109KB1JA2;-;ICICI Prudential Capital Protection Oriented Fund - Series VIII - 1115 Days Plan F Direct Plan Dividend Option;12.4129;16-Aug-2018")</f>
        <v>134943;INF109KB1JA2;-;ICICI Prudential Capital Protection Oriented Fund - Series VIII - 1115 Days Plan F Direct Plan Dividend Option;12.4129;16-Aug-2018</v>
      </c>
      <c r="B11409" s="1"/>
    </row>
    <row r="11410">
      <c r="A11410" s="1" t="str">
        <f>IFERROR(__xludf.DUMMYFUNCTION("""COMPUTED_VALUE"""),"134944;INF109KB1IY4;-;ICICI Prudential Capital Protection Oriented Fund - Series VIII - 1115 Days Plan F Dividend Option;12.0153;16-Aug-2018")</f>
        <v>134944;INF109KB1IY4;-;ICICI Prudential Capital Protection Oriented Fund - Series VIII - 1115 Days Plan F Dividend Option;12.0153;16-Aug-2018</v>
      </c>
      <c r="B11410" s="1"/>
    </row>
    <row r="11411">
      <c r="A11411" s="1" t="str">
        <f>IFERROR(__xludf.DUMMYFUNCTION("""COMPUTED_VALUE"""),"139368;INF109KB1VP5;-;ICICI Prudential Capital Protection Oriented Fund - Series X - 1235 Days Plan A Cumulative Option;12.3950;25-Oct-2019")</f>
        <v>139368;INF109KB1VP5;-;ICICI Prudential Capital Protection Oriented Fund - Series X - 1235 Days Plan A Cumulative Option;12.3950;25-Oct-2019</v>
      </c>
      <c r="B11411" s="1"/>
    </row>
    <row r="11412">
      <c r="A11412" s="1" t="str">
        <f>IFERROR(__xludf.DUMMYFUNCTION("""COMPUTED_VALUE"""),"139371;INF109KB1VR1;-;ICICI Prudential Capital Protection Oriented Fund - Series X - 1235 Days Plan A Direct Plan Cumulative Option;12.9146;25-Oct-2019")</f>
        <v>139371;INF109KB1VR1;-;ICICI Prudential Capital Protection Oriented Fund - Series X - 1235 Days Plan A Direct Plan Cumulative Option;12.9146;25-Oct-2019</v>
      </c>
      <c r="B11412" s="1"/>
    </row>
    <row r="11413">
      <c r="A11413" s="1" t="str">
        <f>IFERROR(__xludf.DUMMYFUNCTION("""COMPUTED_VALUE"""),"139370;INF109KB1VS9;-;ICICI Prudential Capital Protection Oriented Fund - Series X - 1235 Days Plan A Direct Plan Dividend Option;12.9146;25-Oct-2019")</f>
        <v>139370;INF109KB1VS9;-;ICICI Prudential Capital Protection Oriented Fund - Series X - 1235 Days Plan A Direct Plan Dividend Option;12.9146;25-Oct-2019</v>
      </c>
      <c r="B11413" s="1"/>
    </row>
    <row r="11414">
      <c r="A11414" s="1" t="str">
        <f>IFERROR(__xludf.DUMMYFUNCTION("""COMPUTED_VALUE"""),"139369;INF109KB1VQ3;-;ICICI Prudential Capital Protection Oriented Fund - Series X - 1235 Days Plan A Dividend Option;12.3950;25-Oct-2019")</f>
        <v>139369;INF109KB1VQ3;-;ICICI Prudential Capital Protection Oriented Fund - Series X - 1235 Days Plan A Dividend Option;12.3950;25-Oct-2019</v>
      </c>
      <c r="B11414" s="1"/>
    </row>
    <row r="11415">
      <c r="A11415" s="1" t="str">
        <f>IFERROR(__xludf.DUMMYFUNCTION("""COMPUTED_VALUE"""),"139470;INF109KB1WZ2;-;ICICI Prudential Capital Protection Oriented Fund - Series X - 1375 Days Plan B Cumulative Plan;12.0112;15-Apr-2020")</f>
        <v>139470;INF109KB1WZ2;-;ICICI Prudential Capital Protection Oriented Fund - Series X - 1375 Days Plan B Cumulative Plan;12.0112;15-Apr-2020</v>
      </c>
      <c r="B11415" s="1"/>
    </row>
    <row r="11416">
      <c r="A11416" s="1" t="str">
        <f>IFERROR(__xludf.DUMMYFUNCTION("""COMPUTED_VALUE"""),"139471;INF109KB1XB1;-;ICICI Prudential Capital Protection Oriented Fund - Series X - 1375 Days Plan B Direct Plan Cumulative Plan;12.5474;15-Apr-2020")</f>
        <v>139471;INF109KB1XB1;-;ICICI Prudential Capital Protection Oriented Fund - Series X - 1375 Days Plan B Direct Plan Cumulative Plan;12.5474;15-Apr-2020</v>
      </c>
      <c r="B11416" s="1"/>
    </row>
    <row r="11417">
      <c r="A11417" s="1" t="str">
        <f>IFERROR(__xludf.DUMMYFUNCTION("""COMPUTED_VALUE"""),"139473;INF109KB1XC9;-;ICICI Prudential Capital Protection Oriented Fund - Series X - 1375 Days Plan B Direct Plan Dividend Option;12.4908;15-Apr-2020")</f>
        <v>139473;INF109KB1XC9;-;ICICI Prudential Capital Protection Oriented Fund - Series X - 1375 Days Plan B Direct Plan Dividend Option;12.4908;15-Apr-2020</v>
      </c>
      <c r="B11417" s="1"/>
    </row>
    <row r="11418">
      <c r="A11418" s="1" t="str">
        <f>IFERROR(__xludf.DUMMYFUNCTION("""COMPUTED_VALUE"""),"139472;INF109KB1XA3;-;ICICI Prudential Capital Protection Oriented Fund - Series X - 1375 Days Plan B Dividend Plan;11.9561;15-Apr-2020")</f>
        <v>139472;INF109KB1XA3;-;ICICI Prudential Capital Protection Oriented Fund - Series X - 1375 Days Plan B Dividend Plan;11.9561;15-Apr-2020</v>
      </c>
      <c r="B11418" s="1"/>
    </row>
    <row r="11419">
      <c r="A11419" s="1" t="str">
        <f>IFERROR(__xludf.DUMMYFUNCTION("""COMPUTED_VALUE"""),"140143;INF109KB1K88;-;ICICI Prudential Capital Protection Oriented Fund - Series XI - Plan A 2056 Days - Cumulative Option;15.0207;01-Aug-2022")</f>
        <v>140143;INF109KB1K88;-;ICICI Prudential Capital Protection Oriented Fund - Series XI - Plan A 2056 Days - Cumulative Option;15.0207;01-Aug-2022</v>
      </c>
      <c r="B11419" s="1"/>
    </row>
    <row r="11420">
      <c r="A11420" s="1" t="str">
        <f>IFERROR(__xludf.DUMMYFUNCTION("""COMPUTED_VALUE"""),"140142;INF109KB1L04;-;ICICI Prudential Capital Protection Oriented Fund - Series XI - Plan A 2056 Days - Direct Plan - Cumulative Option;15.7703;01-Aug-2022")</f>
        <v>140142;INF109KB1L04;-;ICICI Prudential Capital Protection Oriented Fund - Series XI - Plan A 2056 Days - Direct Plan - Cumulative Option;15.7703;01-Aug-2022</v>
      </c>
      <c r="B11420" s="1"/>
    </row>
    <row r="11421">
      <c r="A11421" s="1" t="str">
        <f>IFERROR(__xludf.DUMMYFUNCTION("""COMPUTED_VALUE"""),"140141;INF109KB1L12;-;ICICI Prudential Capital Protection Oriented Fund - Series XI - Plan A 2056 Days - Direct Plan - IDCW Option;15.7703;01-Aug-2022")</f>
        <v>140141;INF109KB1L12;-;ICICI Prudential Capital Protection Oriented Fund - Series XI - Plan A 2056 Days - Direct Plan - IDCW Option;15.7703;01-Aug-2022</v>
      </c>
      <c r="B11421" s="1"/>
    </row>
    <row r="11422">
      <c r="A11422" s="1" t="str">
        <f>IFERROR(__xludf.DUMMYFUNCTION("""COMPUTED_VALUE"""),"140140;INF109KB1K96;-;ICICI Prudential Capital Protection Oriented Fund - Series XI - Plan A 2056 Days - IDCW Option;15.0207;01-Aug-2022")</f>
        <v>140140;INF109KB1K96;-;ICICI Prudential Capital Protection Oriented Fund - Series XI - Plan A 2056 Days - IDCW Option;15.0207;01-Aug-2022</v>
      </c>
      <c r="B11422" s="1"/>
    </row>
    <row r="11423">
      <c r="A11423" s="1" t="str">
        <f>IFERROR(__xludf.DUMMYFUNCTION("""COMPUTED_VALUE"""),"140363;INF109KB1L46;-;ICICI Prudential Capital Protection Oriented Fund - Series XI - Plan B 1222 Days - Cumulative Option;11.8841;27-Apr-2020")</f>
        <v>140363;INF109KB1L46;-;ICICI Prudential Capital Protection Oriented Fund - Series XI - Plan B 1222 Days - Cumulative Option;11.8841;27-Apr-2020</v>
      </c>
      <c r="B11423" s="1"/>
    </row>
    <row r="11424">
      <c r="A11424" s="1" t="str">
        <f>IFERROR(__xludf.DUMMYFUNCTION("""COMPUTED_VALUE"""),"140366;INF109KB1L61;-;ICICI Prudential Capital Protection Oriented Fund - Series XI - Plan B 1222 Days - Direct Plan - Cumulative Option;12.2923;27-Apr-2020")</f>
        <v>140366;INF109KB1L61;-;ICICI Prudential Capital Protection Oriented Fund - Series XI - Plan B 1222 Days - Direct Plan - Cumulative Option;12.2923;27-Apr-2020</v>
      </c>
      <c r="B11424" s="1"/>
    </row>
    <row r="11425">
      <c r="A11425" s="1" t="str">
        <f>IFERROR(__xludf.DUMMYFUNCTION("""COMPUTED_VALUE"""),"140365;INF109KB1L79;-;ICICI Prudential Capital Protection Oriented Fund - Series XI - Plan B 1222 Days - Direct Plan - Dividend Option;12.2923;27-Apr-2020")</f>
        <v>140365;INF109KB1L79;-;ICICI Prudential Capital Protection Oriented Fund - Series XI - Plan B 1222 Days - Direct Plan - Dividend Option;12.2923;27-Apr-2020</v>
      </c>
      <c r="B11425" s="1"/>
    </row>
    <row r="11426">
      <c r="A11426" s="1" t="str">
        <f>IFERROR(__xludf.DUMMYFUNCTION("""COMPUTED_VALUE"""),"140364;INF109KB1L53;-;ICICI Prudential Capital Protection Oriented Fund - Series XI - Plan B 1222 Days - Dividend Option;11.8841;27-Apr-2020")</f>
        <v>140364;INF109KB1L53;-;ICICI Prudential Capital Protection Oriented Fund - Series XI - Plan B 1222 Days - Dividend Option;11.8841;27-Apr-2020</v>
      </c>
      <c r="B11426" s="1"/>
    </row>
    <row r="11427">
      <c r="A11427" s="1" t="str">
        <f>IFERROR(__xludf.DUMMYFUNCTION("""COMPUTED_VALUE"""),"140645;INF109KB1Q25;-;ICICI Prudential Capital Protection Oriented Fund - Series XI - Plan C 1255 Days - Cumulative Option;11.8087;06-Aug-2020")</f>
        <v>140645;INF109KB1Q25;-;ICICI Prudential Capital Protection Oriented Fund - Series XI - Plan C 1255 Days - Cumulative Option;11.8087;06-Aug-2020</v>
      </c>
      <c r="B11427" s="1"/>
    </row>
    <row r="11428">
      <c r="A11428" s="1" t="str">
        <f>IFERROR(__xludf.DUMMYFUNCTION("""COMPUTED_VALUE"""),"140646;INF109KB1Q41;-;ICICI Prudential Capital Protection Oriented Fund - Series XI - Plan C 1255 Days - Direct Plan - Cumulative Option;12.1929;06-Aug-2020")</f>
        <v>140646;INF109KB1Q41;-;ICICI Prudential Capital Protection Oriented Fund - Series XI - Plan C 1255 Days - Direct Plan - Cumulative Option;12.1929;06-Aug-2020</v>
      </c>
      <c r="B11428" s="1"/>
    </row>
    <row r="11429">
      <c r="A11429" s="1" t="str">
        <f>IFERROR(__xludf.DUMMYFUNCTION("""COMPUTED_VALUE"""),"140648;INF109KB1Q58;-;ICICI Prudential Capital Protection Oriented Fund - Series XI - Plan C 1255 Days - Direct Plan - Dividend Option;12.1929;06-Aug-2020")</f>
        <v>140648;INF109KB1Q58;-;ICICI Prudential Capital Protection Oriented Fund - Series XI - Plan C 1255 Days - Direct Plan - Dividend Option;12.1929;06-Aug-2020</v>
      </c>
      <c r="B11429" s="1"/>
    </row>
    <row r="11430">
      <c r="A11430" s="1" t="str">
        <f>IFERROR(__xludf.DUMMYFUNCTION("""COMPUTED_VALUE"""),"140647;INF109KB1Q33;-;ICICI Prudential Capital Protection Oriented Fund - Series XI - Plan C 1255 Days - Dividend Option;11.8087;06-Aug-2020")</f>
        <v>140647;INF109KB1Q33;-;ICICI Prudential Capital Protection Oriented Fund - Series XI - Plan C 1255 Days - Dividend Option;11.8087;06-Aug-2020</v>
      </c>
      <c r="B11430" s="1"/>
    </row>
    <row r="11431">
      <c r="A11431" s="1" t="str">
        <f>IFERROR(__xludf.DUMMYFUNCTION("""COMPUTED_VALUE"""),"140649;INF109KB1R08;-;ICICI Prudential Capital Protection Oriented Fund - Series XI - Plan D 1247 Days - Cumulative Option;11.7022;05-Aug-2020")</f>
        <v>140649;INF109KB1R08;-;ICICI Prudential Capital Protection Oriented Fund - Series XI - Plan D 1247 Days - Cumulative Option;11.7022;05-Aug-2020</v>
      </c>
      <c r="B11431" s="1"/>
    </row>
    <row r="11432">
      <c r="A11432" s="1" t="str">
        <f>IFERROR(__xludf.DUMMYFUNCTION("""COMPUTED_VALUE"""),"140650;INF109KB1R24;-;ICICI Prudential Capital Protection Oriented Fund - Series XI - Plan D 1247 Days - Direct Plan -  Cumulative Option;12.0545;05-Aug-2020")</f>
        <v>140650;INF109KB1R24;-;ICICI Prudential Capital Protection Oriented Fund - Series XI - Plan D 1247 Days - Direct Plan -  Cumulative Option;12.0545;05-Aug-2020</v>
      </c>
      <c r="B11432" s="1"/>
    </row>
    <row r="11433">
      <c r="A11433" s="1" t="str">
        <f>IFERROR(__xludf.DUMMYFUNCTION("""COMPUTED_VALUE"""),"140652;INF109KB1R32;-;ICICI Prudential Capital Protection Oriented Fund - Series XI - Plan D 1247 Days - Direct Plan -  Dividend Option;12.0545;05-Aug-2020")</f>
        <v>140652;INF109KB1R32;-;ICICI Prudential Capital Protection Oriented Fund - Series XI - Plan D 1247 Days - Direct Plan -  Dividend Option;12.0545;05-Aug-2020</v>
      </c>
      <c r="B11433" s="1"/>
    </row>
    <row r="11434">
      <c r="A11434" s="1" t="str">
        <f>IFERROR(__xludf.DUMMYFUNCTION("""COMPUTED_VALUE"""),"140651;INF109KB1R16;-;ICICI Prudential Capital Protection Oriented Fund - Series XI - Plan D 1247 Days - Dividend Option;11.7022;05-Aug-2020")</f>
        <v>140651;INF109KB1R16;-;ICICI Prudential Capital Protection Oriented Fund - Series XI - Plan D 1247 Days - Dividend Option;11.7022;05-Aug-2020</v>
      </c>
      <c r="B11434" s="1"/>
    </row>
    <row r="11435">
      <c r="A11435" s="1" t="str">
        <f>IFERROR(__xludf.DUMMYFUNCTION("""COMPUTED_VALUE"""),"140978;INF109KB1W27;-;ICICI Prudential Capital Protection Oriented Fund - Series XI - Plan E 1222 Days - Cumulative Option;11.7413;03-Aug-2020")</f>
        <v>140978;INF109KB1W27;-;ICICI Prudential Capital Protection Oriented Fund - Series XI - Plan E 1222 Days - Cumulative Option;11.7413;03-Aug-2020</v>
      </c>
      <c r="B11435" s="1"/>
    </row>
    <row r="11436">
      <c r="A11436" s="1" t="str">
        <f>IFERROR(__xludf.DUMMYFUNCTION("""COMPUTED_VALUE"""),"140981;INF109KB1W43;-;ICICI Prudential Capital Protection Oriented Fund - Series XI - Plan E 1222 Days - Direct Plan -  Cumulative Option;12.1225;03-Aug-2020")</f>
        <v>140981;INF109KB1W43;-;ICICI Prudential Capital Protection Oriented Fund - Series XI - Plan E 1222 Days - Direct Plan -  Cumulative Option;12.1225;03-Aug-2020</v>
      </c>
      <c r="B11436" s="1"/>
    </row>
    <row r="11437">
      <c r="A11437" s="1" t="str">
        <f>IFERROR(__xludf.DUMMYFUNCTION("""COMPUTED_VALUE"""),"140979;INF109KB1W50;-;ICICI Prudential Capital Protection Oriented Fund - Series XI - Plan E 1222 Days - Direct Plan -  Dividend Option;12.1225;03-Aug-2020")</f>
        <v>140979;INF109KB1W50;-;ICICI Prudential Capital Protection Oriented Fund - Series XI - Plan E 1222 Days - Direct Plan -  Dividend Option;12.1225;03-Aug-2020</v>
      </c>
      <c r="B11437" s="1"/>
    </row>
    <row r="11438">
      <c r="A11438" s="1" t="str">
        <f>IFERROR(__xludf.DUMMYFUNCTION("""COMPUTED_VALUE"""),"140980;INF109KB1W35;-;ICICI Prudential Capital Protection Oriented Fund - Series XI - Plan E 1222 Days - Dividend Option;11.7413;03-Aug-2020")</f>
        <v>140980;INF109KB1W35;-;ICICI Prudential Capital Protection Oriented Fund - Series XI - Plan E 1222 Days - Dividend Option;11.7413;03-Aug-2020</v>
      </c>
      <c r="B11438" s="1"/>
    </row>
    <row r="11439">
      <c r="A11439" s="1" t="str">
        <f>IFERROR(__xludf.DUMMYFUNCTION("""COMPUTED_VALUE"""),"141379;INF109KB12H9;-;ICICI Prudential Capital Protection Oriented Fund - Series XII - Plan A 1168 Days - Cumulative Option;11.8606;05-Aug-2020")</f>
        <v>141379;INF109KB12H9;-;ICICI Prudential Capital Protection Oriented Fund - Series XII - Plan A 1168 Days - Cumulative Option;11.8606;05-Aug-2020</v>
      </c>
      <c r="B11439" s="1"/>
    </row>
    <row r="11440">
      <c r="A11440" s="1" t="str">
        <f>IFERROR(__xludf.DUMMYFUNCTION("""COMPUTED_VALUE"""),"141378;INF109KB14H5;-;ICICI Prudential Capital Protection Oriented Fund - Series XII - Plan A 1168 Days - Direct Plan - Cumulative Option;12.2396;05-Aug-2020")</f>
        <v>141378;INF109KB14H5;-;ICICI Prudential Capital Protection Oriented Fund - Series XII - Plan A 1168 Days - Direct Plan - Cumulative Option;12.2396;05-Aug-2020</v>
      </c>
      <c r="B11440" s="1"/>
    </row>
    <row r="11441">
      <c r="A11441" s="1" t="str">
        <f>IFERROR(__xludf.DUMMYFUNCTION("""COMPUTED_VALUE"""),"141377;INF109KB15H2;-;ICICI Prudential Capital Protection Oriented Fund - Series XII - Plan A 1168 Days - Direct Plan - Dividend Option;12.2396;05-Aug-2020")</f>
        <v>141377;INF109KB15H2;-;ICICI Prudential Capital Protection Oriented Fund - Series XII - Plan A 1168 Days - Direct Plan - Dividend Option;12.2396;05-Aug-2020</v>
      </c>
      <c r="B11441" s="1"/>
    </row>
    <row r="11442">
      <c r="A11442" s="1" t="str">
        <f>IFERROR(__xludf.DUMMYFUNCTION("""COMPUTED_VALUE"""),"141376;INF109KB13H7;-;ICICI Prudential Capital Protection Oriented Fund - Series XII - Plan A 1168 Days - Dividend Option;11.8606;05-Aug-2020")</f>
        <v>141376;INF109KB13H7;-;ICICI Prudential Capital Protection Oriented Fund - Series XII - Plan A 1168 Days - Dividend Option;11.8606;05-Aug-2020</v>
      </c>
      <c r="B11442" s="1"/>
    </row>
    <row r="11443">
      <c r="A11443" s="1" t="str">
        <f>IFERROR(__xludf.DUMMYFUNCTION("""COMPUTED_VALUE"""),"141858;INF109KB15X9;-;ICICI Prudential Capital Protection Oriented Fund - Series XII - Plan C 1270 Days - Cumulative Option;12.2951;05-Apr-2021")</f>
        <v>141858;INF109KB15X9;-;ICICI Prudential Capital Protection Oriented Fund - Series XII - Plan C 1270 Days - Cumulative Option;12.2951;05-Apr-2021</v>
      </c>
      <c r="B11443" s="1"/>
    </row>
    <row r="11444">
      <c r="A11444" s="1" t="str">
        <f>IFERROR(__xludf.DUMMYFUNCTION("""COMPUTED_VALUE"""),"141859;INF109KB13X4;-;ICICI Prudential Capital Protection Oriented Fund - Series XII - Plan C 1270 Days - Direct Plan - Cumulative Option;12.6364;05-Apr-2021")</f>
        <v>141859;INF109KB13X4;-;ICICI Prudential Capital Protection Oriented Fund - Series XII - Plan C 1270 Days - Direct Plan - Cumulative Option;12.6364;05-Apr-2021</v>
      </c>
      <c r="B11444" s="1"/>
    </row>
    <row r="11445">
      <c r="A11445" s="1" t="str">
        <f>IFERROR(__xludf.DUMMYFUNCTION("""COMPUTED_VALUE"""),"141860;INF109KB14X2;-;ICICI Prudential Capital Protection Oriented Fund - Series XII - Plan C 1270 Days - Direct Plan - IDCW Option;12.6364;05-Apr-2021")</f>
        <v>141860;INF109KB14X2;-;ICICI Prudential Capital Protection Oriented Fund - Series XII - Plan C 1270 Days - Direct Plan - IDCW Option;12.6364;05-Apr-2021</v>
      </c>
      <c r="B11445" s="1"/>
    </row>
    <row r="11446">
      <c r="A11446" s="1" t="str">
        <f>IFERROR(__xludf.DUMMYFUNCTION("""COMPUTED_VALUE"""),"141857;INF109KB16X7;-;ICICI Prudential Capital Protection Oriented Fund - Series XII - Plan C 1270 Days - IDCW OPtion;12.2951;05-Apr-2021")</f>
        <v>141857;INF109KB16X7;-;ICICI Prudential Capital Protection Oriented Fund - Series XII - Plan C 1270 Days - IDCW OPtion;12.2951;05-Apr-2021</v>
      </c>
      <c r="B11446" s="1"/>
    </row>
    <row r="11447">
      <c r="A11447" s="1" t="str">
        <f>IFERROR(__xludf.DUMMYFUNCTION("""COMPUTED_VALUE"""),"145521;INF109KC1PC4;-;ICICI Prudential Capital Protection Oriented Fund - Series XIV - Plan A 1275 Days - Cumulative Option;13.4277;31-May-2022")</f>
        <v>145521;INF109KC1PC4;-;ICICI Prudential Capital Protection Oriented Fund - Series XIV - Plan A 1275 Days - Cumulative Option;13.4277;31-May-2022</v>
      </c>
      <c r="B11447" s="1"/>
    </row>
    <row r="11448">
      <c r="A11448" s="1" t="str">
        <f>IFERROR(__xludf.DUMMYFUNCTION("""COMPUTED_VALUE"""),"145522;INF109KC1PE0;-;ICICI Prudential Capital Protection Oriented Fund - Series XIV - Plan A 1275 Days - Direct Plan - Cumulative Option;13.5956;31-May-2022")</f>
        <v>145522;INF109KC1PE0;-;ICICI Prudential Capital Protection Oriented Fund - Series XIV - Plan A 1275 Days - Direct Plan - Cumulative Option;13.5956;31-May-2022</v>
      </c>
      <c r="B11448" s="1"/>
    </row>
    <row r="11449">
      <c r="A11449" s="1" t="str">
        <f>IFERROR(__xludf.DUMMYFUNCTION("""COMPUTED_VALUE"""),"145523;INF109KC1PF7;-;ICICI Prudential Capital Protection Oriented Fund - Series XIV - Plan A 1275 Days - Direct Plan - IDCW Option;13.5956;31-May-2022")</f>
        <v>145523;INF109KC1PF7;-;ICICI Prudential Capital Protection Oriented Fund - Series XIV - Plan A 1275 Days - Direct Plan - IDCW Option;13.5956;31-May-2022</v>
      </c>
      <c r="B11449" s="1"/>
    </row>
    <row r="11450">
      <c r="A11450" s="1" t="str">
        <f>IFERROR(__xludf.DUMMYFUNCTION("""COMPUTED_VALUE"""),"145524;INF109KC1PD2;-;ICICI Prudential Capital Protection Oriented Fund - Series XIV - Plan A 1275 Days - IDCW Option;13.4277;31-May-2022")</f>
        <v>145524;INF109KC1PD2;-;ICICI Prudential Capital Protection Oriented Fund - Series XIV - Plan A 1275 Days - IDCW Option;13.4277;31-May-2022</v>
      </c>
      <c r="B11450" s="1"/>
    </row>
    <row r="11451">
      <c r="A11451" s="1" t="str">
        <f>IFERROR(__xludf.DUMMYFUNCTION("""COMPUTED_VALUE"""),"117350;INF109K01C78;-;ICICI Prudential Capital Protection Oriented Fund II - Series IX - 36 Months - Cumulative;14.4721;02-Jun-2015")</f>
        <v>117350;INF109K01C78;-;ICICI Prudential Capital Protection Oriented Fund II - Series IX - 36 Months - Cumulative;14.4721;02-Jun-2015</v>
      </c>
      <c r="B11451" s="1"/>
    </row>
    <row r="11452">
      <c r="A11452" s="1" t="str">
        <f>IFERROR(__xludf.DUMMYFUNCTION("""COMPUTED_VALUE"""),"117351;INF109K01C86;-;ICICI Prudential Capital Protection Oriented Fund II - Series IX - 36 Months - Dividend;14.4721;02-Jun-2015")</f>
        <v>117351;INF109K01C86;-;ICICI Prudential Capital Protection Oriented Fund II - Series IX - 36 Months - Dividend;14.4721;02-Jun-2015</v>
      </c>
      <c r="B11452" s="1"/>
    </row>
    <row r="11453">
      <c r="A11453" s="1" t="str">
        <f>IFERROR(__xludf.DUMMYFUNCTION("""COMPUTED_VALUE"""),"117471;INF109K01D77;-;ICICI Prudential Capital Protection Oriented Fund II - Series X - 36 Months - Cumulative;13.8439;30-Jun-2015")</f>
        <v>117471;INF109K01D77;-;ICICI Prudential Capital Protection Oriented Fund II - Series X - 36 Months - Cumulative;13.8439;30-Jun-2015</v>
      </c>
      <c r="B11453" s="1"/>
    </row>
    <row r="11454">
      <c r="A11454" s="1" t="str">
        <f>IFERROR(__xludf.DUMMYFUNCTION("""COMPUTED_VALUE"""),"117472;INF109K01D85;-;ICICI Prudential Capital Protection Oriented Fund II - Series X - 36 Months - Dividend;13.8439;30-Jun-2015")</f>
        <v>117472;INF109K01D85;-;ICICI Prudential Capital Protection Oriented Fund II - Series X - 36 Months - Dividend;13.8439;30-Jun-2015</v>
      </c>
      <c r="B11454" s="1"/>
    </row>
    <row r="11455">
      <c r="A11455" s="1" t="str">
        <f>IFERROR(__xludf.DUMMYFUNCTION("""COMPUTED_VALUE"""),"118003;INF109K01G66;-;ICICI Prudential Capital Protection Oriented Fund III - PLAN A - 36 Months - Cumulative;13.2790;11-Dec-2015")</f>
        <v>118003;INF109K01G66;-;ICICI Prudential Capital Protection Oriented Fund III - PLAN A - 36 Months - Cumulative;13.2790;11-Dec-2015</v>
      </c>
      <c r="B11455" s="1"/>
    </row>
    <row r="11456">
      <c r="A11456" s="1" t="str">
        <f>IFERROR(__xludf.DUMMYFUNCTION("""COMPUTED_VALUE"""),"118004;INF109K01G74;-;ICICI Prudential Capital Protection Oriented Fund III - PLAN A - 36 Months - Dividend;13.2790;11-Dec-2015")</f>
        <v>118004;INF109K01G74;-;ICICI Prudential Capital Protection Oriented Fund III - PLAN A - 36 Months - Dividend;13.2790;11-Dec-2015</v>
      </c>
      <c r="B11456" s="1"/>
    </row>
    <row r="11457">
      <c r="A11457" s="1" t="str">
        <f>IFERROR(__xludf.DUMMYFUNCTION("""COMPUTED_VALUE"""),"118007;INF109K01G41;-;ICICI Prudential Capital Protection Oriented Fund III - PLAN B - 60 Months - Cumulative;16.5680;11-Dec-2017")</f>
        <v>118007;INF109K01G41;-;ICICI Prudential Capital Protection Oriented Fund III - PLAN B - 60 Months - Cumulative;16.5680;11-Dec-2017</v>
      </c>
      <c r="B11457" s="1"/>
    </row>
    <row r="11458">
      <c r="A11458" s="1" t="str">
        <f>IFERROR(__xludf.DUMMYFUNCTION("""COMPUTED_VALUE"""),"118008;INF109K01G58;-;ICICI Prudential Capital Protection Oriented Fund III - PLAN B - 60 Months - Dividend;16.5680;11-Dec-2017")</f>
        <v>118008;INF109K01G58;-;ICICI Prudential Capital Protection Oriented Fund III - PLAN B - 60 Months - Dividend;16.5680;11-Dec-2017</v>
      </c>
      <c r="B11458" s="1"/>
    </row>
    <row r="11459">
      <c r="A11459" s="1" t="str">
        <f>IFERROR(__xludf.DUMMYFUNCTION("""COMPUTED_VALUE"""),"118226;INF109K01H24;-;ICICI Prudential Capital Protection Oriented Fund III - PLAN C - 36 Months - Cumulative;13.0113;04-Jan-2016")</f>
        <v>118226;INF109K01H24;-;ICICI Prudential Capital Protection Oriented Fund III - PLAN C - 36 Months - Cumulative;13.0113;04-Jan-2016</v>
      </c>
      <c r="B11459" s="1"/>
    </row>
    <row r="11460">
      <c r="A11460" s="1" t="str">
        <f>IFERROR(__xludf.DUMMYFUNCTION("""COMPUTED_VALUE"""),"118227;INF109K01H32;-;ICICI Prudential Capital Protection Oriented Fund III - PLAN C - 36 Months - Dividend;13.0113;04-Jan-2016")</f>
        <v>118227;INF109K01H32;-;ICICI Prudential Capital Protection Oriented Fund III - PLAN C - 36 Months - Dividend;13.0113;04-Jan-2016</v>
      </c>
      <c r="B11460" s="1"/>
    </row>
    <row r="11461">
      <c r="A11461" s="1" t="str">
        <f>IFERROR(__xludf.DUMMYFUNCTION("""COMPUTED_VALUE"""),"118898;INF109K01I80;-;ICICI Prudential Capital Protection Oriented Fund III - PLAN D - 36 Months - Cumulative;12.9111;01-Feb-2016")</f>
        <v>118898;INF109K01I80;-;ICICI Prudential Capital Protection Oriented Fund III - PLAN D - 36 Months - Cumulative;12.9111;01-Feb-2016</v>
      </c>
      <c r="B11461" s="1"/>
    </row>
    <row r="11462">
      <c r="A11462" s="1" t="str">
        <f>IFERROR(__xludf.DUMMYFUNCTION("""COMPUTED_VALUE"""),"118900;INF109K01I98;-;ICICI Prudential Capital Protection Oriented Fund III - PLAN D - 36 Months - Direct Plan - Cumulative;13.3938;01-Feb-2016")</f>
        <v>118900;INF109K01I98;-;ICICI Prudential Capital Protection Oriented Fund III - PLAN D - 36 Months - Direct Plan - Cumulative;13.3938;01-Feb-2016</v>
      </c>
      <c r="B11462" s="1"/>
    </row>
    <row r="11463">
      <c r="A11463" s="1" t="str">
        <f>IFERROR(__xludf.DUMMYFUNCTION("""COMPUTED_VALUE"""),"118897;INF109K01J14;-;ICICI Prudential Capital Protection Oriented Fund III - PLAN D - 36 Months - Direct Plan - Dividend;13.3938;01-Feb-2016")</f>
        <v>118897;INF109K01J14;-;ICICI Prudential Capital Protection Oriented Fund III - PLAN D - 36 Months - Direct Plan - Dividend;13.3938;01-Feb-2016</v>
      </c>
      <c r="B11463" s="1"/>
    </row>
    <row r="11464">
      <c r="A11464" s="1" t="str">
        <f>IFERROR(__xludf.DUMMYFUNCTION("""COMPUTED_VALUE"""),"118899;INF109K01J06;-;ICICI Prudential Capital Protection Oriented Fund III - PLAN D - 36 Months - Dividend;12.9111;01-Feb-2016")</f>
        <v>118899;INF109K01J06;-;ICICI Prudential Capital Protection Oriented Fund III - PLAN D - 36 Months - Dividend;12.9111;01-Feb-2016</v>
      </c>
      <c r="B11464" s="1"/>
    </row>
    <row r="11465">
      <c r="A11465" s="1" t="str">
        <f>IFERROR(__xludf.DUMMYFUNCTION("""COMPUTED_VALUE"""),"120813;INF109K01K03;-;ICICI Prudential Capital Protection Oriented Fund III - PLAN E - 60 Months - Cumulative;16.6618;05-Feb-2018")</f>
        <v>120813;INF109K01K03;-;ICICI Prudential Capital Protection Oriented Fund III - PLAN E - 60 Months - Cumulative;16.6618;05-Feb-2018</v>
      </c>
      <c r="B11465" s="1"/>
    </row>
    <row r="11466">
      <c r="A11466" s="1" t="str">
        <f>IFERROR(__xludf.DUMMYFUNCTION("""COMPUTED_VALUE"""),"120814;INF109K01K29;-;ICICI Prudential Capital Protection Oriented Fund III - PLAN E - 60 Months - Direct Plan - Cumulative;17.6037;05-Feb-2018")</f>
        <v>120814;INF109K01K29;-;ICICI Prudential Capital Protection Oriented Fund III - PLAN E - 60 Months - Direct Plan - Cumulative;17.6037;05-Feb-2018</v>
      </c>
      <c r="B11466" s="1"/>
    </row>
    <row r="11467">
      <c r="A11467" s="1" t="str">
        <f>IFERROR(__xludf.DUMMYFUNCTION("""COMPUTED_VALUE"""),"120815;INF109K01K37;-;ICICI Prudential Capital Protection Oriented Fund III - PLAN E - 60 Months - Direct Plan - Dividend;17.6037;05-Feb-2018")</f>
        <v>120815;INF109K01K37;-;ICICI Prudential Capital Protection Oriented Fund III - PLAN E - 60 Months - Direct Plan - Dividend;17.6037;05-Feb-2018</v>
      </c>
      <c r="B11467" s="1"/>
    </row>
    <row r="11468">
      <c r="A11468" s="1" t="str">
        <f>IFERROR(__xludf.DUMMYFUNCTION("""COMPUTED_VALUE"""),"120812;INF109K01K11;-;ICICI Prudential Capital Protection Oriented Fund III - PLAN E - 60 Months - Dividend;16.6618;05-Feb-2018")</f>
        <v>120812;INF109K01K11;-;ICICI Prudential Capital Protection Oriented Fund III - PLAN E - 60 Months - Dividend;16.6618;05-Feb-2018</v>
      </c>
      <c r="B11468" s="1"/>
    </row>
    <row r="11469">
      <c r="A11469" s="1" t="str">
        <f>IFERROR(__xludf.DUMMYFUNCTION("""COMPUTED_VALUE"""),"121089;INF109K011F3;-;ICICI Prudential Capital Protection Oriented Fund III - PLAN F - 36 Months - Cumulative;12.9714;03-Mar-2016")</f>
        <v>121089;INF109K011F3;-;ICICI Prudential Capital Protection Oriented Fund III - PLAN F - 36 Months - Cumulative;12.9714;03-Mar-2016</v>
      </c>
      <c r="B11469" s="1"/>
    </row>
    <row r="11470">
      <c r="A11470" s="1" t="str">
        <f>IFERROR(__xludf.DUMMYFUNCTION("""COMPUTED_VALUE"""),"121087;INF109K013F9;-;ICICI Prudential Capital Protection Oriented Fund III - PLAN F - 36 Months - Direct Plan - Cumulative;13.4547;03-Mar-2016")</f>
        <v>121087;INF109K013F9;-;ICICI Prudential Capital Protection Oriented Fund III - PLAN F - 36 Months - Direct Plan - Cumulative;13.4547;03-Mar-2016</v>
      </c>
      <c r="B11470" s="1"/>
    </row>
    <row r="11471">
      <c r="A11471" s="1" t="str">
        <f>IFERROR(__xludf.DUMMYFUNCTION("""COMPUTED_VALUE"""),"121088;INF109K014F7;-;ICICI Prudential Capital Protection Oriented Fund III - PLAN F - 36 Months - Direct Plan - Dividend;13.4547;03-Mar-2016")</f>
        <v>121088;INF109K014F7;-;ICICI Prudential Capital Protection Oriented Fund III - PLAN F - 36 Months - Direct Plan - Dividend;13.4547;03-Mar-2016</v>
      </c>
      <c r="B11471" s="1"/>
    </row>
    <row r="11472">
      <c r="A11472" s="1" t="str">
        <f>IFERROR(__xludf.DUMMYFUNCTION("""COMPUTED_VALUE"""),"121090;INF109K012F1;-;ICICI Prudential Capital Protection Oriented Fund III - PLAN F - 36 Months - Dividend;12.9714;03-Mar-2016")</f>
        <v>121090;INF109K012F1;-;ICICI Prudential Capital Protection Oriented Fund III - PLAN F - 36 Months - Dividend;12.9714;03-Mar-2016</v>
      </c>
      <c r="B11472" s="1"/>
    </row>
    <row r="11473">
      <c r="A11473" s="1" t="str">
        <f>IFERROR(__xludf.DUMMYFUNCTION("""COMPUTED_VALUE"""),"121145;INF109K017I4;-;ICICI Prudential Capital Protection Oriented Fund III - PLAN G - 60 Months - Cumulative;16.2307;05-Mar-2018")</f>
        <v>121145;INF109K017I4;-;ICICI Prudential Capital Protection Oriented Fund III - PLAN G - 60 Months - Cumulative;16.2307;05-Mar-2018</v>
      </c>
      <c r="B11473" s="1"/>
    </row>
    <row r="11474">
      <c r="A11474" s="1" t="str">
        <f>IFERROR(__xludf.DUMMYFUNCTION("""COMPUTED_VALUE"""),"121144;INF109K019I0;-;ICICI Prudential Capital Protection Oriented Fund III - PLAN G - 60 Months - Direct Plan - Cumulative;17.0757;05-Mar-2018")</f>
        <v>121144;INF109K019I0;-;ICICI Prudential Capital Protection Oriented Fund III - PLAN G - 60 Months - Direct Plan - Cumulative;17.0757;05-Mar-2018</v>
      </c>
      <c r="B11474" s="1"/>
    </row>
    <row r="11475">
      <c r="A11475" s="1" t="str">
        <f>IFERROR(__xludf.DUMMYFUNCTION("""COMPUTED_VALUE"""),"121143;INF109K018I2;-;ICICI Prudential Capital Protection Oriented Fund III - PLAN G - 60 Months - Dividend;16.2307;05-Mar-2018")</f>
        <v>121143;INF109K018I2;-;ICICI Prudential Capital Protection Oriented Fund III - PLAN G - 60 Months - Dividend;16.2307;05-Mar-2018</v>
      </c>
      <c r="B11475" s="1"/>
    </row>
    <row r="11476">
      <c r="A11476" s="1" t="str">
        <f>IFERROR(__xludf.DUMMYFUNCTION("""COMPUTED_VALUE"""),"121795;INF109K013V6;-;ICICI Prudential Capital Protection Oriented Fund III - PLAN H - 60 Months - Cumulative;16.1546;09-Apr-2018")</f>
        <v>121795;INF109K013V6;-;ICICI Prudential Capital Protection Oriented Fund III - PLAN H - 60 Months - Cumulative;16.1546;09-Apr-2018</v>
      </c>
      <c r="B11476" s="1"/>
    </row>
    <row r="11477">
      <c r="A11477" s="1" t="str">
        <f>IFERROR(__xludf.DUMMYFUNCTION("""COMPUTED_VALUE"""),"121794;INF109K015V1;-;ICICI Prudential Capital Protection Oriented Fund III - PLAN H - 60 Months - Direct Plan - Cumulative;16.9644;09-Apr-2018")</f>
        <v>121794;INF109K015V1;-;ICICI Prudential Capital Protection Oriented Fund III - PLAN H - 60 Months - Direct Plan - Cumulative;16.9644;09-Apr-2018</v>
      </c>
      <c r="B11477" s="1"/>
    </row>
    <row r="11478">
      <c r="A11478" s="1" t="str">
        <f>IFERROR(__xludf.DUMMYFUNCTION("""COMPUTED_VALUE"""),"121793;INF109K016V9;-;ICICI Prudential Capital Protection Oriented Fund III - PLAN H - 60 Months - Direct Plan - Dividend;16.9644;09-Apr-2018")</f>
        <v>121793;INF109K016V9;-;ICICI Prudential Capital Protection Oriented Fund III - PLAN H - 60 Months - Direct Plan - Dividend;16.9644;09-Apr-2018</v>
      </c>
      <c r="B11478" s="1"/>
    </row>
    <row r="11479">
      <c r="A11479" s="1" t="str">
        <f>IFERROR(__xludf.DUMMYFUNCTION("""COMPUTED_VALUE"""),"121796;INF109K014V4;-;ICICI Prudential Capital Protection Oriented Fund III - PLAN H - 60 Months - Dividend;16.1546;09-Apr-2018")</f>
        <v>121796;INF109K014V4;-;ICICI Prudential Capital Protection Oriented Fund III - PLAN H - 60 Months - Dividend;16.1546;09-Apr-2018</v>
      </c>
      <c r="B11479" s="1"/>
    </row>
    <row r="11480">
      <c r="A11480" s="1" t="str">
        <f>IFERROR(__xludf.DUMMYFUNCTION("""COMPUTED_VALUE"""),"122956;INF109KA1863;-;ICICI Prudential Capital Protection Oriented Fund IV - PLAN A - 60 Months - Cumulative;16.7957;06-Aug-2018")</f>
        <v>122956;INF109KA1863;-;ICICI Prudential Capital Protection Oriented Fund IV - PLAN A - 60 Months - Cumulative;16.7957;06-Aug-2018</v>
      </c>
      <c r="B11480" s="1"/>
    </row>
    <row r="11481">
      <c r="A11481" s="1" t="str">
        <f>IFERROR(__xludf.DUMMYFUNCTION("""COMPUTED_VALUE"""),"122954;INF109KA1848;-;ICICI Prudential Capital Protection Oriented Fund IV - PLAN A - 60 Months - Direct Plan - Cumulative;17.6315;06-Aug-2018")</f>
        <v>122954;INF109KA1848;-;ICICI Prudential Capital Protection Oriented Fund IV - PLAN A - 60 Months - Direct Plan - Cumulative;17.6315;06-Aug-2018</v>
      </c>
      <c r="B11481" s="1"/>
    </row>
    <row r="11482">
      <c r="A11482" s="1" t="str">
        <f>IFERROR(__xludf.DUMMYFUNCTION("""COMPUTED_VALUE"""),"122957;INF109KA1871;-;ICICI Prudential Capital Protection Oriented Fund IV - PLAN A - 60 Months - Dividend;16.7957;06-Aug-2018")</f>
        <v>122957;INF109KA1871;-;ICICI Prudential Capital Protection Oriented Fund IV - PLAN A - 60 Months - Dividend;16.7957;06-Aug-2018</v>
      </c>
      <c r="B11482" s="1"/>
    </row>
    <row r="11483">
      <c r="A11483" s="1" t="str">
        <f>IFERROR(__xludf.DUMMYFUNCTION("""COMPUTED_VALUE"""),"123561;INF109KA1BR4;-;ICICI Prudential Capital Protection Oriented Fund IV - PLAN C - 60 Months - Cumulative;16.7255;04-Sep-2018")</f>
        <v>123561;INF109KA1BR4;-;ICICI Prudential Capital Protection Oriented Fund IV - PLAN C - 60 Months - Cumulative;16.7255;04-Sep-2018</v>
      </c>
      <c r="B11483" s="1"/>
    </row>
    <row r="11484">
      <c r="A11484" s="1" t="str">
        <f>IFERROR(__xludf.DUMMYFUNCTION("""COMPUTED_VALUE"""),"123559;INF109KA1BP8;-;ICICI Prudential Capital Protection Oriented Fund IV - PLAN C - 60 Months - Direct Plan - Cumulative;17.5862;04-Sep-2018")</f>
        <v>123559;INF109KA1BP8;-;ICICI Prudential Capital Protection Oriented Fund IV - PLAN C - 60 Months - Direct Plan - Cumulative;17.5862;04-Sep-2018</v>
      </c>
      <c r="B11484" s="1"/>
    </row>
    <row r="11485">
      <c r="A11485" s="1" t="str">
        <f>IFERROR(__xludf.DUMMYFUNCTION("""COMPUTED_VALUE"""),"123560;INF109KA1BQ6;-;ICICI Prudential Capital Protection Oriented Fund IV - PLAN C - 60 Months - Direct Plan - Dividend;17.5862;04-Sep-2018")</f>
        <v>123560;INF109KA1BQ6;-;ICICI Prudential Capital Protection Oriented Fund IV - PLAN C - 60 Months - Direct Plan - Dividend;17.5862;04-Sep-2018</v>
      </c>
      <c r="B11485" s="1"/>
    </row>
    <row r="11486">
      <c r="A11486" s="1" t="str">
        <f>IFERROR(__xludf.DUMMYFUNCTION("""COMPUTED_VALUE"""),"123562;INF109KA1BS2;-;ICICI Prudential Capital Protection Oriented Fund IV - PLAN C - 60 Months - Dividend;16.7255;04-Sep-2018")</f>
        <v>123562;INF109KA1BS2;-;ICICI Prudential Capital Protection Oriented Fund IV - PLAN C - 60 Months - Dividend;16.7255;04-Sep-2018</v>
      </c>
      <c r="B11486" s="1"/>
    </row>
    <row r="11487">
      <c r="A11487" s="1" t="str">
        <f>IFERROR(__xludf.DUMMYFUNCTION("""COMPUTED_VALUE"""),"124468;INF109KA1EF3;-;ICICI Prudential Capital Protection Oriented Fund IV - PLAN D - 60 Months - Cumulative;15.9835;05-Oct-2018")</f>
        <v>124468;INF109KA1EF3;-;ICICI Prudential Capital Protection Oriented Fund IV - PLAN D - 60 Months - Cumulative;15.9835;05-Oct-2018</v>
      </c>
      <c r="B11487" s="1"/>
    </row>
    <row r="11488">
      <c r="A11488" s="1" t="str">
        <f>IFERROR(__xludf.DUMMYFUNCTION("""COMPUTED_VALUE"""),"124467;INF109KA1ED8;-;ICICI Prudential Capital Protection Oriented Fund IV - PLAN D - 60 Months - Direct Plan - Cumulative;17.0016;05-Oct-2018")</f>
        <v>124467;INF109KA1ED8;-;ICICI Prudential Capital Protection Oriented Fund IV - PLAN D - 60 Months - Direct Plan - Cumulative;17.0016;05-Oct-2018</v>
      </c>
      <c r="B11488" s="1"/>
    </row>
    <row r="11489">
      <c r="A11489" s="1" t="str">
        <f>IFERROR(__xludf.DUMMYFUNCTION("""COMPUTED_VALUE"""),"124469;INF109KA1EE6;-;ICICI Prudential Capital Protection Oriented Fund IV - PLAN D - 60 Months - Direct Plan - Dividend;17.0016;05-Oct-2018")</f>
        <v>124469;INF109KA1EE6;-;ICICI Prudential Capital Protection Oriented Fund IV - PLAN D - 60 Months - Direct Plan - Dividend;17.0016;05-Oct-2018</v>
      </c>
      <c r="B11489" s="1"/>
    </row>
    <row r="11490">
      <c r="A11490" s="1" t="str">
        <f>IFERROR(__xludf.DUMMYFUNCTION("""COMPUTED_VALUE"""),"124470;INF109KA1EG1;-;ICICI Prudential Capital Protection Oriented Fund IV - PLAN D - 60 Months - Dividend;15.9835;05-Oct-2018")</f>
        <v>124470;INF109KA1EG1;-;ICICI Prudential Capital Protection Oriented Fund IV - PLAN D - 60 Months - Dividend;15.9835;05-Oct-2018</v>
      </c>
      <c r="B11490" s="1"/>
    </row>
    <row r="11491">
      <c r="A11491" s="1" t="str">
        <f>IFERROR(__xludf.DUMMYFUNCTION("""COMPUTED_VALUE"""),"124795;INF109KA1FN4;-;ICICI Prudential Capital Protection Oriented Fund IV - PLAN E - 36 Months - Cumulative;13.5222;28-Oct-2016")</f>
        <v>124795;INF109KA1FN4;-;ICICI Prudential Capital Protection Oriented Fund IV - PLAN E - 36 Months - Cumulative;13.5222;28-Oct-2016</v>
      </c>
      <c r="B11491" s="1"/>
    </row>
    <row r="11492">
      <c r="A11492" s="1" t="str">
        <f>IFERROR(__xludf.DUMMYFUNCTION("""COMPUTED_VALUE"""),"124797;INF109KA1FP9;-;ICICI Prudential Capital Protection Oriented Fund IV - PLAN E - 36 Months - Direct Plan - Cumulative;14.0293;28-Oct-2016")</f>
        <v>124797;INF109KA1FP9;-;ICICI Prudential Capital Protection Oriented Fund IV - PLAN E - 36 Months - Direct Plan - Cumulative;14.0293;28-Oct-2016</v>
      </c>
      <c r="B11492" s="1"/>
    </row>
    <row r="11493">
      <c r="A11493" s="1" t="str">
        <f>IFERROR(__xludf.DUMMYFUNCTION("""COMPUTED_VALUE"""),"124794;INF109KA1FQ7;-;ICICI Prudential Capital Protection Oriented Fund IV - PLAN E - 36 Months - Direct Plan - Dividend;14.0293;28-Oct-2016")</f>
        <v>124794;INF109KA1FQ7;-;ICICI Prudential Capital Protection Oriented Fund IV - PLAN E - 36 Months - Direct Plan - Dividend;14.0293;28-Oct-2016</v>
      </c>
      <c r="B11493" s="1"/>
    </row>
    <row r="11494">
      <c r="A11494" s="1" t="str">
        <f>IFERROR(__xludf.DUMMYFUNCTION("""COMPUTED_VALUE"""),"124796;INF109KA1FO2;-;ICICI Prudential Capital Protection Oriented Fund IV - PLAN E - 36 Months - Dividend;13.5222;28-Oct-2016")</f>
        <v>124796;INF109KA1FO2;-;ICICI Prudential Capital Protection Oriented Fund IV - PLAN E - 36 Months - Dividend;13.5222;28-Oct-2016</v>
      </c>
      <c r="B11494" s="1"/>
    </row>
    <row r="11495">
      <c r="A11495" s="1" t="str">
        <f>IFERROR(__xludf.DUMMYFUNCTION("""COMPUTED_VALUE"""),"125186;INF109KA1GN2;-;ICICI Prudential Capital Protection Oriented Fund IV - PLAN F - 60 Months - Cumulative;16.07;26-Nov-2018")</f>
        <v>125186;INF109KA1GN2;-;ICICI Prudential Capital Protection Oriented Fund IV - PLAN F - 60 Months - Cumulative;16.07;26-Nov-2018</v>
      </c>
      <c r="B11495" s="1"/>
    </row>
    <row r="11496">
      <c r="A11496" s="1" t="str">
        <f>IFERROR(__xludf.DUMMYFUNCTION("""COMPUTED_VALUE"""),"125184;INF109KA1GP7;-;ICICI Prudential Capital Protection Oriented Fund IV - PLAN F - 60 Months - Direct Plan - Cumulative;16.9694;26-Nov-2018")</f>
        <v>125184;INF109KA1GP7;-;ICICI Prudential Capital Protection Oriented Fund IV - PLAN F - 60 Months - Direct Plan - Cumulative;16.9694;26-Nov-2018</v>
      </c>
      <c r="B11496" s="1"/>
    </row>
    <row r="11497">
      <c r="A11497" s="1" t="str">
        <f>IFERROR(__xludf.DUMMYFUNCTION("""COMPUTED_VALUE"""),"125185;INF109KA1GQ5;-;ICICI Prudential Capital Protection Oriented Fund IV - PLAN F - 60 Months - Direct Plan - Dividend;16.9694;26-Nov-2018")</f>
        <v>125185;INF109KA1GQ5;-;ICICI Prudential Capital Protection Oriented Fund IV - PLAN F - 60 Months - Direct Plan - Dividend;16.9694;26-Nov-2018</v>
      </c>
      <c r="B11497" s="1"/>
    </row>
    <row r="11498">
      <c r="A11498" s="1" t="str">
        <f>IFERROR(__xludf.DUMMYFUNCTION("""COMPUTED_VALUE"""),"125187;INF109KA1GO0;-;ICICI Prudential Capital Protection Oriented Fund IV - PLAN F - 60 Months - Dividend;16.07;26-Nov-2018")</f>
        <v>125187;INF109KA1GO0;-;ICICI Prudential Capital Protection Oriented Fund IV - PLAN F - 60 Months - Dividend;16.07;26-Nov-2018</v>
      </c>
      <c r="B11498" s="1"/>
    </row>
    <row r="11499">
      <c r="A11499" s="1" t="str">
        <f>IFERROR(__xludf.DUMMYFUNCTION("""COMPUTED_VALUE"""),"125576;INF109KA1HR1;-;ICICI Prudential Capital Protection Oriented Fund IV - PLAN G - 60 Months plan - Cumulative;15.9428;18-Dec-2018")</f>
        <v>125576;INF109KA1HR1;-;ICICI Prudential Capital Protection Oriented Fund IV - PLAN G - 60 Months plan - Cumulative;15.9428;18-Dec-2018</v>
      </c>
      <c r="B11499" s="1"/>
    </row>
    <row r="11500">
      <c r="A11500" s="1" t="str">
        <f>IFERROR(__xludf.DUMMYFUNCTION("""COMPUTED_VALUE"""),"125577;INF109KA1HT7;-;ICICI Prudential Capital Protection Oriented Fund IV - PLAN G - 60 Months Plan - Direct Plan - Cumulative;16.8027;18-Dec-2018")</f>
        <v>125577;INF109KA1HT7;-;ICICI Prudential Capital Protection Oriented Fund IV - PLAN G - 60 Months Plan - Direct Plan - Cumulative;16.8027;18-Dec-2018</v>
      </c>
      <c r="B11500" s="1"/>
    </row>
    <row r="11501">
      <c r="A11501" s="1" t="str">
        <f>IFERROR(__xludf.DUMMYFUNCTION("""COMPUTED_VALUE"""),"125578;INF109KA1HU5;-;ICICI Prudential Capital Protection Oriented Fund IV - PLAN G - 60 Months Plan - Direct Plan - Dividend;16.8027;18-Dec-2018")</f>
        <v>125578;INF109KA1HU5;-;ICICI Prudential Capital Protection Oriented Fund IV - PLAN G - 60 Months Plan - Direct Plan - Dividend;16.8027;18-Dec-2018</v>
      </c>
      <c r="B11501" s="1"/>
    </row>
    <row r="11502">
      <c r="A11502" s="1" t="str">
        <f>IFERROR(__xludf.DUMMYFUNCTION("""COMPUTED_VALUE"""),"125575;INF109KA1HS9;-;ICICI Prudential Capital Protection Oriented Fund IV - PLAN G - 60 Months Plan - Dividend;15.9428;18-Dec-2018")</f>
        <v>125575;INF109KA1HS9;-;ICICI Prudential Capital Protection Oriented Fund IV - PLAN G - 60 Months Plan - Dividend;15.9428;18-Dec-2018</v>
      </c>
      <c r="B11502" s="1"/>
    </row>
    <row r="11503">
      <c r="A11503" s="1" t="str">
        <f>IFERROR(__xludf.DUMMYFUNCTION("""COMPUTED_VALUE"""),"125818;INF109KA1IP3;-;ICICI Prudential Capital Protection Oriented Fund IV - PLAN H - 36 Months plan - Cumulative;13.3397;02-Jan-2017")</f>
        <v>125818;INF109KA1IP3;-;ICICI Prudential Capital Protection Oriented Fund IV - PLAN H - 36 Months plan - Cumulative;13.3397;02-Jan-2017</v>
      </c>
      <c r="B11503" s="1"/>
    </row>
    <row r="11504">
      <c r="A11504" s="1" t="str">
        <f>IFERROR(__xludf.DUMMYFUNCTION("""COMPUTED_VALUE"""),"125820;INF109KA1IR9;-;ICICI Prudential Capital Protection Oriented Fund IV - PLAN H - 36 Months Plan - Direct Plan - Cumulative;13.8101;02-Jan-2017")</f>
        <v>125820;INF109KA1IR9;-;ICICI Prudential Capital Protection Oriented Fund IV - PLAN H - 36 Months Plan - Direct Plan - Cumulative;13.8101;02-Jan-2017</v>
      </c>
      <c r="B11504" s="1"/>
    </row>
    <row r="11505">
      <c r="A11505" s="1" t="str">
        <f>IFERROR(__xludf.DUMMYFUNCTION("""COMPUTED_VALUE"""),"125817;INF109KA1IS7;-;ICICI Prudential Capital Protection Oriented Fund IV - PLAN H - 36 Months Plan - Direct Plan - Dividend;13.8101;02-Jan-2017")</f>
        <v>125817;INF109KA1IS7;-;ICICI Prudential Capital Protection Oriented Fund IV - PLAN H - 36 Months Plan - Direct Plan - Dividend;13.8101;02-Jan-2017</v>
      </c>
      <c r="B11505" s="1"/>
    </row>
    <row r="11506">
      <c r="A11506" s="1" t="str">
        <f>IFERROR(__xludf.DUMMYFUNCTION("""COMPUTED_VALUE"""),"125819;INF109KA1IQ1;-;ICICI Prudential Capital Protection Oriented Fund IV - PLAN H - 36 Months Plan - Dividend;13.3397;02-Jan-2017")</f>
        <v>125819;INF109KA1IQ1;-;ICICI Prudential Capital Protection Oriented Fund IV - PLAN H - 36 Months Plan - Dividend;13.3397;02-Jan-2017</v>
      </c>
      <c r="B11506" s="1"/>
    </row>
    <row r="11507">
      <c r="A11507" s="1" t="str">
        <f>IFERROR(__xludf.DUMMYFUNCTION("""COMPUTED_VALUE"""),"135494;INF109KB1NT4;-;ICICI Prudential Capital Protection Oriented Fund - Series IX - 1101 Days Plan A Cumulative Option;12.0186;01-Nov-2018")</f>
        <v>135494;INF109KB1NT4;-;ICICI Prudential Capital Protection Oriented Fund - Series IX - 1101 Days Plan A Cumulative Option;12.0186;01-Nov-2018</v>
      </c>
      <c r="B11507" s="1"/>
    </row>
    <row r="11508">
      <c r="A11508" s="1" t="str">
        <f>IFERROR(__xludf.DUMMYFUNCTION("""COMPUTED_VALUE"""),"135495;INF109KB1NV0;-;ICICI Prudential Capital Protection Oriented Fund - Series IX - 1101 Days Plan A Direct Plan Cumulative Option;12.4065;01-Nov-2018")</f>
        <v>135495;INF109KB1NV0;-;ICICI Prudential Capital Protection Oriented Fund - Series IX - 1101 Days Plan A Direct Plan Cumulative Option;12.4065;01-Nov-2018</v>
      </c>
      <c r="B11508" s="1"/>
    </row>
    <row r="11509">
      <c r="A11509" s="1" t="str">
        <f>IFERROR(__xludf.DUMMYFUNCTION("""COMPUTED_VALUE"""),"135493;INF109KB1NW8;-;ICICI Prudential Capital Protection Oriented Fund - Series IX - 1101 Days Plan A Direct Plan Dividend Option;12.4065;01-Nov-2018")</f>
        <v>135493;INF109KB1NW8;-;ICICI Prudential Capital Protection Oriented Fund - Series IX - 1101 Days Plan A Direct Plan Dividend Option;12.4065;01-Nov-2018</v>
      </c>
      <c r="B11509" s="1"/>
    </row>
    <row r="11510">
      <c r="A11510" s="1" t="str">
        <f>IFERROR(__xludf.DUMMYFUNCTION("""COMPUTED_VALUE"""),"135496;INF109KB1NU2;-;ICICI Prudential Capital Protection Oriented Fund - Series IX - 1101 Days Plan A Dividend Option;12.0186;01-Nov-2018")</f>
        <v>135496;INF109KB1NU2;-;ICICI Prudential Capital Protection Oriented Fund - Series IX - 1101 Days Plan A Dividend Option;12.0186;01-Nov-2018</v>
      </c>
      <c r="B11510" s="1"/>
    </row>
    <row r="11511">
      <c r="A11511" s="1" t="str">
        <f>IFERROR(__xludf.DUMMYFUNCTION("""COMPUTED_VALUE"""),"135545;INF109KB1OB0;-;ICICI Prudential Capital Protection Oriented Fund - Series IX -1103 Days Plan B Cumulative Option;11.9389;12-Nov-2018")</f>
        <v>135545;INF109KB1OB0;-;ICICI Prudential Capital Protection Oriented Fund - Series IX -1103 Days Plan B Cumulative Option;11.9389;12-Nov-2018</v>
      </c>
      <c r="B11511" s="1"/>
    </row>
    <row r="11512">
      <c r="A11512" s="1" t="str">
        <f>IFERROR(__xludf.DUMMYFUNCTION("""COMPUTED_VALUE"""),"135546;INF109KB1OD6;-;ICICI Prudential Capital Protection Oriented Fund - Series IX -1103 Days Plan B Direct Plan Cumulative Option;12.3086;12-Nov-2018")</f>
        <v>135546;INF109KB1OD6;-;ICICI Prudential Capital Protection Oriented Fund - Series IX -1103 Days Plan B Direct Plan Cumulative Option;12.3086;12-Nov-2018</v>
      </c>
      <c r="B11512" s="1"/>
    </row>
    <row r="11513">
      <c r="A11513" s="1" t="str">
        <f>IFERROR(__xludf.DUMMYFUNCTION("""COMPUTED_VALUE"""),"135543;INF109KB1OE4;-;ICICI Prudential Capital Protection Oriented Fund - Series IX -1103 Days Plan B Direct Plan Dividend Option;12.3085;12-Nov-2018")</f>
        <v>135543;INF109KB1OE4;-;ICICI Prudential Capital Protection Oriented Fund - Series IX -1103 Days Plan B Direct Plan Dividend Option;12.3085;12-Nov-2018</v>
      </c>
      <c r="B11513" s="1"/>
    </row>
    <row r="11514">
      <c r="A11514" s="1" t="str">
        <f>IFERROR(__xludf.DUMMYFUNCTION("""COMPUTED_VALUE"""),"135544;INF109KB1OC8;-;ICICI Prudential Capital Protection Oriented Fund - Series IX -1103 Days Plan B Dividend Option;11.9389;12-Nov-2018")</f>
        <v>135544;INF109KB1OC8;-;ICICI Prudential Capital Protection Oriented Fund - Series IX -1103 Days Plan B Dividend Option;11.9389;12-Nov-2018</v>
      </c>
      <c r="B11514" s="1"/>
    </row>
    <row r="11515">
      <c r="A11515" s="1" t="str">
        <f>IFERROR(__xludf.DUMMYFUNCTION("""COMPUTED_VALUE"""),"135851;INF109KB1OV8;-;ICICI Prudential Capital Protection Oriented Fund - Series IX - 1195 Days Plan C Cumulative Option;12.4619;08-Apr-2019")</f>
        <v>135851;INF109KB1OV8;-;ICICI Prudential Capital Protection Oriented Fund - Series IX - 1195 Days Plan C Cumulative Option;12.4619;08-Apr-2019</v>
      </c>
      <c r="B11515" s="1"/>
    </row>
    <row r="11516">
      <c r="A11516" s="1" t="str">
        <f>IFERROR(__xludf.DUMMYFUNCTION("""COMPUTED_VALUE"""),"135849;INF109KB1OX4;-;ICICI Prudential Capital Protection Oriented Fund - Series IX - 1195 Days Plan C Direct Plan Cumulative Option;12.8288;08-Apr-2019")</f>
        <v>135849;INF109KB1OX4;-;ICICI Prudential Capital Protection Oriented Fund - Series IX - 1195 Days Plan C Direct Plan Cumulative Option;12.8288;08-Apr-2019</v>
      </c>
      <c r="B11516" s="1"/>
    </row>
    <row r="11517">
      <c r="A11517" s="1" t="str">
        <f>IFERROR(__xludf.DUMMYFUNCTION("""COMPUTED_VALUE"""),"135850;INF109KB1OY2;-;ICICI Prudential Capital Protection Oriented Fund - Series IX - 1195 Days Plan C Direct Plan Dividend Option;12.8288;08-Apr-2019")</f>
        <v>135850;INF109KB1OY2;-;ICICI Prudential Capital Protection Oriented Fund - Series IX - 1195 Days Plan C Direct Plan Dividend Option;12.8288;08-Apr-2019</v>
      </c>
      <c r="B11517" s="1"/>
    </row>
    <row r="11518">
      <c r="A11518" s="1" t="str">
        <f>IFERROR(__xludf.DUMMYFUNCTION("""COMPUTED_VALUE"""),"135852;INF109KB1OW6;-;ICICI Prudential Capital Protection Oriented Fund - Series IX - 1195 Days Plan C Dividend Option;12.4619;08-Apr-2019")</f>
        <v>135852;INF109KB1OW6;-;ICICI Prudential Capital Protection Oriented Fund - Series IX - 1195 Days Plan C Dividend Option;12.4619;08-Apr-2019</v>
      </c>
      <c r="B11518" s="1"/>
    </row>
    <row r="11519">
      <c r="A11519" s="1" t="str">
        <f>IFERROR(__xludf.DUMMYFUNCTION("""COMPUTED_VALUE"""),"135974;INF109KB1PP7;-;ICICI Prudential Capital Protection Oriented Fund - Series IX - 1378 Days Plan D Cumulative Option;12.7669;29-Oct-2019")</f>
        <v>135974;INF109KB1PP7;-;ICICI Prudential Capital Protection Oriented Fund - Series IX - 1378 Days Plan D Cumulative Option;12.7669;29-Oct-2019</v>
      </c>
      <c r="B11519" s="1"/>
    </row>
    <row r="11520">
      <c r="A11520" s="1" t="str">
        <f>IFERROR(__xludf.DUMMYFUNCTION("""COMPUTED_VALUE"""),"135972;INF109KB1PR3;-;ICICI Prudential Capital Protection Oriented Fund - Series IX - 1378 Days Plan D Direct Plan Cumulative Option;13.3904;29-Oct-2019")</f>
        <v>135972;INF109KB1PR3;-;ICICI Prudential Capital Protection Oriented Fund - Series IX - 1378 Days Plan D Direct Plan Cumulative Option;13.3904;29-Oct-2019</v>
      </c>
      <c r="B11520" s="1"/>
    </row>
    <row r="11521">
      <c r="A11521" s="1" t="str">
        <f>IFERROR(__xludf.DUMMYFUNCTION("""COMPUTED_VALUE"""),"135973;INF109KB1PS1;-;ICICI Prudential Capital Protection Oriented Fund - Series IX - 1378 Days Plan D Direct Plan Dividend Option;13.3312;29-Oct-2019")</f>
        <v>135973;INF109KB1PS1;-;ICICI Prudential Capital Protection Oriented Fund - Series IX - 1378 Days Plan D Direct Plan Dividend Option;13.3312;29-Oct-2019</v>
      </c>
      <c r="B11521" s="1"/>
    </row>
    <row r="11522">
      <c r="A11522" s="1" t="str">
        <f>IFERROR(__xludf.DUMMYFUNCTION("""COMPUTED_VALUE"""),"135975;INF109KB1PQ5;-;ICICI Prudential Capital Protection Oriented Fund - Series IX - 1378 Days Plan D Dividend Option;12.7103;29-Oct-2019")</f>
        <v>135975;INF109KB1PQ5;-;ICICI Prudential Capital Protection Oriented Fund - Series IX - 1378 Days Plan D Dividend Option;12.7103;29-Oct-2019</v>
      </c>
      <c r="B11522" s="1"/>
    </row>
    <row r="11523">
      <c r="A11523" s="1" t="str">
        <f>IFERROR(__xludf.DUMMYFUNCTION("""COMPUTED_VALUE"""),"136372;INF109KB1SN6;-;ICICI Prudential Capital Protection Oriented Fund - Series IX - 1325 Days Plan E Cumulative Option;12.9587;30-Oct-2019")</f>
        <v>136372;INF109KB1SN6;-;ICICI Prudential Capital Protection Oriented Fund - Series IX - 1325 Days Plan E Cumulative Option;12.9587;30-Oct-2019</v>
      </c>
      <c r="B11523" s="1"/>
    </row>
    <row r="11524">
      <c r="A11524" s="1" t="str">
        <f>IFERROR(__xludf.DUMMYFUNCTION("""COMPUTED_VALUE"""),"136370;INF109KB1SP1;-;ICICI Prudential Capital Protection Oriented Fund - Series IX - 1325 Days Plan E Direct Plan Cumulative Option;13.5549;30-Oct-2019")</f>
        <v>136370;INF109KB1SP1;-;ICICI Prudential Capital Protection Oriented Fund - Series IX - 1325 Days Plan E Direct Plan Cumulative Option;13.5549;30-Oct-2019</v>
      </c>
      <c r="B11524" s="1"/>
    </row>
    <row r="11525">
      <c r="A11525" s="1" t="str">
        <f>IFERROR(__xludf.DUMMYFUNCTION("""COMPUTED_VALUE"""),"136373;INF109KB1SQ9;-;ICICI Prudential Capital Protection Oriented Fund - Series IX - 1325 Days Plan E Direct Plan Dividend Option;13.5549;30-Oct-2019")</f>
        <v>136373;INF109KB1SQ9;-;ICICI Prudential Capital Protection Oriented Fund - Series IX - 1325 Days Plan E Direct Plan Dividend Option;13.5549;30-Oct-2019</v>
      </c>
      <c r="B11525" s="1"/>
    </row>
    <row r="11526">
      <c r="A11526" s="1" t="str">
        <f>IFERROR(__xludf.DUMMYFUNCTION("""COMPUTED_VALUE"""),"136371;INF109KB1SO4;-;ICICI Prudential Capital Protection Oriented Fund - Series IX - 1325 Days Plan E Dividend Option;12.9587;30-Oct-2019")</f>
        <v>136371;INF109KB1SO4;-;ICICI Prudential Capital Protection Oriented Fund - Series IX - 1325 Days Plan E Dividend Option;12.9587;30-Oct-2019</v>
      </c>
      <c r="B11526" s="1"/>
    </row>
    <row r="11527">
      <c r="A11527" s="1" t="str">
        <f>IFERROR(__xludf.DUMMYFUNCTION("""COMPUTED_VALUE"""),"139119;INF109KB1TH6;-;ICICI Prudential Capital Protection Oriented Fund - Series IX - 1120 Days Plan F Cumulative Option;12.5122;24-Apr-2019")</f>
        <v>139119;INF109KB1TH6;-;ICICI Prudential Capital Protection Oriented Fund - Series IX - 1120 Days Plan F Cumulative Option;12.5122;24-Apr-2019</v>
      </c>
      <c r="B11527" s="1"/>
    </row>
    <row r="11528">
      <c r="A11528" s="1" t="str">
        <f>IFERROR(__xludf.DUMMYFUNCTION("""COMPUTED_VALUE"""),"139117;INF109KB1TJ2;-;ICICI Prudential Capital Protection Oriented Fund - Series IX - 1120 Days Plan F Direct Plan Cumulative Option;13.0611;24-Apr-2019")</f>
        <v>139117;INF109KB1TJ2;-;ICICI Prudential Capital Protection Oriented Fund - Series IX - 1120 Days Plan F Direct Plan Cumulative Option;13.0611;24-Apr-2019</v>
      </c>
      <c r="B11528" s="1"/>
    </row>
    <row r="11529">
      <c r="A11529" s="1" t="str">
        <f>IFERROR(__xludf.DUMMYFUNCTION("""COMPUTED_VALUE"""),"139116;INF109KB1TI4;-;ICICI Prudential Capital Protection Oriented Fund - Series IX - 1120 Days Plan F Dividend Option;12.5122;24-Apr-2019")</f>
        <v>139116;INF109KB1TI4;-;ICICI Prudential Capital Protection Oriented Fund - Series IX - 1120 Days Plan F Dividend Option;12.5122;24-Apr-2019</v>
      </c>
      <c r="B11529" s="1"/>
    </row>
    <row r="11530">
      <c r="A11530" s="1" t="str">
        <f>IFERROR(__xludf.DUMMYFUNCTION("""COMPUTED_VALUE"""),"126232;INF109KA1KD5;-;ICICI Prudential Capital Protection Oriented Fund V - PLAN A - 5 Years Plan - Cumulative;15.5892;21-Jan-2019")</f>
        <v>126232;INF109KA1KD5;-;ICICI Prudential Capital Protection Oriented Fund V - PLAN A - 5 Years Plan - Cumulative;15.5892;21-Jan-2019</v>
      </c>
      <c r="B11530" s="1"/>
    </row>
    <row r="11531">
      <c r="A11531" s="1" t="str">
        <f>IFERROR(__xludf.DUMMYFUNCTION("""COMPUTED_VALUE"""),"126231;INF109KA1KF0;-;ICICI Prudential Capital Protection Oriented Fund V - PLAN A - 5 Years Plan - Direct Plan - Cumulative;16.4550;21-Jan-2019")</f>
        <v>126231;INF109KA1KF0;-;ICICI Prudential Capital Protection Oriented Fund V - PLAN A - 5 Years Plan - Direct Plan - Cumulative;16.4550;21-Jan-2019</v>
      </c>
      <c r="B11531" s="1"/>
    </row>
    <row r="11532">
      <c r="A11532" s="1" t="str">
        <f>IFERROR(__xludf.DUMMYFUNCTION("""COMPUTED_VALUE"""),"126234;INF109KA1KG8;-;ICICI Prudential Capital Protection Oriented Fund V - PLAN A - 5 Years Plan - Direct Plan - Dividend;16.4550;21-Jan-2019")</f>
        <v>126234;INF109KA1KG8;-;ICICI Prudential Capital Protection Oriented Fund V - PLAN A - 5 Years Plan - Direct Plan - Dividend;16.4550;21-Jan-2019</v>
      </c>
      <c r="B11532" s="1"/>
    </row>
    <row r="11533">
      <c r="A11533" s="1" t="str">
        <f>IFERROR(__xludf.DUMMYFUNCTION("""COMPUTED_VALUE"""),"126233;INF109KA1KE3;-;ICICI Prudential Capital Protection Oriented Fund V - PLAN A - 5 Years Plan - Dividend;15.5892;21-Jan-2019")</f>
        <v>126233;INF109KA1KE3;-;ICICI Prudential Capital Protection Oriented Fund V - PLAN A - 5 Years Plan - Dividend;15.5892;21-Jan-2019</v>
      </c>
      <c r="B11533" s="1"/>
    </row>
    <row r="11534">
      <c r="A11534" s="1" t="str">
        <f>IFERROR(__xludf.DUMMYFUNCTION("""COMPUTED_VALUE"""),"126566;INF109KA1LF8;-;ICICI Prudential Capital Protection Oriented Fund V - PLAN B - 1100 Days - Cumulative;13.3404;08-Feb-2017")</f>
        <v>126566;INF109KA1LF8;-;ICICI Prudential Capital Protection Oriented Fund V - PLAN B - 1100 Days - Cumulative;13.3404;08-Feb-2017</v>
      </c>
      <c r="B11534" s="1"/>
    </row>
    <row r="11535">
      <c r="A11535" s="1" t="str">
        <f>IFERROR(__xludf.DUMMYFUNCTION("""COMPUTED_VALUE"""),"126564;INF109KA1LH4;-;ICICI Prudential Capital Protection Oriented Fund V - PLAN B - 1100 Days - Direct Plan - Cumulative;13.8312;08-Feb-2017")</f>
        <v>126564;INF109KA1LH4;-;ICICI Prudential Capital Protection Oriented Fund V - PLAN B - 1100 Days - Direct Plan - Cumulative;13.8312;08-Feb-2017</v>
      </c>
      <c r="B11535" s="1"/>
    </row>
    <row r="11536">
      <c r="A11536" s="1" t="str">
        <f>IFERROR(__xludf.DUMMYFUNCTION("""COMPUTED_VALUE"""),"126565;INF109KA1LI2;-;ICICI Prudential Capital Protection Oriented Fund V - PLAN B - 1100 Days - Direct Plan - Dividend;13.8312;08-Feb-2017")</f>
        <v>126565;INF109KA1LI2;-;ICICI Prudential Capital Protection Oriented Fund V - PLAN B - 1100 Days - Direct Plan - Dividend;13.8312;08-Feb-2017</v>
      </c>
      <c r="B11536" s="1"/>
    </row>
    <row r="11537">
      <c r="A11537" s="1" t="str">
        <f>IFERROR(__xludf.DUMMYFUNCTION("""COMPUTED_VALUE"""),"126567;INF109KA1LG6;-;ICICI Prudential Capital Protection Oriented Fund V - PLAN B - 1100 Days - Dividend;13.3404;08-Feb-2017")</f>
        <v>126567;INF109KA1LG6;-;ICICI Prudential Capital Protection Oriented Fund V - PLAN B - 1100 Days - Dividend;13.3404;08-Feb-2017</v>
      </c>
      <c r="B11537" s="1"/>
    </row>
    <row r="11538">
      <c r="A11538" s="1" t="str">
        <f>IFERROR(__xludf.DUMMYFUNCTION("""COMPUTED_VALUE"""),"126905;INF109KA1MN0;-;ICICI Prudential Capital Protection Oriented Fund V - PLAN C - 1825 Days - Cumulative;15.4260;20-Feb-2019")</f>
        <v>126905;INF109KA1MN0;-;ICICI Prudential Capital Protection Oriented Fund V - PLAN C - 1825 Days - Cumulative;15.4260;20-Feb-2019</v>
      </c>
      <c r="B11538" s="1"/>
    </row>
    <row r="11539">
      <c r="A11539" s="1" t="str">
        <f>IFERROR(__xludf.DUMMYFUNCTION("""COMPUTED_VALUE"""),"126904;INF109KA1ML4;-;ICICI Prudential Capital Protection Oriented Fund V - PLAN C - 1825 Days - Direct Plan - Cumulative;16.3351;20-Feb-2019")</f>
        <v>126904;INF109KA1ML4;-;ICICI Prudential Capital Protection Oriented Fund V - PLAN C - 1825 Days - Direct Plan - Cumulative;16.3351;20-Feb-2019</v>
      </c>
      <c r="B11539" s="1"/>
    </row>
    <row r="11540">
      <c r="A11540" s="1" t="str">
        <f>IFERROR(__xludf.DUMMYFUNCTION("""COMPUTED_VALUE"""),"126902;INF109KA1MM2;-;ICICI Prudential Capital Protection Oriented Fund V - PLAN C - 1825 Days - Direct Plan - Dividend;16.3351;20-Feb-2019")</f>
        <v>126902;INF109KA1MM2;-;ICICI Prudential Capital Protection Oriented Fund V - PLAN C - 1825 Days - Direct Plan - Dividend;16.3351;20-Feb-2019</v>
      </c>
      <c r="B11540" s="1"/>
    </row>
    <row r="11541">
      <c r="A11541" s="1" t="str">
        <f>IFERROR(__xludf.DUMMYFUNCTION("""COMPUTED_VALUE"""),"126903;INF109KA1MO8;-;ICICI Prudential Capital Protection Oriented Fund V - PLAN C - 1825 Days - Dividend;15.4260;20-Feb-2019")</f>
        <v>126903;INF109KA1MO8;-;ICICI Prudential Capital Protection Oriented Fund V - PLAN C - 1825 Days - Dividend;15.4260;20-Feb-2019</v>
      </c>
      <c r="B11541" s="1"/>
    </row>
    <row r="11542">
      <c r="A11542" s="1" t="str">
        <f>IFERROR(__xludf.DUMMYFUNCTION("""COMPUTED_VALUE"""),"128210;INF109KA1QF7;-;ICICI Prudential Capital Protection Oriented Fund V - PLAN D - 1100 Days - Cumulative;13.1477;03-Apr-2017")</f>
        <v>128210;INF109KA1QF7;-;ICICI Prudential Capital Protection Oriented Fund V - PLAN D - 1100 Days - Cumulative;13.1477;03-Apr-2017</v>
      </c>
      <c r="B11542" s="1"/>
    </row>
    <row r="11543">
      <c r="A11543" s="1" t="str">
        <f>IFERROR(__xludf.DUMMYFUNCTION("""COMPUTED_VALUE"""),"128212;INF109KA1QH3;-;ICICI Prudential Capital Protection Oriented Fund V - PLAN D - 1100 Days - Direct Plan - Cumulative;13.6485;03-Apr-2017")</f>
        <v>128212;INF109KA1QH3;-;ICICI Prudential Capital Protection Oriented Fund V - PLAN D - 1100 Days - Direct Plan - Cumulative;13.6485;03-Apr-2017</v>
      </c>
      <c r="B11543" s="1"/>
    </row>
    <row r="11544">
      <c r="A11544" s="1" t="str">
        <f>IFERROR(__xludf.DUMMYFUNCTION("""COMPUTED_VALUE"""),"128209;INF109KA1QI1;-;ICICI Prudential Capital Protection Oriented Fund V - PLAN D - 1100 Days - Direct Plan - Dividend;13.6485;03-Apr-2017")</f>
        <v>128209;INF109KA1QI1;-;ICICI Prudential Capital Protection Oriented Fund V - PLAN D - 1100 Days - Direct Plan - Dividend;13.6485;03-Apr-2017</v>
      </c>
      <c r="B11544" s="1"/>
    </row>
    <row r="11545">
      <c r="A11545" s="1" t="str">
        <f>IFERROR(__xludf.DUMMYFUNCTION("""COMPUTED_VALUE"""),"128211;INF109KA1QG5;-;ICICI Prudential Capital Protection Oriented Fund V - PLAN D - 1100 Days - Dividend;13.1477;03-Apr-2017")</f>
        <v>128211;INF109KA1QG5;-;ICICI Prudential Capital Protection Oriented Fund V - PLAN D - 1100 Days - Dividend;13.1477;03-Apr-2017</v>
      </c>
      <c r="B11545" s="1"/>
    </row>
    <row r="11546">
      <c r="A11546" s="1" t="str">
        <f>IFERROR(__xludf.DUMMYFUNCTION("""COMPUTED_VALUE"""),"129071;INF109KA1SJ5;-;ICICI Prudential Capital Protection Oriented Fund V - PLAN E- 1100 Days - Cumulative;13.1446;08-May-2017")</f>
        <v>129071;INF109KA1SJ5;-;ICICI Prudential Capital Protection Oriented Fund V - PLAN E- 1100 Days - Cumulative;13.1446;08-May-2017</v>
      </c>
      <c r="B11546" s="1"/>
    </row>
    <row r="11547">
      <c r="A11547" s="1" t="str">
        <f>IFERROR(__xludf.DUMMYFUNCTION("""COMPUTED_VALUE"""),"129070;INF109KA1SL1;-;ICICI Prudential Capital Protection Oriented Fund V - PLAN E- 1100 Days - Direct Plan - Cumulative;13.7146;08-May-2017")</f>
        <v>129070;INF109KA1SL1;-;ICICI Prudential Capital Protection Oriented Fund V - PLAN E- 1100 Days - Direct Plan - Cumulative;13.7146;08-May-2017</v>
      </c>
      <c r="B11547" s="1"/>
    </row>
    <row r="11548">
      <c r="A11548" s="1" t="str">
        <f>IFERROR(__xludf.DUMMYFUNCTION("""COMPUTED_VALUE"""),"129072;INF109KA1SK3;-;ICICI Prudential Capital Protection Oriented Fund V - PLAN E- 1100 Days - Dividend;13.1446;08-May-2017")</f>
        <v>129072;INF109KA1SK3;-;ICICI Prudential Capital Protection Oriented Fund V - PLAN E- 1100 Days - Dividend;13.1446;08-May-2017</v>
      </c>
      <c r="B11548" s="1"/>
    </row>
    <row r="11549">
      <c r="A11549" s="1" t="str">
        <f>IFERROR(__xludf.DUMMYFUNCTION("""COMPUTED_VALUE"""),"129738;INF109KA1VL5;-;ICICI Prudential Capital Protection Oriented Fund V -Plan F -1100 Days Direct Plan Cumulative Option;13.2817;07-Jun-2017")</f>
        <v>129738;INF109KA1VL5;-;ICICI Prudential Capital Protection Oriented Fund V -Plan F -1100 Days Direct Plan Cumulative Option;13.2817;07-Jun-2017</v>
      </c>
      <c r="B11549" s="1"/>
    </row>
    <row r="11550">
      <c r="A11550" s="1" t="str">
        <f>IFERROR(__xludf.DUMMYFUNCTION("""COMPUTED_VALUE"""),"129737;INF109KA1VK7;-;ICICI Prudential Capital Protection Oriented Fund V- Plan F - 1100 Days -Dividend Option;12.7422;07-Jun-2017")</f>
        <v>129737;INF109KA1VK7;-;ICICI Prudential Capital Protection Oriented Fund V- Plan F - 1100 Days -Dividend Option;12.7422;07-Jun-2017</v>
      </c>
      <c r="B11550" s="1"/>
    </row>
    <row r="11551">
      <c r="A11551" s="1" t="str">
        <f>IFERROR(__xludf.DUMMYFUNCTION("""COMPUTED_VALUE"""),"129740;INF109KA1VM3;-;ICICI Prudential Capital Protection Oriented Fund V- Plan F -1100 Days Direct Plan Dividend Option;13.2817;07-Jun-2017")</f>
        <v>129740;INF109KA1VM3;-;ICICI Prudential Capital Protection Oriented Fund V- Plan F -1100 Days Direct Plan Dividend Option;13.2817;07-Jun-2017</v>
      </c>
      <c r="B11551" s="1"/>
    </row>
    <row r="11552">
      <c r="A11552" s="1" t="str">
        <f>IFERROR(__xludf.DUMMYFUNCTION("""COMPUTED_VALUE"""),"129739;INF109KA1VJ9;-;ICICI Prudential Capital Protection Oriented Fund V- Plan F- 1100 Days -Cumulative Option;12.7422;07-Jun-2017")</f>
        <v>129739;INF109KA1VJ9;-;ICICI Prudential Capital Protection Oriented Fund V- Plan F- 1100 Days -Cumulative Option;12.7422;07-Jun-2017</v>
      </c>
      <c r="B11552" s="1"/>
    </row>
    <row r="11553">
      <c r="A11553" s="1" t="str">
        <f>IFERROR(__xludf.DUMMYFUNCTION("""COMPUTED_VALUE"""),"129857;INF109KA1VV4;-;ICICI Prudential Capital Protection Oriented Fund Series VI -1825 Days Plan A Cumulative Option;14.9675;04-Jun-2019")</f>
        <v>129857;INF109KA1VV4;-;ICICI Prudential Capital Protection Oriented Fund Series VI -1825 Days Plan A Cumulative Option;14.9675;04-Jun-2019</v>
      </c>
      <c r="B11553" s="1"/>
    </row>
    <row r="11554">
      <c r="A11554" s="1" t="str">
        <f>IFERROR(__xludf.DUMMYFUNCTION("""COMPUTED_VALUE"""),"129859;INF109KA1VX0;-;ICICI Prudential Capital Protection Oriented Fund Series VI- 1825 Days Plan A Direct Plan Cumulative option;15.9313;04-Jun-2019")</f>
        <v>129859;INF109KA1VX0;-;ICICI Prudential Capital Protection Oriented Fund Series VI- 1825 Days Plan A Direct Plan Cumulative option;15.9313;04-Jun-2019</v>
      </c>
      <c r="B11554" s="1"/>
    </row>
    <row r="11555">
      <c r="A11555" s="1" t="str">
        <f>IFERROR(__xludf.DUMMYFUNCTION("""COMPUTED_VALUE"""),"129860;INF109KA1VY8;-;ICICI Prudential Capital Protection Oriented Fund Series VI- 1825 Days Plan A Direct Plan Dividend Option;15.9313;04-Jun-2019")</f>
        <v>129860;INF109KA1VY8;-;ICICI Prudential Capital Protection Oriented Fund Series VI- 1825 Days Plan A Direct Plan Dividend Option;15.9313;04-Jun-2019</v>
      </c>
      <c r="B11555" s="1"/>
    </row>
    <row r="11556">
      <c r="A11556" s="1" t="str">
        <f>IFERROR(__xludf.DUMMYFUNCTION("""COMPUTED_VALUE"""),"129858;INF109KA1VW2;-;ICICI Prudential Capital Protection Oriented Fund Series VI- 1825 Days Plan A Dividend Option;14.9675;04-Jun-2019")</f>
        <v>129858;INF109KA1VW2;-;ICICI Prudential Capital Protection Oriented Fund Series VI- 1825 Days Plan A Dividend Option;14.9675;04-Jun-2019</v>
      </c>
      <c r="B11556" s="1"/>
    </row>
    <row r="11557">
      <c r="A11557" s="1" t="str">
        <f>IFERROR(__xludf.DUMMYFUNCTION("""COMPUTED_VALUE"""),"130220;INF109KA1XJ5;-;ICICI Prudential Capital Protection Oriented Fund Series VI -1825 Days Plan C Direct Plan Cumulative Option;15.3491;02-Jul-2019")</f>
        <v>130220;INF109KA1XJ5;-;ICICI Prudential Capital Protection Oriented Fund Series VI -1825 Days Plan C Direct Plan Cumulative Option;15.3491;02-Jul-2019</v>
      </c>
      <c r="B11557" s="1"/>
    </row>
    <row r="11558">
      <c r="A11558" s="1" t="str">
        <f>IFERROR(__xludf.DUMMYFUNCTION("""COMPUTED_VALUE"""),"130219;INF109KA1XH9;-;ICICI Prudential Capital Protection Oriented Fund Series VI- 1825 Days Plan C Cumulative Option;14.5695;02-Jul-2019")</f>
        <v>130219;INF109KA1XH9;-;ICICI Prudential Capital Protection Oriented Fund Series VI- 1825 Days Plan C Cumulative Option;14.5695;02-Jul-2019</v>
      </c>
      <c r="B11558" s="1"/>
    </row>
    <row r="11559">
      <c r="A11559" s="1" t="str">
        <f>IFERROR(__xludf.DUMMYFUNCTION("""COMPUTED_VALUE"""),"130221;INF109KA1XK3;-;ICICI Prudential Capital Protection Oriented Fund Series VI- 1825 Days Plan C Direct Plan Dividend option;15.3491;02-Jul-2019")</f>
        <v>130221;INF109KA1XK3;-;ICICI Prudential Capital Protection Oriented Fund Series VI- 1825 Days Plan C Direct Plan Dividend option;15.3491;02-Jul-2019</v>
      </c>
      <c r="B11559" s="1"/>
    </row>
    <row r="11560">
      <c r="A11560" s="1" t="str">
        <f>IFERROR(__xludf.DUMMYFUNCTION("""COMPUTED_VALUE"""),"130222;INF109KA1XI7;-;ICICI Prudential Capital Protection Oriented Fund Series VI- 1825 Days Plan C Dividend Option;14.5695;02-Jul-2019")</f>
        <v>130222;INF109KA1XI7;-;ICICI Prudential Capital Protection Oriented Fund Series VI- 1825 Days Plan C Dividend Option;14.5695;02-Jul-2019</v>
      </c>
      <c r="B11560" s="1"/>
    </row>
    <row r="11561">
      <c r="A11561" s="1" t="str">
        <f>IFERROR(__xludf.DUMMYFUNCTION("""COMPUTED_VALUE"""),"133293;INF109KA10P8;-;ICICI Prudential Capital Protection Oriented Fund - Series VII - 1822 Days Plan D Cumulative Option;13.6861;02-Jan-2020")</f>
        <v>133293;INF109KA10P8;-;ICICI Prudential Capital Protection Oriented Fund - Series VII - 1822 Days Plan D Cumulative Option;13.6861;02-Jan-2020</v>
      </c>
      <c r="B11561" s="1"/>
    </row>
    <row r="11562">
      <c r="A11562" s="1" t="str">
        <f>IFERROR(__xludf.DUMMYFUNCTION("""COMPUTED_VALUE"""),"133295;INF109KA12P4;-;ICICI Prudential Capital Protection Oriented Fund - Series VII - 1822 Days Plan D Direct Plan Cumulative Option;14.5015;02-Jan-2020")</f>
        <v>133295;INF109KA12P4;-;ICICI Prudential Capital Protection Oriented Fund - Series VII - 1822 Days Plan D Direct Plan Cumulative Option;14.5015;02-Jan-2020</v>
      </c>
      <c r="B11562" s="1"/>
    </row>
    <row r="11563">
      <c r="A11563" s="1" t="str">
        <f>IFERROR(__xludf.DUMMYFUNCTION("""COMPUTED_VALUE"""),"133294;INF109KA13P2;-;ICICI Prudential Capital Protection Oriented Fund - Series VII - 1822 Days Plan D Direct Plan Dividend Option;14.5015;02-Jan-2020")</f>
        <v>133294;INF109KA13P2;-;ICICI Prudential Capital Protection Oriented Fund - Series VII - 1822 Days Plan D Direct Plan Dividend Option;14.5015;02-Jan-2020</v>
      </c>
      <c r="B11563" s="1"/>
    </row>
    <row r="11564">
      <c r="A11564" s="1" t="str">
        <f>IFERROR(__xludf.DUMMYFUNCTION("""COMPUTED_VALUE"""),"133296;INF109KA11P6;-;ICICI Prudential Capital Protection Oriented Fund - Series VII - 1822 Days Plan D Dividend Option;13.6861;02-Jan-2020")</f>
        <v>133296;INF109KA11P6;-;ICICI Prudential Capital Protection Oriented Fund - Series VII - 1822 Days Plan D Dividend Option;13.6861;02-Jan-2020</v>
      </c>
      <c r="B11564" s="1"/>
    </row>
    <row r="11565">
      <c r="A11565" s="1" t="str">
        <f>IFERROR(__xludf.DUMMYFUNCTION("""COMPUTED_VALUE"""),"133636;INF109KA18T3;-;ICICI Prudential Capital Protection Oriented Fund - Series VII - 1285 Days Plan G Cumulative Option;12.1729;30-Aug-2018")</f>
        <v>133636;INF109KA18T3;-;ICICI Prudential Capital Protection Oriented Fund - Series VII - 1285 Days Plan G Cumulative Option;12.1729;30-Aug-2018</v>
      </c>
      <c r="B11565" s="1"/>
    </row>
    <row r="11566">
      <c r="A11566" s="1" t="str">
        <f>IFERROR(__xludf.DUMMYFUNCTION("""COMPUTED_VALUE"""),"133639;INF109KA10U8;-;ICICI Prudential Capital Protection Oriented Fund - Series VII - 1285 Days Plan G Direct Plan Cumulative Option;12.7261;30-Aug-2018")</f>
        <v>133639;INF109KA10U8;-;ICICI Prudential Capital Protection Oriented Fund - Series VII - 1285 Days Plan G Direct Plan Cumulative Option;12.7261;30-Aug-2018</v>
      </c>
      <c r="B11566" s="1"/>
    </row>
    <row r="11567">
      <c r="A11567" s="1" t="str">
        <f>IFERROR(__xludf.DUMMYFUNCTION("""COMPUTED_VALUE"""),"133637;INF109KA19T1;-;ICICI Prudential Capital Protection Oriented Fund - Series VII - 1285 Days Plan G Dividend Option;12.1729;30-Aug-2018")</f>
        <v>133637;INF109KA19T1;-;ICICI Prudential Capital Protection Oriented Fund - Series VII - 1285 Days Plan G Dividend Option;12.1729;30-Aug-2018</v>
      </c>
      <c r="B11567" s="1"/>
    </row>
    <row r="11568">
      <c r="A11568" s="1" t="str">
        <f>IFERROR(__xludf.DUMMYFUNCTION("""COMPUTED_VALUE"""),"133861;INF109KA14X4;-;ICICI Prudential Capital Protection Oriented Fund - Series VII - 1284 Days Plan H Cumulative Option;12.5336;14-Sep-2018")</f>
        <v>133861;INF109KA14X4;-;ICICI Prudential Capital Protection Oriented Fund - Series VII - 1284 Days Plan H Cumulative Option;12.5336;14-Sep-2018</v>
      </c>
      <c r="B11568" s="1"/>
    </row>
    <row r="11569">
      <c r="A11569" s="1" t="str">
        <f>IFERROR(__xludf.DUMMYFUNCTION("""COMPUTED_VALUE"""),"133864;INF109KA16X9;-;ICICI Prudential Capital Protection Oriented Fund - Series VII - 1284 Days Plan H Direct Plan Cumulative Option;13.0869;14-Sep-2018")</f>
        <v>133864;INF109KA16X9;-;ICICI Prudential Capital Protection Oriented Fund - Series VII - 1284 Days Plan H Direct Plan Cumulative Option;13.0869;14-Sep-2018</v>
      </c>
      <c r="B11569" s="1"/>
    </row>
    <row r="11570">
      <c r="A11570" s="1" t="str">
        <f>IFERROR(__xludf.DUMMYFUNCTION("""COMPUTED_VALUE"""),"133863;INF109KA17X7;-;ICICI Prudential Capital Protection Oriented Fund - Series VII - 1284 Days Plan H Direct Plan Dividend Option;13.0869;14-Sep-2018")</f>
        <v>133863;INF109KA17X7;-;ICICI Prudential Capital Protection Oriented Fund - Series VII - 1284 Days Plan H Direct Plan Dividend Option;13.0869;14-Sep-2018</v>
      </c>
      <c r="B11570" s="1"/>
    </row>
    <row r="11571">
      <c r="A11571" s="1" t="str">
        <f>IFERROR(__xludf.DUMMYFUNCTION("""COMPUTED_VALUE"""),"133862;INF109KA15X1;-;ICICI Prudential Capital Protection Oriented Fund - Series VII - 1284 Days Plan H Dividend Option;12.5336;14-Sep-2018")</f>
        <v>133862;INF109KA15X1;-;ICICI Prudential Capital Protection Oriented Fund - Series VII - 1284 Days Plan H Dividend Option;12.5336;14-Sep-2018</v>
      </c>
      <c r="B11571" s="1"/>
    </row>
    <row r="11572">
      <c r="A11572" s="1" t="str">
        <f>IFERROR(__xludf.DUMMYFUNCTION("""COMPUTED_VALUE"""),"134021;INF109KB1250;-;ICICI Prudential Capital Protection Oriented Fund - Series VIII - 1300 Days Plan A Cumulative Option;12.3401;16-Oct-2018")</f>
        <v>134021;INF109KB1250;-;ICICI Prudential Capital Protection Oriented Fund - Series VIII - 1300 Days Plan A Cumulative Option;12.3401;16-Oct-2018</v>
      </c>
      <c r="B11572" s="1"/>
    </row>
    <row r="11573">
      <c r="A11573" s="1" t="str">
        <f>IFERROR(__xludf.DUMMYFUNCTION("""COMPUTED_VALUE"""),"134018;INF109KB1276;-;ICICI Prudential Capital Protection Oriented Fund - Series VIII - 1300 Days Plan A Direct Plan Cumulative Option;12.8884;16-Oct-2018")</f>
        <v>134018;INF109KB1276;-;ICICI Prudential Capital Protection Oriented Fund - Series VIII - 1300 Days Plan A Direct Plan Cumulative Option;12.8884;16-Oct-2018</v>
      </c>
      <c r="B11573" s="1"/>
    </row>
    <row r="11574">
      <c r="A11574" s="1" t="str">
        <f>IFERROR(__xludf.DUMMYFUNCTION("""COMPUTED_VALUE"""),"134020;INF109KB1268;-;ICICI Prudential Capital Protection Oriented Fund - Series VIII - 1300 Days Plan A Dividend Option;12.3401;16-Oct-2018")</f>
        <v>134020;INF109KB1268;-;ICICI Prudential Capital Protection Oriented Fund - Series VIII - 1300 Days Plan A Dividend Option;12.3401;16-Oct-2018</v>
      </c>
      <c r="B11574" s="1"/>
    </row>
    <row r="11575">
      <c r="A11575" s="1" t="str">
        <f>IFERROR(__xludf.DUMMYFUNCTION("""COMPUTED_VALUE"""),"135179;INF109KB1KZ7;-;ICICI Prudential Capital Protection Oriented Fund - Series VIII -1105 Days Plan H Cumulative Option;12.0188;29-Aug-2018")</f>
        <v>135179;INF109KB1KZ7;-;ICICI Prudential Capital Protection Oriented Fund - Series VIII -1105 Days Plan H Cumulative Option;12.0188;29-Aug-2018</v>
      </c>
      <c r="B11575" s="1"/>
    </row>
    <row r="11576">
      <c r="A11576" s="1" t="str">
        <f>IFERROR(__xludf.DUMMYFUNCTION("""COMPUTED_VALUE"""),"135181;INF109KB1LB6;-;ICICI Prudential Capital Protection Oriented Fund - Series VIII -1105 Days Plan H Direct Plan Cumulative Option;12.4958;29-Aug-2018")</f>
        <v>135181;INF109KB1LB6;-;ICICI Prudential Capital Protection Oriented Fund - Series VIII -1105 Days Plan H Direct Plan Cumulative Option;12.4958;29-Aug-2018</v>
      </c>
      <c r="B11576" s="1"/>
    </row>
    <row r="11577">
      <c r="A11577" s="1" t="str">
        <f>IFERROR(__xludf.DUMMYFUNCTION("""COMPUTED_VALUE"""),"135182;INF109KB1LC4;-;ICICI Prudential Capital Protection Oriented Fund - Series VIII -1105 Days Plan H Direct Plan Dividend Option;12.4958;29-Aug-2018")</f>
        <v>135182;INF109KB1LC4;-;ICICI Prudential Capital Protection Oriented Fund - Series VIII -1105 Days Plan H Direct Plan Dividend Option;12.4958;29-Aug-2018</v>
      </c>
      <c r="B11577" s="1"/>
    </row>
    <row r="11578">
      <c r="A11578" s="1" t="str">
        <f>IFERROR(__xludf.DUMMYFUNCTION("""COMPUTED_VALUE"""),"135180;INF109KB1LA8;-;ICICI Prudential Capital Protection Oriented Fund - Series VIII -1105 Days Plan H Dividend Option;12.0188;29-Aug-2018")</f>
        <v>135180;INF109KB1LA8;-;ICICI Prudential Capital Protection Oriented Fund - Series VIII -1105 Days Plan H Dividend Option;12.0188;29-Aug-2018</v>
      </c>
      <c r="B11578" s="1"/>
    </row>
    <row r="11579">
      <c r="A11579" s="1" t="str">
        <f>IFERROR(__xludf.DUMMYFUNCTION("""COMPUTED_VALUE"""),"135195;INF109KB1LL5;-;ICICI Prudential Capital Protection Oriented Fund - Series VIII - 1290 Days Plan I Cumulative Option;12.2126;07-Mar-2019")</f>
        <v>135195;INF109KB1LL5;-;ICICI Prudential Capital Protection Oriented Fund - Series VIII - 1290 Days Plan I Cumulative Option;12.2126;07-Mar-2019</v>
      </c>
      <c r="B11579" s="1"/>
    </row>
    <row r="11580">
      <c r="A11580" s="1" t="str">
        <f>IFERROR(__xludf.DUMMYFUNCTION("""COMPUTED_VALUE"""),"135192;INF109KB1LN1;-;ICICI Prudential Capital Protection Oriented Fund - Series VIII - 1290 Days Plan I Direct Plan Cumulative Option;12.9001;07-Mar-2019")</f>
        <v>135192;INF109KB1LN1;-;ICICI Prudential Capital Protection Oriented Fund - Series VIII - 1290 Days Plan I Direct Plan Cumulative Option;12.9001;07-Mar-2019</v>
      </c>
      <c r="B11580" s="1"/>
    </row>
    <row r="11581">
      <c r="A11581" s="1" t="str">
        <f>IFERROR(__xludf.DUMMYFUNCTION("""COMPUTED_VALUE"""),"135194;INF109KB1LO9;-;ICICI Prudential Capital Protection Oriented Fund - Series VIII - 1290 Days Plan I Direct Plan Dividend Option;12.9001;07-Mar-2019")</f>
        <v>135194;INF109KB1LO9;-;ICICI Prudential Capital Protection Oriented Fund - Series VIII - 1290 Days Plan I Direct Plan Dividend Option;12.9001;07-Mar-2019</v>
      </c>
      <c r="B11581" s="1"/>
    </row>
    <row r="11582">
      <c r="A11582" s="1" t="str">
        <f>IFERROR(__xludf.DUMMYFUNCTION("""COMPUTED_VALUE"""),"135193;INF109KB1LM3;-;ICICI Prudential Capital Protection Oriented Fund - Series VIII - 1290 Days Plan I Dividend Option;12.2126;07-Mar-2019")</f>
        <v>135193;INF109KB1LM3;-;ICICI Prudential Capital Protection Oriented Fund - Series VIII - 1290 Days Plan I Dividend Option;12.2126;07-Mar-2019</v>
      </c>
      <c r="B11582" s="1"/>
    </row>
    <row r="11583">
      <c r="A11583" s="1" t="str">
        <f>IFERROR(__xludf.DUMMYFUNCTION("""COMPUTED_VALUE"""),"135219;INF109KB1LR2;-;ICICI Prudential Capital Protection Oriented Fund - Series VIII -1284 Days Plan J Cumulative Option;12.3742;07-Mar-2019")</f>
        <v>135219;INF109KB1LR2;-;ICICI Prudential Capital Protection Oriented Fund - Series VIII -1284 Days Plan J Cumulative Option;12.3742;07-Mar-2019</v>
      </c>
      <c r="B11583" s="1"/>
    </row>
    <row r="11584">
      <c r="A11584" s="1" t="str">
        <f>IFERROR(__xludf.DUMMYFUNCTION("""COMPUTED_VALUE"""),"135220;INF109KB1LT8;-;ICICI Prudential Capital Protection Oriented Fund - Series VIII -1284 Days Plan J Direct Plan Cumulative Option;12.9428;07-Mar-2019")</f>
        <v>135220;INF109KB1LT8;-;ICICI Prudential Capital Protection Oriented Fund - Series VIII -1284 Days Plan J Direct Plan Cumulative Option;12.9428;07-Mar-2019</v>
      </c>
      <c r="B11584" s="1"/>
    </row>
    <row r="11585">
      <c r="A11585" s="1" t="str">
        <f>IFERROR(__xludf.DUMMYFUNCTION("""COMPUTED_VALUE"""),"135218;INF109KB1LU6;-;ICICI Prudential Capital Protection Oriented Fund - Series VIII -1284 Days Plan J Direct Plan Dividend Option;12.9428;07-Mar-2019")</f>
        <v>135218;INF109KB1LU6;-;ICICI Prudential Capital Protection Oriented Fund - Series VIII -1284 Days Plan J Direct Plan Dividend Option;12.9428;07-Mar-2019</v>
      </c>
      <c r="B11585" s="1"/>
    </row>
    <row r="11586">
      <c r="A11586" s="1" t="str">
        <f>IFERROR(__xludf.DUMMYFUNCTION("""COMPUTED_VALUE"""),"135221;INF109KB1LS0;-;ICICI Prudential Capital Protection Oriented Fund - Series VIII -1284 Days Plan J Dividend Option;12.3742;07-Mar-2019")</f>
        <v>135221;INF109KB1LS0;-;ICICI Prudential Capital Protection Oriented Fund - Series VIII -1284 Days Plan J Dividend Option;12.3742;07-Mar-2019</v>
      </c>
      <c r="B11586" s="1"/>
    </row>
    <row r="11587">
      <c r="A11587" s="1" t="str">
        <f>IFERROR(__xludf.DUMMYFUNCTION("""COMPUTED_VALUE"""),"128989;INF109KA1SF3;-;ICICI Prudential Fixed Maturity Plan-Corporate Bond Series A-750 Days - Cumulative Option;12.9083;30-May-2017")</f>
        <v>128989;INF109KA1SF3;-;ICICI Prudential Fixed Maturity Plan-Corporate Bond Series A-750 Days - Cumulative Option;12.9083;30-May-2017</v>
      </c>
      <c r="B11587" s="1"/>
    </row>
    <row r="11588">
      <c r="A11588" s="1" t="str">
        <f>IFERROR(__xludf.DUMMYFUNCTION("""COMPUTED_VALUE"""),"128991;INF109KA1SH9;-;ICICI Prudential Fixed Maturity Plan-Corporate Bond Series A-750 Days - Direct Plan-Cumulative Option;13.0539;30-May-2017")</f>
        <v>128991;INF109KA1SH9;-;ICICI Prudential Fixed Maturity Plan-Corporate Bond Series A-750 Days - Direct Plan-Cumulative Option;13.0539;30-May-2017</v>
      </c>
      <c r="B11588" s="1"/>
    </row>
    <row r="11589">
      <c r="A11589" s="1" t="str">
        <f>IFERROR(__xludf.DUMMYFUNCTION("""COMPUTED_VALUE"""),"130806;INF109KA1ZU7;-;ICICI Prudential Fixed Maturity Plan - Corporate Bond Series B - 1100 Days - Cumulative Option;13.1792;16-Aug-2017")</f>
        <v>130806;INF109KA1ZU7;-;ICICI Prudential Fixed Maturity Plan - Corporate Bond Series B - 1100 Days - Cumulative Option;13.1792;16-Aug-2017</v>
      </c>
      <c r="B11589" s="1"/>
    </row>
    <row r="11590">
      <c r="A11590" s="1" t="str">
        <f>IFERROR(__xludf.DUMMYFUNCTION("""COMPUTED_VALUE"""),"130803;INF109KA1ZW3;-;ICICI Prudential Fixed Maturity Plan - Corporate Bond Series B - 1100 Days - Direct Plan - Cumulative Option;13.3191;16-Aug-2017")</f>
        <v>130803;INF109KA1ZW3;-;ICICI Prudential Fixed Maturity Plan - Corporate Bond Series B - 1100 Days - Direct Plan - Cumulative Option;13.3191;16-Aug-2017</v>
      </c>
      <c r="B11590" s="1"/>
    </row>
    <row r="11591">
      <c r="A11591" s="1" t="str">
        <f>IFERROR(__xludf.DUMMYFUNCTION("""COMPUTED_VALUE"""),"130804;INF109KA1ZX1;-;ICICI Prudential Fixed Maturity Plan - Corporate Bond Series B - 1100 Days - Direct Plan - Dividend Option;13.3191;16-Aug-2017")</f>
        <v>130804;INF109KA1ZX1;-;ICICI Prudential Fixed Maturity Plan - Corporate Bond Series B - 1100 Days - Direct Plan - Dividend Option;13.3191;16-Aug-2017</v>
      </c>
      <c r="B11591" s="1"/>
    </row>
    <row r="11592">
      <c r="A11592" s="1" t="str">
        <f>IFERROR(__xludf.DUMMYFUNCTION("""COMPUTED_VALUE"""),"130805;INF109KA1ZV5;-;ICICI Prudential Fixed Maturity Plan - Corporate Bond Series B - 1100 Days - Dividend Option;13.1792;16-Aug-2017")</f>
        <v>130805;INF109KA1ZV5;-;ICICI Prudential Fixed Maturity Plan - Corporate Bond Series B - 1100 Days - Dividend Option;13.1792;16-Aug-2017</v>
      </c>
      <c r="B11592" s="1"/>
    </row>
    <row r="11593">
      <c r="A11593" s="1" t="str">
        <f>IFERROR(__xludf.DUMMYFUNCTION("""COMPUTED_VALUE"""),"130404;INF109KB1JF1;-;ICICI Prudential Fixed Maturity Plan - Series - 74 -367 days Plan Z Cumulative Option;12.8014;28-Aug-2017")</f>
        <v>130404;INF109KB1JF1;-;ICICI Prudential Fixed Maturity Plan - Series - 74 -367 days Plan Z Cumulative Option;12.8014;28-Aug-2017</v>
      </c>
      <c r="B11593" s="1"/>
    </row>
    <row r="11594">
      <c r="A11594" s="1" t="str">
        <f>IFERROR(__xludf.DUMMYFUNCTION("""COMPUTED_VALUE"""),"130403;INF109KB1JI5;-;ICICI Prudential Fixed Maturity Plan - Series -74 - 367 Days Plan Z Direct Plan Dividend Option;12.7623;28-Aug-2017")</f>
        <v>130403;INF109KB1JI5;-;ICICI Prudential Fixed Maturity Plan - Series -74 - 367 Days Plan Z Direct Plan Dividend Option;12.7623;28-Aug-2017</v>
      </c>
      <c r="B11594" s="1"/>
    </row>
    <row r="11595">
      <c r="A11595" s="1" t="str">
        <f>IFERROR(__xludf.DUMMYFUNCTION("""COMPUTED_VALUE"""),"130405;INF109KB1JG9;-;ICICI Prudential Fixed Maturity Plan - Series -74 - 367 Days Plan Z Dividend Option;12.7426;28-Aug-2017")</f>
        <v>130405;INF109KB1JG9;-;ICICI Prudential Fixed Maturity Plan - Series -74 - 367 Days Plan Z Dividend Option;12.7426;28-Aug-2017</v>
      </c>
      <c r="B11595" s="1"/>
    </row>
    <row r="11596">
      <c r="A11596" s="1" t="str">
        <f>IFERROR(__xludf.DUMMYFUNCTION("""COMPUTED_VALUE"""),"130402;INF109KB1JH7;-;ICICI Prudential Fixed Maturity Plan - Series 74 - 367 Days Plan Z Direct Plan Cumulative Option;12.8213;28-Aug-2017")</f>
        <v>130402;INF109KB1JH7;-;ICICI Prudential Fixed Maturity Plan - Series 74 - 367 Days Plan Z Direct Plan Cumulative Option;12.8213;28-Aug-2017</v>
      </c>
      <c r="B11596" s="1"/>
    </row>
    <row r="11597">
      <c r="A11597" s="1" t="str">
        <f>IFERROR(__xludf.DUMMYFUNCTION("""COMPUTED_VALUE"""),"123545;INF109KA1BV6;-;ICICI Prudential Fixed Maturity Plan-Series 69-1821 Days Plan I - Cumulative;15.1559;30-Aug-2018")</f>
        <v>123545;INF109KA1BV6;-;ICICI Prudential Fixed Maturity Plan-Series 69-1821 Days Plan I - Cumulative;15.1559;30-Aug-2018</v>
      </c>
      <c r="B11597" s="1"/>
    </row>
    <row r="11598">
      <c r="A11598" s="1" t="str">
        <f>IFERROR(__xludf.DUMMYFUNCTION("""COMPUTED_VALUE"""),"123543;INF109KA1BT0;-;ICICI Prudential Fixed Maturity Plan-Series 69-1821 Days Plan I - Direct Plan - Cumulative;15.3683;30-Aug-2018")</f>
        <v>123543;INF109KA1BT0;-;ICICI Prudential Fixed Maturity Plan-Series 69-1821 Days Plan I - Direct Plan - Cumulative;15.3683;30-Aug-2018</v>
      </c>
      <c r="B11598" s="1"/>
    </row>
    <row r="11599">
      <c r="A11599" s="1" t="str">
        <f>IFERROR(__xludf.DUMMYFUNCTION("""COMPUTED_VALUE"""),"123544;INF109KA1BU8;-;ICICI Prudential Fixed Maturity Plan-Series 69-1821 Days Plan I - Direct Plan - Dividend;13.7239;30-Aug-2018")</f>
        <v>123544;INF109KA1BU8;-;ICICI Prudential Fixed Maturity Plan-Series 69-1821 Days Plan I - Direct Plan - Dividend;13.7239;30-Aug-2018</v>
      </c>
      <c r="B11599" s="1"/>
    </row>
    <row r="11600">
      <c r="A11600" s="1" t="str">
        <f>IFERROR(__xludf.DUMMYFUNCTION("""COMPUTED_VALUE"""),"123546;INF109KA1BW4;-;ICICI Prudential Fixed Maturity Plan-Series 69-1821 Days Plan I - Dividend;13.6111;30-Aug-2018")</f>
        <v>123546;INF109KA1BW4;-;ICICI Prudential Fixed Maturity Plan-Series 69-1821 Days Plan I - Dividend;13.6111;30-Aug-2018</v>
      </c>
      <c r="B11600" s="1"/>
    </row>
    <row r="11601">
      <c r="A11601" s="1" t="str">
        <f>IFERROR(__xludf.DUMMYFUNCTION("""COMPUTED_VALUE"""),"125318;INF109KA10H5;-;ICICI Prudential Fixed Maturity Plan-Series 71-366 Days Plan C - Cumulative;12.8508;29-Nov-2016")</f>
        <v>125318;INF109KA10H5;-;ICICI Prudential Fixed Maturity Plan-Series 71-366 Days Plan C - Cumulative;12.8508;29-Nov-2016</v>
      </c>
      <c r="B11601" s="1"/>
    </row>
    <row r="11602">
      <c r="A11602" s="1" t="str">
        <f>IFERROR(__xludf.DUMMYFUNCTION("""COMPUTED_VALUE"""),"125320;INF109KA18G0;-;ICICI Prudential Fixed Maturity Plan-Series 71-366 Days Plan C - Direct Plan - Cumulative;12.8817;29-Nov-2016")</f>
        <v>125320;INF109KA18G0;-;ICICI Prudential Fixed Maturity Plan-Series 71-366 Days Plan C - Direct Plan - Cumulative;12.8817;29-Nov-2016</v>
      </c>
      <c r="B11602" s="1"/>
    </row>
    <row r="11603">
      <c r="A11603" s="1" t="str">
        <f>IFERROR(__xludf.DUMMYFUNCTION("""COMPUTED_VALUE"""),"125319;INF109KA11H3;-;ICICI Prudential Fixed Maturity Plan-Series 71-366 Days Plan C - Dividend;11.8762;29-Nov-2016")</f>
        <v>125319;INF109KA11H3;-;ICICI Prudential Fixed Maturity Plan-Series 71-366 Days Plan C - Dividend;11.8762;29-Nov-2016</v>
      </c>
      <c r="B11603" s="1"/>
    </row>
    <row r="11604">
      <c r="A11604" s="1" t="str">
        <f>IFERROR(__xludf.DUMMYFUNCTION("""COMPUTED_VALUE"""),"125316;INF109KB1FF9;-;ICICI Prudential Fixed Maturity Plan-Series 71-547 Days Plan B - Cumulative;13.5397;24-Jul-2017")</f>
        <v>125316;INF109KB1FF9;-;ICICI Prudential Fixed Maturity Plan-Series 71-547 Days Plan B - Cumulative;13.5397;24-Jul-2017</v>
      </c>
      <c r="B11604" s="1"/>
    </row>
    <row r="11605">
      <c r="A11605" s="1" t="str">
        <f>IFERROR(__xludf.DUMMYFUNCTION("""COMPUTED_VALUE"""),"125314;INF109KB1FH5;-;ICICI Prudential Fixed Maturity Plan-Series 71-547 Days Plan B - Direct Plan - Cumulative;13.6004;24-Jul-2017")</f>
        <v>125314;INF109KB1FH5;-;ICICI Prudential Fixed Maturity Plan-Series 71-547 Days Plan B - Direct Plan - Cumulative;13.6004;24-Jul-2017</v>
      </c>
      <c r="B11605" s="1"/>
    </row>
    <row r="11606">
      <c r="A11606" s="1" t="str">
        <f>IFERROR(__xludf.DUMMYFUNCTION("""COMPUTED_VALUE"""),"125315;INF109KB1FI3;-;ICICI Prudential Fixed Maturity Plan-Series 71-547 Days Plan B - Direct Plan - Dividend;13.5408;24-Jul-2017")</f>
        <v>125315;INF109KB1FI3;-;ICICI Prudential Fixed Maturity Plan-Series 71-547 Days Plan B - Direct Plan - Dividend;13.5408;24-Jul-2017</v>
      </c>
      <c r="B11606" s="1"/>
    </row>
    <row r="11607">
      <c r="A11607" s="1" t="str">
        <f>IFERROR(__xludf.DUMMYFUNCTION("""COMPUTED_VALUE"""),"125313;INF109KB1FG7;-;ICICI Prudential Fixed Maturity Plan-Series 71-547 Days Plan B - Dividend;11.4019;13-May-2015")</f>
        <v>125313;INF109KB1FG7;-;ICICI Prudential Fixed Maturity Plan-Series 71-547 Days Plan B - Dividend;11.4019;13-May-2015</v>
      </c>
      <c r="B11607" s="1"/>
    </row>
    <row r="11608">
      <c r="A11608" s="1" t="str">
        <f>IFERROR(__xludf.DUMMYFUNCTION("""COMPUTED_VALUE"""),"126817;INF109KA18V9;-;ICICI Prudential Fixed Maturity Plan-Series 72-366 Days Plan K - Cumulative;14.1348;25-Sep-2018")</f>
        <v>126817;INF109KA18V9;-;ICICI Prudential Fixed Maturity Plan-Series 72-366 Days Plan K - Cumulative;14.1348;25-Sep-2018</v>
      </c>
      <c r="B11608" s="1"/>
    </row>
    <row r="11609">
      <c r="A11609" s="1" t="str">
        <f>IFERROR(__xludf.DUMMYFUNCTION("""COMPUTED_VALUE"""),"126815;INF109KA10W4;-;ICICI Prudential Fixed Maturity Plan-Series 72-366 Days Plan K - Direct Plan - Cumulative;13.1563;15-Jun-2017")</f>
        <v>126815;INF109KA10W4;-;ICICI Prudential Fixed Maturity Plan-Series 72-366 Days Plan K - Direct Plan - Cumulative;13.1563;15-Jun-2017</v>
      </c>
      <c r="B11609" s="1"/>
    </row>
    <row r="11610">
      <c r="A11610" s="1" t="str">
        <f>IFERROR(__xludf.DUMMYFUNCTION("""COMPUTED_VALUE"""),"126816;INF109KA11W2;-;ICICI Prudential Fixed Maturity Plan-Series 72-366 Days Plan K - Direct Plan - Dividend;12.8406;22-Feb-2017")</f>
        <v>126816;INF109KA11W2;-;ICICI Prudential Fixed Maturity Plan-Series 72-366 Days Plan K - Direct Plan - Dividend;12.8406;22-Feb-2017</v>
      </c>
      <c r="B11610" s="1"/>
    </row>
    <row r="11611">
      <c r="A11611" s="1" t="str">
        <f>IFERROR(__xludf.DUMMYFUNCTION("""COMPUTED_VALUE"""),"127726;INF109KA1OV9;-;ICICI Prudential Fixed Maturity Plan-Series 73-1140 Days Plan E - Cumulative;16.6082;14-May-2020")</f>
        <v>127726;INF109KA1OV9;-;ICICI Prudential Fixed Maturity Plan-Series 73-1140 Days Plan E - Cumulative;16.6082;14-May-2020</v>
      </c>
      <c r="B11611" s="1"/>
    </row>
    <row r="11612">
      <c r="A11612" s="1" t="str">
        <f>IFERROR(__xludf.DUMMYFUNCTION("""COMPUTED_VALUE"""),"127724;INF109KA1OX5;-;ICICI Prudential Fixed Maturity Plan-Series 73-1140 Days Plan E - Direct Plan - Cumulative;16.8366;14-May-2020")</f>
        <v>127724;INF109KA1OX5;-;ICICI Prudential Fixed Maturity Plan-Series 73-1140 Days Plan E - Direct Plan - Cumulative;16.8366;14-May-2020</v>
      </c>
      <c r="B11612" s="1"/>
    </row>
    <row r="11613">
      <c r="A11613" s="1" t="str">
        <f>IFERROR(__xludf.DUMMYFUNCTION("""COMPUTED_VALUE"""),"127725;INF109KA1OY3;-;ICICI Prudential Fixed Maturity Plan-Series 73-1140 Days Plan E - Direct Plan - Dividend;12.5318;02-May-2017")</f>
        <v>127725;INF109KA1OY3;-;ICICI Prudential Fixed Maturity Plan-Series 73-1140 Days Plan E - Direct Plan - Dividend;12.5318;02-May-2017</v>
      </c>
      <c r="B11613" s="1"/>
    </row>
    <row r="11614">
      <c r="A11614" s="1" t="str">
        <f>IFERROR(__xludf.DUMMYFUNCTION("""COMPUTED_VALUE"""),"127727;INF109KA1OW7;-;ICICI Prudential Fixed Maturity Plan-Series 73-1140 Days Plan E - Dividend;15.1766;14-May-2020")</f>
        <v>127727;INF109KA1OW7;-;ICICI Prudential Fixed Maturity Plan-Series 73-1140 Days Plan E - Dividend;15.1766;14-May-2020</v>
      </c>
      <c r="B11614" s="1"/>
    </row>
    <row r="11615">
      <c r="A11615" s="1" t="str">
        <f>IFERROR(__xludf.DUMMYFUNCTION("""COMPUTED_VALUE"""),"130330;INF109KB1JB0;-;ICICI Prudential Fixed Maturity Plan - Series 74 - 368 Days Plan Y Cumulative Option;12.8363;28-Aug-2017")</f>
        <v>130330;INF109KB1JB0;-;ICICI Prudential Fixed Maturity Plan - Series 74 - 368 Days Plan Y Cumulative Option;12.8363;28-Aug-2017</v>
      </c>
      <c r="B11615" s="1"/>
    </row>
    <row r="11616">
      <c r="A11616" s="1" t="str">
        <f>IFERROR(__xludf.DUMMYFUNCTION("""COMPUTED_VALUE"""),"130331;INF109KB1JD6;-;ICICI Prudential Fixed Maturity Plan - Series 74 - 368 Days Plan Y Direct Plan Cumulative Option;12.8576;28-Aug-2017")</f>
        <v>130331;INF109KB1JD6;-;ICICI Prudential Fixed Maturity Plan - Series 74 - 368 Days Plan Y Direct Plan Cumulative Option;12.8576;28-Aug-2017</v>
      </c>
      <c r="B11616" s="1"/>
    </row>
    <row r="11617">
      <c r="A11617" s="1" t="str">
        <f>IFERROR(__xludf.DUMMYFUNCTION("""COMPUTED_VALUE"""),"130329;INF109KB1JC8;-;ICICI Prudential Fixed Maturity Plan - Series 74 - 368 Days Plan Y Dividend Option;12.5419;28-Aug-2017")</f>
        <v>130329;INF109KB1JC8;-;ICICI Prudential Fixed Maturity Plan - Series 74 - 368 Days Plan Y Dividend Option;12.5419;28-Aug-2017</v>
      </c>
      <c r="B11617" s="1"/>
    </row>
    <row r="11618">
      <c r="A11618" s="1" t="str">
        <f>IFERROR(__xludf.DUMMYFUNCTION("""COMPUTED_VALUE"""),"130316;INF109KB1JJ3;-;ICICI Prudential Fixed Maturity Plan - Series 74 - 370 Days Plan X Cumulative Option;12.8787;28-Aug-2017")</f>
        <v>130316;INF109KB1JJ3;-;ICICI Prudential Fixed Maturity Plan - Series 74 - 370 Days Plan X Cumulative Option;12.8787;28-Aug-2017</v>
      </c>
      <c r="B11618" s="1"/>
    </row>
    <row r="11619">
      <c r="A11619" s="1" t="str">
        <f>IFERROR(__xludf.DUMMYFUNCTION("""COMPUTED_VALUE"""),"130315;INF109KB1JL9;-;ICICI Prudential Fixed Maturity Plan - Series 74 - 370 Days Plan X Direct Plan Cumulative Option;12.8994;28-Aug-2017")</f>
        <v>130315;INF109KB1JL9;-;ICICI Prudential Fixed Maturity Plan - Series 74 - 370 Days Plan X Direct Plan Cumulative Option;12.8994;28-Aug-2017</v>
      </c>
      <c r="B11619" s="1"/>
    </row>
    <row r="11620">
      <c r="A11620" s="1" t="str">
        <f>IFERROR(__xludf.DUMMYFUNCTION("""COMPUTED_VALUE"""),"130317;INF109KB1JM7;-;ICICI Prudential Fixed Maturity Plan - Series 74 - 370 Days Plan X Direct Plan Dividend Option;10.6944;06-Jul-2015")</f>
        <v>130317;INF109KB1JM7;-;ICICI Prudential Fixed Maturity Plan - Series 74 - 370 Days Plan X Direct Plan Dividend Option;10.6944;06-Jul-2015</v>
      </c>
      <c r="B11620" s="1"/>
    </row>
    <row r="11621">
      <c r="A11621" s="1" t="str">
        <f>IFERROR(__xludf.DUMMYFUNCTION("""COMPUTED_VALUE"""),"130318;INF109KB1JK1;-;ICICI Prudential Fixed Maturity Plan - Series 74 - 370 Days Plan X Dividend Option;12.5777;28-Aug-2017")</f>
        <v>130318;INF109KB1JK1;-;ICICI Prudential Fixed Maturity Plan - Series 74 - 370 Days Plan X Dividend Option;12.5777;28-Aug-2017</v>
      </c>
      <c r="B11621" s="1"/>
    </row>
    <row r="11622">
      <c r="A11622" s="1" t="str">
        <f>IFERROR(__xludf.DUMMYFUNCTION("""COMPUTED_VALUE"""),"130062;INF109KA1WP4;-;ICICI Prudential Fixed Maturity Plan - Series 74 - 9 Years Plan U Direct Plan IDCW Option;19.2518;14-Jun-2023")</f>
        <v>130062;INF109KA1WP4;-;ICICI Prudential Fixed Maturity Plan - Series 74 - 9 Years Plan U Direct Plan IDCW Option;19.2518;14-Jun-2023</v>
      </c>
      <c r="B11622" s="1"/>
    </row>
    <row r="11623">
      <c r="A11623" s="1" t="str">
        <f>IFERROR(__xludf.DUMMYFUNCTION("""COMPUTED_VALUE"""),"130064;INF109KA1WO7;-;ICICI Prudential Fixed Maturity Plan - Series 74 -9 Years Plan U Direct Plan Cumulative Option;19.3019;14-Jun-2023")</f>
        <v>130064;INF109KA1WO7;-;ICICI Prudential Fixed Maturity Plan - Series 74 -9 Years Plan U Direct Plan Cumulative Option;19.3019;14-Jun-2023</v>
      </c>
      <c r="B11623" s="1"/>
    </row>
    <row r="11624">
      <c r="A11624" s="1" t="str">
        <f>IFERROR(__xludf.DUMMYFUNCTION("""COMPUTED_VALUE"""),"130063;INF109KA1WM1;-;ICICI Prudential Fixed Maturity Plan -Series 74 -9 Years Plan U Cumulative Option;18.8712;14-Jun-2023")</f>
        <v>130063;INF109KA1WM1;-;ICICI Prudential Fixed Maturity Plan -Series 74 -9 Years Plan U Cumulative Option;18.8712;14-Jun-2023</v>
      </c>
      <c r="B11624" s="1"/>
    </row>
    <row r="11625">
      <c r="A11625" s="1" t="str">
        <f>IFERROR(__xludf.DUMMYFUNCTION("""COMPUTED_VALUE"""),"130061;INF109KA1WN9;-;ICICI Prudential Fixed Maturity Plan -Series 74 -9 Years Plan U IDCW Option;18.8211;14-Jun-2023")</f>
        <v>130061;INF109KA1WN9;-;ICICI Prudential Fixed Maturity Plan -Series 74 -9 Years Plan U IDCW Option;18.8211;14-Jun-2023</v>
      </c>
      <c r="B11625" s="1"/>
    </row>
    <row r="11626">
      <c r="A11626" s="1" t="str">
        <f>IFERROR(__xludf.DUMMYFUNCTION("""COMPUTED_VALUE"""),"131016;INF109KA1K23;-;ICICI Prudential Fixed Maturity Plan - Series 75 - 1100 Days Plan F Cumulative Option;12.7954;30-Aug-2017")</f>
        <v>131016;INF109KA1K23;-;ICICI Prudential Fixed Maturity Plan - Series 75 - 1100 Days Plan F Cumulative Option;12.7954;30-Aug-2017</v>
      </c>
      <c r="B11626" s="1"/>
    </row>
    <row r="11627">
      <c r="A11627" s="1" t="str">
        <f>IFERROR(__xludf.DUMMYFUNCTION("""COMPUTED_VALUE"""),"131014;INF109KA1K49;-;ICICI Prudential Fixed Maturity Plan - Series 75 - 1100 Days Plan F Direct Plan Cumulative Option;12.9473;30-Aug-2017")</f>
        <v>131014;INF109KA1K49;-;ICICI Prudential Fixed Maturity Plan - Series 75 - 1100 Days Plan F Direct Plan Cumulative Option;12.9473;30-Aug-2017</v>
      </c>
      <c r="B11627" s="1"/>
    </row>
    <row r="11628">
      <c r="A11628" s="1" t="str">
        <f>IFERROR(__xludf.DUMMYFUNCTION("""COMPUTED_VALUE"""),"131017;INF109KA1K31;-;ICICI Prudential Fixed Maturity Plan - Series 75 - 1100 Days Plan F Dividend Option;12.7954;30-Aug-2017")</f>
        <v>131017;INF109KA1K31;-;ICICI Prudential Fixed Maturity Plan - Series 75 - 1100 Days Plan F Dividend Option;12.7954;30-Aug-2017</v>
      </c>
      <c r="B11628" s="1"/>
    </row>
    <row r="11629">
      <c r="A11629" s="1" t="str">
        <f>IFERROR(__xludf.DUMMYFUNCTION("""COMPUTED_VALUE"""),"131008;INF109KA1K64;-;ICICI Prudential Fixed Maturity Plan - Series 75 - 1100 Days Plan G Cumulative Option;13.1900;13-Sep-2017")</f>
        <v>131008;INF109KA1K64;-;ICICI Prudential Fixed Maturity Plan - Series 75 - 1100 Days Plan G Cumulative Option;13.1900;13-Sep-2017</v>
      </c>
      <c r="B11629" s="1"/>
    </row>
    <row r="11630">
      <c r="A11630" s="1" t="str">
        <f>IFERROR(__xludf.DUMMYFUNCTION("""COMPUTED_VALUE"""),"131007;INF109KA1K80;-;ICICI Prudential Fixed Maturity Plan - Series 75 - 1100 Days Plan G Direct Plan Cumulative Option;13.3435;13-Sep-2017")</f>
        <v>131007;INF109KA1K80;-;ICICI Prudential Fixed Maturity Plan - Series 75 - 1100 Days Plan G Direct Plan Cumulative Option;13.3435;13-Sep-2017</v>
      </c>
      <c r="B11630" s="1"/>
    </row>
    <row r="11631">
      <c r="A11631" s="1" t="str">
        <f>IFERROR(__xludf.DUMMYFUNCTION("""COMPUTED_VALUE"""),"131006;INF109KA1K98;-;ICICI Prudential Fixed Maturity Plan - Series 75 - 1100 Days Plan G Direct Plan Dividend Option;13.3435;13-Sep-2017")</f>
        <v>131006;INF109KA1K98;-;ICICI Prudential Fixed Maturity Plan - Series 75 - 1100 Days Plan G Direct Plan Dividend Option;13.3435;13-Sep-2017</v>
      </c>
      <c r="B11631" s="1"/>
    </row>
    <row r="11632">
      <c r="A11632" s="1" t="str">
        <f>IFERROR(__xludf.DUMMYFUNCTION("""COMPUTED_VALUE"""),"131009;INF109KA1K72;-;ICICI Prudential Fixed Maturity Plan - Series 75 - 1100 Days Plan G Dividend Option;13.1900;13-Sep-2017")</f>
        <v>131009;INF109KA1K72;-;ICICI Prudential Fixed Maturity Plan - Series 75 - 1100 Days Plan G Dividend Option;13.1900;13-Sep-2017</v>
      </c>
      <c r="B11632" s="1"/>
    </row>
    <row r="11633">
      <c r="A11633" s="1" t="str">
        <f>IFERROR(__xludf.DUMMYFUNCTION("""COMPUTED_VALUE"""),"131112;INF109KA1P69;-;ICICI Prudential Fixed Maturity Plan - Series 75 - 1100 Days Plan H Cumulative Option;12.7910;13-Sep-2017")</f>
        <v>131112;INF109KA1P69;-;ICICI Prudential Fixed Maturity Plan - Series 75 - 1100 Days Plan H Cumulative Option;12.7910;13-Sep-2017</v>
      </c>
      <c r="B11633" s="1"/>
    </row>
    <row r="11634">
      <c r="A11634" s="1" t="str">
        <f>IFERROR(__xludf.DUMMYFUNCTION("""COMPUTED_VALUE"""),"131111;INF109KA1P85;-;ICICI Prudential Fixed Maturity Plan - Series 75 - 1100 Days Plan H Direct Plan Cumulative Option;12.9348;13-Sep-2017")</f>
        <v>131111;INF109KA1P85;-;ICICI Prudential Fixed Maturity Plan - Series 75 - 1100 Days Plan H Direct Plan Cumulative Option;12.9348;13-Sep-2017</v>
      </c>
      <c r="B11634" s="1"/>
    </row>
    <row r="11635">
      <c r="A11635" s="1" t="str">
        <f>IFERROR(__xludf.DUMMYFUNCTION("""COMPUTED_VALUE"""),"131109;INF109KA1P93;-;ICICI Prudential Fixed Maturity Plan - Series 75 - 1100 Days Plan H Direct Plan Dividend Option;12.9348;13-Sep-2017")</f>
        <v>131109;INF109KA1P93;-;ICICI Prudential Fixed Maturity Plan - Series 75 - 1100 Days Plan H Direct Plan Dividend Option;12.9348;13-Sep-2017</v>
      </c>
      <c r="B11635" s="1"/>
    </row>
    <row r="11636">
      <c r="A11636" s="1" t="str">
        <f>IFERROR(__xludf.DUMMYFUNCTION("""COMPUTED_VALUE"""),"131110;INF109KA1P77;-;ICICI Prudential Fixed Maturity Plan - Series 75 - 1100 Days Plan H Dividend Option;12.7910;13-Sep-2017")</f>
        <v>131110;INF109KA1P77;-;ICICI Prudential Fixed Maturity Plan - Series 75 - 1100 Days Plan H Dividend Option;12.7910;13-Sep-2017</v>
      </c>
      <c r="B11636" s="1"/>
    </row>
    <row r="11637">
      <c r="A11637" s="1" t="str">
        <f>IFERROR(__xludf.DUMMYFUNCTION("""COMPUTED_VALUE"""),"131195;INF109KA1R26;-;ICICI Prudential Fixed Maturity Plan - Series 75 - 1100 Days Plan I Cumulative Option;13.1795;26-Sep-2017")</f>
        <v>131195;INF109KA1R26;-;ICICI Prudential Fixed Maturity Plan - Series 75 - 1100 Days Plan I Cumulative Option;13.1795;26-Sep-2017</v>
      </c>
      <c r="B11637" s="1"/>
    </row>
    <row r="11638">
      <c r="A11638" s="1" t="str">
        <f>IFERROR(__xludf.DUMMYFUNCTION("""COMPUTED_VALUE"""),"131197;INF109KA1R42;-;ICICI Prudential Fixed Maturity Plan - Series 75 - 1100 Days Plan I Direct Plan Cumulative Option;13.3409;26-Sep-2017")</f>
        <v>131197;INF109KA1R42;-;ICICI Prudential Fixed Maturity Plan - Series 75 - 1100 Days Plan I Direct Plan Cumulative Option;13.3409;26-Sep-2017</v>
      </c>
      <c r="B11638" s="1"/>
    </row>
    <row r="11639">
      <c r="A11639" s="1" t="str">
        <f>IFERROR(__xludf.DUMMYFUNCTION("""COMPUTED_VALUE"""),"131198;INF109KA1R59;-;ICICI Prudential Fixed Maturity Plan - Series 75 - 1100 Days Plan I Direct Plan Dividend Option;13.3409;26-Sep-2017")</f>
        <v>131198;INF109KA1R59;-;ICICI Prudential Fixed Maturity Plan - Series 75 - 1100 Days Plan I Direct Plan Dividend Option;13.3409;26-Sep-2017</v>
      </c>
      <c r="B11639" s="1"/>
    </row>
    <row r="11640">
      <c r="A11640" s="1" t="str">
        <f>IFERROR(__xludf.DUMMYFUNCTION("""COMPUTED_VALUE"""),"131196;INF109KA1R34;-;ICICI Prudential Fixed Maturity Plan - Series 75 - 1100 Days Plan I Dividend Option;13.1795;26-Sep-2017")</f>
        <v>131196;INF109KA1R34;-;ICICI Prudential Fixed Maturity Plan - Series 75 - 1100 Days Plan I Dividend Option;13.1795;26-Sep-2017</v>
      </c>
      <c r="B11640" s="1"/>
    </row>
    <row r="11641">
      <c r="A11641" s="1" t="str">
        <f>IFERROR(__xludf.DUMMYFUNCTION("""COMPUTED_VALUE"""),"131311;INF109KA1T40;-;ICICI Prudential Fixed Maturity Plan - Series 75 - 1100 Days Plan J Cumulative Option;12.7677;28-Sep-2017")</f>
        <v>131311;INF109KA1T40;-;ICICI Prudential Fixed Maturity Plan - Series 75 - 1100 Days Plan J Cumulative Option;12.7677;28-Sep-2017</v>
      </c>
      <c r="B11641" s="1"/>
    </row>
    <row r="11642">
      <c r="A11642" s="1" t="str">
        <f>IFERROR(__xludf.DUMMYFUNCTION("""COMPUTED_VALUE"""),"131310;INF109KA1T65;-;ICICI Prudential Fixed Maturity Plan - Series 75 - 1100 Days Plan J Direct Plan Cumulative Option;12.8974;28-Sep-2017")</f>
        <v>131310;INF109KA1T65;-;ICICI Prudential Fixed Maturity Plan - Series 75 - 1100 Days Plan J Direct Plan Cumulative Option;12.8974;28-Sep-2017</v>
      </c>
      <c r="B11642" s="1"/>
    </row>
    <row r="11643">
      <c r="A11643" s="1" t="str">
        <f>IFERROR(__xludf.DUMMYFUNCTION("""COMPUTED_VALUE"""),"131309;INF109KA1T73;-;ICICI Prudential Fixed Maturity Plan - Series 75 - 1100 Days Plan J Direct Plan Dividend Option;12.8974;28-Sep-2017")</f>
        <v>131309;INF109KA1T73;-;ICICI Prudential Fixed Maturity Plan - Series 75 - 1100 Days Plan J Direct Plan Dividend Option;12.8974;28-Sep-2017</v>
      </c>
      <c r="B11643" s="1"/>
    </row>
    <row r="11644">
      <c r="A11644" s="1" t="str">
        <f>IFERROR(__xludf.DUMMYFUNCTION("""COMPUTED_VALUE"""),"131312;INF109KA1T57;-;ICICI Prudential Fixed Maturity Plan - Series 75 - 1100 Days Plan J Dividend Option;12.7677;28-Sep-2017")</f>
        <v>131312;INF109KA1T57;-;ICICI Prudential Fixed Maturity Plan - Series 75 - 1100 Days Plan J Dividend Option;12.7677;28-Sep-2017</v>
      </c>
      <c r="B11644" s="1"/>
    </row>
    <row r="11645">
      <c r="A11645" s="1" t="str">
        <f>IFERROR(__xludf.DUMMYFUNCTION("""COMPUTED_VALUE"""),"131601;INF109KA18A3;-;ICICI Prudential Fixed Maturity Plan - Series 75 - 1100 Days Plan N Cumulative Option;12.8283;02-Nov-2017")</f>
        <v>131601;INF109KA18A3;-;ICICI Prudential Fixed Maturity Plan - Series 75 - 1100 Days Plan N Cumulative Option;12.8283;02-Nov-2017</v>
      </c>
      <c r="B11645" s="1"/>
    </row>
    <row r="11646">
      <c r="A11646" s="1" t="str">
        <f>IFERROR(__xludf.DUMMYFUNCTION("""COMPUTED_VALUE"""),"131599;INF109KA10B8;-;ICICI Prudential Fixed Maturity Plan - Series 75 - 1100 Days Plan N Direct Plan Cumulative Option;12.8490;02-Nov-2017")</f>
        <v>131599;INF109KA10B8;-;ICICI Prudential Fixed Maturity Plan - Series 75 - 1100 Days Plan N Direct Plan Cumulative Option;12.8490;02-Nov-2017</v>
      </c>
      <c r="B11646" s="1"/>
    </row>
    <row r="11647">
      <c r="A11647" s="1" t="str">
        <f>IFERROR(__xludf.DUMMYFUNCTION("""COMPUTED_VALUE"""),"131600;INF109KA19A1;-;ICICI Prudential Fixed Maturity Plan - Series 75 - 1100 Days Plan N Dividend Option;12.8283;02-Nov-2017")</f>
        <v>131600;INF109KA19A1;-;ICICI Prudential Fixed Maturity Plan - Series 75 - 1100 Days Plan N Dividend Option;12.8283;02-Nov-2017</v>
      </c>
      <c r="B11647" s="1"/>
    </row>
    <row r="11648">
      <c r="A11648" s="1" t="str">
        <f>IFERROR(__xludf.DUMMYFUNCTION("""COMPUTED_VALUE"""),"131603;INF109KA12B4;-;ICICI Prudential Fixed Maturity Plan - Series 75 - 1100 Days Plan O Cumulative Option;12.8438;25-Oct-2017")</f>
        <v>131603;INF109KA12B4;-;ICICI Prudential Fixed Maturity Plan - Series 75 - 1100 Days Plan O Cumulative Option;12.8438;25-Oct-2017</v>
      </c>
      <c r="B11648" s="1"/>
    </row>
    <row r="11649">
      <c r="A11649" s="1" t="str">
        <f>IFERROR(__xludf.DUMMYFUNCTION("""COMPUTED_VALUE"""),"131602;INF109KA14B0;-;ICICI Prudential Fixed Maturity Plan - Series 75 - 1100 Days Plan O Direct Plan Cumulative Option;12.8676;25-Oct-2017")</f>
        <v>131602;INF109KA14B0;-;ICICI Prudential Fixed Maturity Plan - Series 75 - 1100 Days Plan O Direct Plan Cumulative Option;12.8676;25-Oct-2017</v>
      </c>
      <c r="B11649" s="1"/>
    </row>
    <row r="11650">
      <c r="A11650" s="1" t="str">
        <f>IFERROR(__xludf.DUMMYFUNCTION("""COMPUTED_VALUE"""),"131604;INF109KA13B2;-;ICICI Prudential Fixed Maturity Plan - Series 75 - 1100 Days Plan O Dividend Option;12.8438;25-Oct-2017")</f>
        <v>131604;INF109KA13B2;-;ICICI Prudential Fixed Maturity Plan - Series 75 - 1100 Days Plan O Dividend Option;12.8438;25-Oct-2017</v>
      </c>
      <c r="B11650" s="1"/>
    </row>
    <row r="11651">
      <c r="A11651" s="1" t="str">
        <f>IFERROR(__xludf.DUMMYFUNCTION("""COMPUTED_VALUE"""),"132837;INF109KA10E2;-;ICICI Prudential Fixed Maturity Plan - Series 75 - 1100 Days Plan Q Cumulative Option;13.0012;16-Nov-2017")</f>
        <v>132837;INF109KA10E2;-;ICICI Prudential Fixed Maturity Plan - Series 75 - 1100 Days Plan Q Cumulative Option;13.0012;16-Nov-2017</v>
      </c>
      <c r="B11651" s="1"/>
    </row>
    <row r="11652">
      <c r="A11652" s="1" t="str">
        <f>IFERROR(__xludf.DUMMYFUNCTION("""COMPUTED_VALUE"""),"132834;INF109KA12E8;-;ICICI Prudential Fixed Maturity Plan - Series 75 - 1100 Days Plan Q Direct Plan Cumulative Option;13.1513;16-Nov-2017")</f>
        <v>132834;INF109KA12E8;-;ICICI Prudential Fixed Maturity Plan - Series 75 - 1100 Days Plan Q Direct Plan Cumulative Option;13.1513;16-Nov-2017</v>
      </c>
      <c r="B11652" s="1"/>
    </row>
    <row r="11653">
      <c r="A11653" s="1" t="str">
        <f>IFERROR(__xludf.DUMMYFUNCTION("""COMPUTED_VALUE"""),"132835;INF109KA13E6;-;ICICI Prudential Fixed Maturity Plan - Series 75 - 1100 Days Plan Q Direct Plan Dividend Option;13.1513;16-Nov-2017")</f>
        <v>132835;INF109KA13E6;-;ICICI Prudential Fixed Maturity Plan - Series 75 - 1100 Days Plan Q Direct Plan Dividend Option;13.1513;16-Nov-2017</v>
      </c>
      <c r="B11653" s="1"/>
    </row>
    <row r="11654">
      <c r="A11654" s="1" t="str">
        <f>IFERROR(__xludf.DUMMYFUNCTION("""COMPUTED_VALUE"""),"132836;INF109KA11E0;-;ICICI Prudential Fixed Maturity Plan - Series 75 - 1100 Days Plan Q Dividend Option;13.0012;16-Nov-2017")</f>
        <v>132836;INF109KA11E0;-;ICICI Prudential Fixed Maturity Plan - Series 75 - 1100 Days Plan Q Dividend Option;13.0012;16-Nov-2017</v>
      </c>
      <c r="B11654" s="1"/>
    </row>
    <row r="11655">
      <c r="A11655" s="1" t="str">
        <f>IFERROR(__xludf.DUMMYFUNCTION("""COMPUTED_VALUE"""),"132901;INF109KA18E5;-;ICICI Prudential Fixed Maturity Plan - Series 75 - 1100 Days Plan R Cumulative Option;12.7936;16-Nov-2017")</f>
        <v>132901;INF109KA18E5;-;ICICI Prudential Fixed Maturity Plan - Series 75 - 1100 Days Plan R Cumulative Option;12.7936;16-Nov-2017</v>
      </c>
      <c r="B11655" s="1"/>
    </row>
    <row r="11656">
      <c r="A11656" s="1" t="str">
        <f>IFERROR(__xludf.DUMMYFUNCTION("""COMPUTED_VALUE"""),"132900;INF109KA10F9;-;ICICI Prudential Fixed Maturity Plan - Series 75 - 1100 Days Plan R Direct Plan Cumulative Option;12.8085;16-Nov-2017")</f>
        <v>132900;INF109KA10F9;-;ICICI Prudential Fixed Maturity Plan - Series 75 - 1100 Days Plan R Direct Plan Cumulative Option;12.8085;16-Nov-2017</v>
      </c>
      <c r="B11656" s="1"/>
    </row>
    <row r="11657">
      <c r="A11657" s="1" t="str">
        <f>IFERROR(__xludf.DUMMYFUNCTION("""COMPUTED_VALUE"""),"132902;INF109KA19E3;-;ICICI Prudential Fixed Maturity Plan - Series 75 - 1100 Days Plan R Dividend Option;12.7936;16-Nov-2017")</f>
        <v>132902;INF109KA19E3;-;ICICI Prudential Fixed Maturity Plan - Series 75 - 1100 Days Plan R Dividend Option;12.7936;16-Nov-2017</v>
      </c>
      <c r="B11657" s="1"/>
    </row>
    <row r="11658">
      <c r="A11658" s="1" t="str">
        <f>IFERROR(__xludf.DUMMYFUNCTION("""COMPUTED_VALUE"""),"133006;INF109KA14F1;-;ICICI Prudential Fixed Maturity Plan - Series 75 - 1100 Days Plan T Cumulative Option;12.7440;23-Nov-2017")</f>
        <v>133006;INF109KA14F1;-;ICICI Prudential Fixed Maturity Plan - Series 75 - 1100 Days Plan T Cumulative Option;12.7440;23-Nov-2017</v>
      </c>
      <c r="B11658" s="1"/>
    </row>
    <row r="11659">
      <c r="A11659" s="1" t="str">
        <f>IFERROR(__xludf.DUMMYFUNCTION("""COMPUTED_VALUE"""),"133005;INF109KA12F5;-;ICICI Prudential Fixed Maturity Plan - Series 75 - 1100 Days Plan T Direct Plan Cumulative Option;12.7614;23-Nov-2017")</f>
        <v>133005;INF109KA12F5;-;ICICI Prudential Fixed Maturity Plan - Series 75 - 1100 Days Plan T Direct Plan Cumulative Option;12.7614;23-Nov-2017</v>
      </c>
      <c r="B11659" s="1"/>
    </row>
    <row r="11660">
      <c r="A11660" s="1" t="str">
        <f>IFERROR(__xludf.DUMMYFUNCTION("""COMPUTED_VALUE"""),"133003;INF109KA15F8;-;ICICI Prudential Fixed Maturity Plan - Series 75 - 1100 Days Plan T Dividend Option;12.7440;23-Nov-2017")</f>
        <v>133003;INF109KA15F8;-;ICICI Prudential Fixed Maturity Plan - Series 75 - 1100 Days Plan T Dividend Option;12.7440;23-Nov-2017</v>
      </c>
      <c r="B11660" s="1"/>
    </row>
    <row r="11661">
      <c r="A11661" s="1" t="str">
        <f>IFERROR(__xludf.DUMMYFUNCTION("""COMPUTED_VALUE"""),"131461;INF109KA1V87;-;ICICI Prudential Fixed Maturity Plan - Series 75 - 1103 Days Plan L Cumulative Option;13.0770;23-Oct-2017")</f>
        <v>131461;INF109KA1V87;-;ICICI Prudential Fixed Maturity Plan - Series 75 - 1103 Days Plan L Cumulative Option;13.0770;23-Oct-2017</v>
      </c>
      <c r="B11661" s="1"/>
    </row>
    <row r="11662">
      <c r="A11662" s="1" t="str">
        <f>IFERROR(__xludf.DUMMYFUNCTION("""COMPUTED_VALUE"""),"131460;INF109KA1W03;-;ICICI Prudential Fixed Maturity Plan - Series 75 - 1103 Days Plan L Direct Plan Cumulative Option;13.2106;23-Oct-2017")</f>
        <v>131460;INF109KA1W03;-;ICICI Prudential Fixed Maturity Plan - Series 75 - 1103 Days Plan L Direct Plan Cumulative Option;13.2106;23-Oct-2017</v>
      </c>
      <c r="B11662" s="1"/>
    </row>
    <row r="11663">
      <c r="A11663" s="1" t="str">
        <f>IFERROR(__xludf.DUMMYFUNCTION("""COMPUTED_VALUE"""),"131458;INF109KA1W11;-;ICICI Prudential Fixed Maturity Plan - Series 75 - 1103 Days Plan L Direct Plan Dividend Option;13.2106;23-Oct-2017")</f>
        <v>131458;INF109KA1W11;-;ICICI Prudential Fixed Maturity Plan - Series 75 - 1103 Days Plan L Direct Plan Dividend Option;13.2106;23-Oct-2017</v>
      </c>
      <c r="B11663" s="1"/>
    </row>
    <row r="11664">
      <c r="A11664" s="1" t="str">
        <f>IFERROR(__xludf.DUMMYFUNCTION("""COMPUTED_VALUE"""),"131459;INF109KA1V95;-;ICICI Prudential Fixed Maturity Plan - Series 75 - 1103 Days Plan L Dividend Option;13.0770;23-Oct-2017")</f>
        <v>131459;INF109KA1V95;-;ICICI Prudential Fixed Maturity Plan - Series 75 - 1103 Days Plan L Dividend Option;13.0770;23-Oct-2017</v>
      </c>
      <c r="B11664" s="1"/>
    </row>
    <row r="11665">
      <c r="A11665" s="1" t="str">
        <f>IFERROR(__xludf.DUMMYFUNCTION("""COMPUTED_VALUE"""),"132831;INF109KA16D1;-;ICICI Prudential Fixed Maturity Plan - Series 75 - 1103 Days Plan P Cumulative Option;12.7197;20-Nov-2017")</f>
        <v>132831;INF109KA16D1;-;ICICI Prudential Fixed Maturity Plan - Series 75 - 1103 Days Plan P Cumulative Option;12.7197;20-Nov-2017</v>
      </c>
      <c r="B11665" s="1"/>
    </row>
    <row r="11666">
      <c r="A11666" s="1" t="str">
        <f>IFERROR(__xludf.DUMMYFUNCTION("""COMPUTED_VALUE"""),"132830;INF109KA18D7;-;ICICI Prudential Fixed Maturity Plan - Series 75 - 1103 Days Plan P Direct Plan Cumulative Option;12.7837;20-Nov-2017")</f>
        <v>132830;INF109KA18D7;-;ICICI Prudential Fixed Maturity Plan - Series 75 - 1103 Days Plan P Direct Plan Cumulative Option;12.7837;20-Nov-2017</v>
      </c>
      <c r="B11666" s="1"/>
    </row>
    <row r="11667">
      <c r="A11667" s="1" t="str">
        <f>IFERROR(__xludf.DUMMYFUNCTION("""COMPUTED_VALUE"""),"132833;INF109KA19D5;-;ICICI Prudential Fixed Maturity Plan - Series 75 - 1103 Days Plan P Direct Plan Dividend Option;12.7837;20-Nov-2017")</f>
        <v>132833;INF109KA19D5;-;ICICI Prudential Fixed Maturity Plan - Series 75 - 1103 Days Plan P Direct Plan Dividend Option;12.7837;20-Nov-2017</v>
      </c>
      <c r="B11667" s="1"/>
    </row>
    <row r="11668">
      <c r="A11668" s="1" t="str">
        <f>IFERROR(__xludf.DUMMYFUNCTION("""COMPUTED_VALUE"""),"132832;INF109KA17D9;-;ICICI Prudential Fixed Maturity Plan - Series 75 - 1103 Days Plan P Dividend Option;12.7197;20-Nov-2017")</f>
        <v>132832;INF109KA17D9;-;ICICI Prudential Fixed Maturity Plan - Series 75 - 1103 Days Plan P Dividend Option;12.7197;20-Nov-2017</v>
      </c>
      <c r="B11668" s="1"/>
    </row>
    <row r="11669">
      <c r="A11669" s="1" t="str">
        <f>IFERROR(__xludf.DUMMYFUNCTION("""COMPUTED_VALUE"""),"133044;INF109KA12H1;-;ICICI Prudential Fixed Maturity Plan - Series 75 - 1246 Days Plan U Cumulative Option;13.7214;26-Apr-2018")</f>
        <v>133044;INF109KA12H1;-;ICICI Prudential Fixed Maturity Plan - Series 75 - 1246 Days Plan U Cumulative Option;13.7214;26-Apr-2018</v>
      </c>
      <c r="B11669" s="1"/>
    </row>
    <row r="11670">
      <c r="A11670" s="1" t="str">
        <f>IFERROR(__xludf.DUMMYFUNCTION("""COMPUTED_VALUE"""),"133041;INF109KA14H7;-;ICICI Prudential Fixed Maturity Plan - Series 75 - 1246 Days Plan U Direct Plan Cumulative Option;13.9445;26-Apr-2018")</f>
        <v>133041;INF109KA14H7;-;ICICI Prudential Fixed Maturity Plan - Series 75 - 1246 Days Plan U Direct Plan Cumulative Option;13.9445;26-Apr-2018</v>
      </c>
      <c r="B11670" s="1"/>
    </row>
    <row r="11671">
      <c r="A11671" s="1" t="str">
        <f>IFERROR(__xludf.DUMMYFUNCTION("""COMPUTED_VALUE"""),"133042;INF109KA15H4;-;ICICI Prudential Fixed Maturity Plan - Series 75 - 1246 Days Plan U Direct Plan Dividend Option;13.9445;26-Apr-2018")</f>
        <v>133042;INF109KA15H4;-;ICICI Prudential Fixed Maturity Plan - Series 75 - 1246 Days Plan U Direct Plan Dividend Option;13.9445;26-Apr-2018</v>
      </c>
      <c r="B11671" s="1"/>
    </row>
    <row r="11672">
      <c r="A11672" s="1" t="str">
        <f>IFERROR(__xludf.DUMMYFUNCTION("""COMPUTED_VALUE"""),"133043;INF109KA13H9;-;ICICI Prudential Fixed Maturity Plan - Series 75 - 1246 Days Plan U Dividend Option;13.7214;26-Apr-2018")</f>
        <v>133043;INF109KA13H9;-;ICICI Prudential Fixed Maturity Plan - Series 75 - 1246 Days Plan U Dividend Option;13.7214;26-Apr-2018</v>
      </c>
      <c r="B11672" s="1"/>
    </row>
    <row r="11673">
      <c r="A11673" s="1" t="str">
        <f>IFERROR(__xludf.DUMMYFUNCTION("""COMPUTED_VALUE"""),"130779;INF109KA1ZQ5;-;ICICI Prudential Fixed Maturity Plan - Series 75 - 1352 Days Plan E Cumulative Option;13.6731;23-Apr-2018")</f>
        <v>130779;INF109KA1ZQ5;-;ICICI Prudential Fixed Maturity Plan - Series 75 - 1352 Days Plan E Cumulative Option;13.6731;23-Apr-2018</v>
      </c>
      <c r="B11673" s="1"/>
    </row>
    <row r="11674">
      <c r="A11674" s="1" t="str">
        <f>IFERROR(__xludf.DUMMYFUNCTION("""COMPUTED_VALUE"""),"130777;INF109KA1ZS1;-;ICICI Prudential Fixed Maturity Plan - Series 75 - 1352 Days Plan E Direct Plan Cumulative Option;13.7597;23-Apr-2018")</f>
        <v>130777;INF109KA1ZS1;-;ICICI Prudential Fixed Maturity Plan - Series 75 - 1352 Days Plan E Direct Plan Cumulative Option;13.7597;23-Apr-2018</v>
      </c>
      <c r="B11674" s="1"/>
    </row>
    <row r="11675">
      <c r="A11675" s="1" t="str">
        <f>IFERROR(__xludf.DUMMYFUNCTION("""COMPUTED_VALUE"""),"130778;INF109KA1ZT9;-;ICICI Prudential Fixed Maturity Plan - Series 75 - 1352 Days Plan E Direct Plan Dividend Option;13.7597;23-Apr-2018")</f>
        <v>130778;INF109KA1ZT9;-;ICICI Prudential Fixed Maturity Plan - Series 75 - 1352 Days Plan E Direct Plan Dividend Option;13.7597;23-Apr-2018</v>
      </c>
      <c r="B11675" s="1"/>
    </row>
    <row r="11676">
      <c r="A11676" s="1" t="str">
        <f>IFERROR(__xludf.DUMMYFUNCTION("""COMPUTED_VALUE"""),"130780;INF109KA1ZR3;-;ICICI Prudential Fixed Maturity Plan - Series 75 - 1352 Days Plan E Dividend Option;13.6731;23-Apr-2018")</f>
        <v>130780;INF109KA1ZR3;-;ICICI Prudential Fixed Maturity Plan - Series 75 - 1352 Days Plan E Dividend Option;13.6731;23-Apr-2018</v>
      </c>
      <c r="B11676" s="1"/>
    </row>
    <row r="11677">
      <c r="A11677" s="1" t="str">
        <f>IFERROR(__xludf.DUMMYFUNCTION("""COMPUTED_VALUE"""),"133246;INF109KA12N9;-;ICICI Prudential Fixed Maturity Plan - Series 76 - 1100 Days Plan D Cumulative Option;12.6621;26-Dec-2017")</f>
        <v>133246;INF109KA12N9;-;ICICI Prudential Fixed Maturity Plan - Series 76 - 1100 Days Plan D Cumulative Option;12.6621;26-Dec-2017</v>
      </c>
      <c r="B11677" s="1"/>
    </row>
    <row r="11678">
      <c r="A11678" s="1" t="str">
        <f>IFERROR(__xludf.DUMMYFUNCTION("""COMPUTED_VALUE"""),"133244;INF109KA14N5;-;ICICI Prudential Fixed Maturity Plan - Series 76 - 1100 Days Plan D Direct Plan Cumulative Option;12.7577;26-Dec-2017")</f>
        <v>133244;INF109KA14N5;-;ICICI Prudential Fixed Maturity Plan - Series 76 - 1100 Days Plan D Direct Plan Cumulative Option;12.7577;26-Dec-2017</v>
      </c>
      <c r="B11678" s="1"/>
    </row>
    <row r="11679">
      <c r="A11679" s="1" t="str">
        <f>IFERROR(__xludf.DUMMYFUNCTION("""COMPUTED_VALUE"""),"133245;INF109KA15N2;-;ICICI Prudential Fixed Maturity Plan - Series 76 - 1100 Days Plan D Direct Plan Dividend Option;12.7577;26-Dec-2017")</f>
        <v>133245;INF109KA15N2;-;ICICI Prudential Fixed Maturity Plan - Series 76 - 1100 Days Plan D Direct Plan Dividend Option;12.7577;26-Dec-2017</v>
      </c>
      <c r="B11679" s="1"/>
    </row>
    <row r="11680">
      <c r="A11680" s="1" t="str">
        <f>IFERROR(__xludf.DUMMYFUNCTION("""COMPUTED_VALUE"""),"133247;INF109KA13N7;-;ICICI Prudential Fixed Maturity Plan - Series 76 - 1100 Days Plan D Dividend Option;12.6621;26-Dec-2017")</f>
        <v>133247;INF109KA13N7;-;ICICI Prudential Fixed Maturity Plan - Series 76 - 1100 Days Plan D Dividend Option;12.6621;26-Dec-2017</v>
      </c>
      <c r="B11680" s="1"/>
    </row>
    <row r="11681">
      <c r="A11681" s="1" t="str">
        <f>IFERROR(__xludf.DUMMYFUNCTION("""COMPUTED_VALUE"""),"133457;INF109KA16R1;-;ICICI Prudential Fixed Maturity Plan - Series 76 - 1100 Days Plan G Cumulative Option;12.6131;31-Jan-2018")</f>
        <v>133457;INF109KA16R1;-;ICICI Prudential Fixed Maturity Plan - Series 76 - 1100 Days Plan G Cumulative Option;12.6131;31-Jan-2018</v>
      </c>
      <c r="B11681" s="1"/>
    </row>
    <row r="11682">
      <c r="A11682" s="1" t="str">
        <f>IFERROR(__xludf.DUMMYFUNCTION("""COMPUTED_VALUE"""),"133458;INF109KA15S1;-;ICICI Prudential Fixed Maturity Plan - Series 76 - 1100 Days Plan G Direct Plan Cumulative Option;12.6807;31-Jan-2018")</f>
        <v>133458;INF109KA15S1;-;ICICI Prudential Fixed Maturity Plan - Series 76 - 1100 Days Plan G Direct Plan Cumulative Option;12.6807;31-Jan-2018</v>
      </c>
      <c r="B11682" s="1"/>
    </row>
    <row r="11683">
      <c r="A11683" s="1" t="str">
        <f>IFERROR(__xludf.DUMMYFUNCTION("""COMPUTED_VALUE"""),"133456;INF109KA17R9;-;ICICI Prudential Fixed Maturity Plan - Series 76 - 1100 Days Plan G Dividend Option;12.6131;31-Jan-2018")</f>
        <v>133456;INF109KA17R9;-;ICICI Prudential Fixed Maturity Plan - Series 76 - 1100 Days Plan G Dividend Option;12.6131;31-Jan-2018</v>
      </c>
      <c r="B11683" s="1"/>
    </row>
    <row r="11684">
      <c r="A11684" s="1" t="str">
        <f>IFERROR(__xludf.DUMMYFUNCTION("""COMPUTED_VALUE"""),"134163;INF109KB1359;-;ICICI Prudential Fixed Maturity Plan - Series 76 - 1100 Days Plan T Cumulative Option;12.6608;27-Mar-2018")</f>
        <v>134163;INF109KB1359;-;ICICI Prudential Fixed Maturity Plan - Series 76 - 1100 Days Plan T Cumulative Option;12.6608;27-Mar-2018</v>
      </c>
      <c r="B11684" s="1"/>
    </row>
    <row r="11685">
      <c r="A11685" s="1" t="str">
        <f>IFERROR(__xludf.DUMMYFUNCTION("""COMPUTED_VALUE"""),"134160;INF109KB1375;-;ICICI Prudential Fixed Maturity Plan - Series 76 - 1100 Days Plan T Direct Plan Cumulative Option;12.7450;27-Mar-2018")</f>
        <v>134160;INF109KB1375;-;ICICI Prudential Fixed Maturity Plan - Series 76 - 1100 Days Plan T Direct Plan Cumulative Option;12.7450;27-Mar-2018</v>
      </c>
      <c r="B11685" s="1"/>
    </row>
    <row r="11686">
      <c r="A11686" s="1" t="str">
        <f>IFERROR(__xludf.DUMMYFUNCTION("""COMPUTED_VALUE"""),"134162;INF109KB1367;-;ICICI Prudential Fixed Maturity Plan - Series 76 - 1100 Days Plan T Dividend Option;12.6608;27-Mar-2018")</f>
        <v>134162;INF109KB1367;-;ICICI Prudential Fixed Maturity Plan - Series 76 - 1100 Days Plan T Dividend Option;12.6608;27-Mar-2018</v>
      </c>
      <c r="B11686" s="1"/>
    </row>
    <row r="11687">
      <c r="A11687" s="1" t="str">
        <f>IFERROR(__xludf.DUMMYFUNCTION("""COMPUTED_VALUE"""),"133434;INF109KA14Q8;-;ICICI Prudential Fixed Maturity Plan - Series 76 - 1103 Days Plan F Cumulative option;12.6341;29-Jan-2018")</f>
        <v>133434;INF109KA14Q8;-;ICICI Prudential Fixed Maturity Plan - Series 76 - 1103 Days Plan F Cumulative option;12.6341;29-Jan-2018</v>
      </c>
      <c r="B11687" s="1"/>
    </row>
    <row r="11688">
      <c r="A11688" s="1" t="str">
        <f>IFERROR(__xludf.DUMMYFUNCTION("""COMPUTED_VALUE"""),"133431;INF109KA16Q3;-;ICICI Prudential Fixed Maturity Plan - Series 76 - 1103 Days Plan F Direct Plan Cumulative Option;12.7026;29-Jan-2018")</f>
        <v>133431;INF109KA16Q3;-;ICICI Prudential Fixed Maturity Plan - Series 76 - 1103 Days Plan F Direct Plan Cumulative Option;12.7026;29-Jan-2018</v>
      </c>
      <c r="B11688" s="1"/>
    </row>
    <row r="11689">
      <c r="A11689" s="1" t="str">
        <f>IFERROR(__xludf.DUMMYFUNCTION("""COMPUTED_VALUE"""),"133432;INF109KA17Q1;-;ICICI Prudential Fixed Maturity Plan - Series 76 - 1103 Days Plan F Direct Plan Dividend Option;12.7026;29-Jan-2018")</f>
        <v>133432;INF109KA17Q1;-;ICICI Prudential Fixed Maturity Plan - Series 76 - 1103 Days Plan F Direct Plan Dividend Option;12.7026;29-Jan-2018</v>
      </c>
      <c r="B11689" s="1"/>
    </row>
    <row r="11690">
      <c r="A11690" s="1" t="str">
        <f>IFERROR(__xludf.DUMMYFUNCTION("""COMPUTED_VALUE"""),"133433;INF109KA15Q5;-;ICICI Prudential Fixed Maturity Plan - Series 76 - 1103 Days Plan F Dividend Option;12.6341;29-Jan-2018")</f>
        <v>133433;INF109KA15Q5;-;ICICI Prudential Fixed Maturity Plan - Series 76 - 1103 Days Plan F Dividend Option;12.6341;29-Jan-2018</v>
      </c>
      <c r="B11690" s="1"/>
    </row>
    <row r="11691">
      <c r="A11691" s="1" t="str">
        <f>IFERROR(__xludf.DUMMYFUNCTION("""COMPUTED_VALUE"""),"134308;INF109KB1672;-;ICICI Prudential Fixed Maturity Plan - Series 76 - 1108 Days Plan V Cumulative Option;12.5768;10-Apr-2018")</f>
        <v>134308;INF109KB1672;-;ICICI Prudential Fixed Maturity Plan - Series 76 - 1108 Days Plan V Cumulative Option;12.5768;10-Apr-2018</v>
      </c>
      <c r="B11691" s="1"/>
    </row>
    <row r="11692">
      <c r="A11692" s="1" t="str">
        <f>IFERROR(__xludf.DUMMYFUNCTION("""COMPUTED_VALUE"""),"134305;INF109KB1698;-;ICICI Prudential Fixed Maturity Plan - Series 76 - 1108 Days Plan V Direct Plan Cumulative Option;12.7129;10-Apr-2018")</f>
        <v>134305;INF109KB1698;-;ICICI Prudential Fixed Maturity Plan - Series 76 - 1108 Days Plan V Direct Plan Cumulative Option;12.7129;10-Apr-2018</v>
      </c>
      <c r="B11692" s="1"/>
    </row>
    <row r="11693">
      <c r="A11693" s="1" t="str">
        <f>IFERROR(__xludf.DUMMYFUNCTION("""COMPUTED_VALUE"""),"134307;INF109KB1680;-;ICICI Prudential Fixed Maturity Plan - Series 76 - 1108 Days Plan V Dividend Option;12.5768;10-Apr-2018")</f>
        <v>134307;INF109KB1680;-;ICICI Prudential Fixed Maturity Plan - Series 76 - 1108 Days Plan V Dividend Option;12.5768;10-Apr-2018</v>
      </c>
      <c r="B11693" s="1"/>
    </row>
    <row r="11694">
      <c r="A11694" s="1" t="str">
        <f>IFERROR(__xludf.DUMMYFUNCTION("""COMPUTED_VALUE"""),"134186;INF109KB1391;-;ICICI Prudential Fixed Maturity Plan - Series 76 - 1120 Days Plan U Cumulative Option;12.6742;18-Apr-2018")</f>
        <v>134186;INF109KB1391;-;ICICI Prudential Fixed Maturity Plan - Series 76 - 1120 Days Plan U Cumulative Option;12.6742;18-Apr-2018</v>
      </c>
      <c r="B11694" s="1"/>
    </row>
    <row r="11695">
      <c r="A11695" s="1" t="str">
        <f>IFERROR(__xludf.DUMMYFUNCTION("""COMPUTED_VALUE"""),"134188;INF109KB1417;-;ICICI Prudential Fixed Maturity Plan - Series 76 - 1120 Days Plan U Direct Plan Cumulative Option;12.7593;18-Apr-2018")</f>
        <v>134188;INF109KB1417;-;ICICI Prudential Fixed Maturity Plan - Series 76 - 1120 Days Plan U Direct Plan Cumulative Option;12.7593;18-Apr-2018</v>
      </c>
      <c r="B11695" s="1"/>
    </row>
    <row r="11696">
      <c r="A11696" s="1" t="str">
        <f>IFERROR(__xludf.DUMMYFUNCTION("""COMPUTED_VALUE"""),"134187;INF109KB1409;-;ICICI Prudential Fixed Maturity Plan - Series 76 - 1120 Days Plan U Dividend Option;12.6742;18-Apr-2018")</f>
        <v>134187;INF109KB1409;-;ICICI Prudential Fixed Maturity Plan - Series 76 - 1120 Days Plan U Dividend Option;12.6742;18-Apr-2018</v>
      </c>
      <c r="B11696" s="1"/>
    </row>
    <row r="11697">
      <c r="A11697" s="1" t="str">
        <f>IFERROR(__xludf.DUMMYFUNCTION("""COMPUTED_VALUE"""),"134312;INF109KB1953;-;ICICI Prudential Fixed Maturity Plan - Series 76 - 1127 Days Plan W Cumulative Option;12.7136;07-May-2018")</f>
        <v>134312;INF109KB1953;-;ICICI Prudential Fixed Maturity Plan - Series 76 - 1127 Days Plan W Cumulative Option;12.7136;07-May-2018</v>
      </c>
      <c r="B11697" s="1"/>
    </row>
    <row r="11698">
      <c r="A11698" s="1" t="str">
        <f>IFERROR(__xludf.DUMMYFUNCTION("""COMPUTED_VALUE"""),"134309;INF109KB1979;-;ICICI Prudential Fixed Maturity Plan - Series 76 - 1127 Days Plan W Direct Plan Cumulative Option;12.7473;07-May-2018")</f>
        <v>134309;INF109KB1979;-;ICICI Prudential Fixed Maturity Plan - Series 76 - 1127 Days Plan W Direct Plan Cumulative Option;12.7473;07-May-2018</v>
      </c>
      <c r="B11698" s="1"/>
    </row>
    <row r="11699">
      <c r="A11699" s="1" t="str">
        <f>IFERROR(__xludf.DUMMYFUNCTION("""COMPUTED_VALUE"""),"134310;INF109KB1987;-;ICICI Prudential Fixed Maturity Plan - Series 76 - 1127 Days Plan W Direct Plan Dividend Option;12.7473;07-May-2018")</f>
        <v>134310;INF109KB1987;-;ICICI Prudential Fixed Maturity Plan - Series 76 - 1127 Days Plan W Direct Plan Dividend Option;12.7473;07-May-2018</v>
      </c>
      <c r="B11699" s="1"/>
    </row>
    <row r="11700">
      <c r="A11700" s="1" t="str">
        <f>IFERROR(__xludf.DUMMYFUNCTION("""COMPUTED_VALUE"""),"134311;INF109KB1961;-;ICICI Prudential Fixed Maturity Plan - Series 76 - 1127 Days Plan W Dividend Option;12.7136;07-May-2018")</f>
        <v>134311;INF109KB1961;-;ICICI Prudential Fixed Maturity Plan - Series 76 - 1127 Days Plan W Dividend Option;12.7136;07-May-2018</v>
      </c>
      <c r="B11700" s="1"/>
    </row>
    <row r="11701">
      <c r="A11701" s="1" t="str">
        <f>IFERROR(__xludf.DUMMYFUNCTION("""COMPUTED_VALUE"""),"134005;INF109KB1219;-;ICICI Prudential Fixed Maturity Plan - Series 76 - 1132 Days Plan P Cumulative Option;12.7278;16-Apr-2018")</f>
        <v>134005;INF109KB1219;-;ICICI Prudential Fixed Maturity Plan - Series 76 - 1132 Days Plan P Cumulative Option;12.7278;16-Apr-2018</v>
      </c>
      <c r="B11701" s="1"/>
    </row>
    <row r="11702">
      <c r="A11702" s="1" t="str">
        <f>IFERROR(__xludf.DUMMYFUNCTION("""COMPUTED_VALUE"""),"134007;INF109KB1235;-;ICICI Prudential Fixed Maturity Plan - Series 76 - 1132 Days Plan P Direct Plan Cumulative Option;12.8146;16-Apr-2018")</f>
        <v>134007;INF109KB1235;-;ICICI Prudential Fixed Maturity Plan - Series 76 - 1132 Days Plan P Direct Plan Cumulative Option;12.8146;16-Apr-2018</v>
      </c>
      <c r="B11702" s="1"/>
    </row>
    <row r="11703">
      <c r="A11703" s="1" t="str">
        <f>IFERROR(__xludf.DUMMYFUNCTION("""COMPUTED_VALUE"""),"134399;INF109KB1BF8;-;ICICI Prudential Fixed Maturity Plan - Series 76 - 1134 Days Plan Y Cumulative Option;12.6990;24-May-2018")</f>
        <v>134399;INF109KB1BF8;-;ICICI Prudential Fixed Maturity Plan - Series 76 - 1134 Days Plan Y Cumulative Option;12.6990;24-May-2018</v>
      </c>
      <c r="B11703" s="1"/>
    </row>
    <row r="11704">
      <c r="A11704" s="1" t="str">
        <f>IFERROR(__xludf.DUMMYFUNCTION("""COMPUTED_VALUE"""),"134397;INF109KB1BH4;-;ICICI Prudential Fixed Maturity Plan - Series 76 - 1134 Days Plan Y Direct Plan Cumulative Option;12.7384;24-May-2018")</f>
        <v>134397;INF109KB1BH4;-;ICICI Prudential Fixed Maturity Plan - Series 76 - 1134 Days Plan Y Direct Plan Cumulative Option;12.7384;24-May-2018</v>
      </c>
      <c r="B11704" s="1"/>
    </row>
    <row r="11705">
      <c r="A11705" s="1" t="str">
        <f>IFERROR(__xludf.DUMMYFUNCTION("""COMPUTED_VALUE"""),"134400;INF109KB1BG6;-;ICICI Prudential Fixed Maturity Plan - Series 76 - 1134 Days Plan Y Dividend Option;12.6990;24-May-2018")</f>
        <v>134400;INF109KB1BG6;-;ICICI Prudential Fixed Maturity Plan - Series 76 - 1134 Days Plan Y Dividend Option;12.6990;24-May-2018</v>
      </c>
      <c r="B11705" s="1"/>
    </row>
    <row r="11706">
      <c r="A11706" s="1" t="str">
        <f>IFERROR(__xludf.DUMMYFUNCTION("""COMPUTED_VALUE"""),"134458;INF109KB1BB7;-;ICICI Prudential Fixed Maturity Plan - Series 76 - 1135 Days Plan Z Cumulative Option;12.6690;30-May-2018")</f>
        <v>134458;INF109KB1BB7;-;ICICI Prudential Fixed Maturity Plan - Series 76 - 1135 Days Plan Z Cumulative Option;12.6690;30-May-2018</v>
      </c>
      <c r="B11706" s="1"/>
    </row>
    <row r="11707">
      <c r="A11707" s="1" t="str">
        <f>IFERROR(__xludf.DUMMYFUNCTION("""COMPUTED_VALUE"""),"134461;INF109KB1BD3;-;ICICI Prudential Fixed Maturity Plan - Series 76 - 1135 Days Plan Z Direct Plan Cumulative Option;12.7067;30-May-2018")</f>
        <v>134461;INF109KB1BD3;-;ICICI Prudential Fixed Maturity Plan - Series 76 - 1135 Days Plan Z Direct Plan Cumulative Option;12.7067;30-May-2018</v>
      </c>
      <c r="B11707" s="1"/>
    </row>
    <row r="11708">
      <c r="A11708" s="1" t="str">
        <f>IFERROR(__xludf.DUMMYFUNCTION("""COMPUTED_VALUE"""),"134460;INF109KB1BE1;-;ICICI Prudential Fixed Maturity Plan - Series 76 - 1135 Days Plan Z Direct Plan Dividend Option;12.7067;30-May-2018")</f>
        <v>134460;INF109KB1BE1;-;ICICI Prudential Fixed Maturity Plan - Series 76 - 1135 Days Plan Z Direct Plan Dividend Option;12.7067;30-May-2018</v>
      </c>
      <c r="B11708" s="1"/>
    </row>
    <row r="11709">
      <c r="A11709" s="1" t="str">
        <f>IFERROR(__xludf.DUMMYFUNCTION("""COMPUTED_VALUE"""),"134459;INF109KB1BC5;-;ICICI Prudential Fixed Maturity Plan - Series 76 - 1135 Days Plan Z Dividend Option;12.6690;30-May-2018")</f>
        <v>134459;INF109KB1BC5;-;ICICI Prudential Fixed Maturity Plan - Series 76 - 1135 Days Plan Z Dividend Option;12.6690;30-May-2018</v>
      </c>
      <c r="B11709" s="1"/>
    </row>
    <row r="11710">
      <c r="A11710" s="1" t="str">
        <f>IFERROR(__xludf.DUMMYFUNCTION("""COMPUTED_VALUE"""),"133874;INF109KA16Y7;-;ICICI Prudential Fixed Maturity Plan - Series 76 - 1142 Days Plan M Cumulative Option;12.7896;12-Apr-2018")</f>
        <v>133874;INF109KA16Y7;-;ICICI Prudential Fixed Maturity Plan - Series 76 - 1142 Days Plan M Cumulative Option;12.7896;12-Apr-2018</v>
      </c>
      <c r="B11710" s="1"/>
    </row>
    <row r="11711">
      <c r="A11711" s="1" t="str">
        <f>IFERROR(__xludf.DUMMYFUNCTION("""COMPUTED_VALUE"""),"133875;INF109KA18Y3;-;ICICI Prudential Fixed Maturity Plan - Series 76 - 1142 Days Plan M Direct Plan Cumulative Option;12.8606;12-Apr-2018")</f>
        <v>133875;INF109KA18Y3;-;ICICI Prudential Fixed Maturity Plan - Series 76 - 1142 Days Plan M Direct Plan Cumulative Option;12.8606;12-Apr-2018</v>
      </c>
      <c r="B11711" s="1"/>
    </row>
    <row r="11712">
      <c r="A11712" s="1" t="str">
        <f>IFERROR(__xludf.DUMMYFUNCTION("""COMPUTED_VALUE"""),"133876;INF109KA19Y1;-;ICICI Prudential Fixed Maturity Plan - Series 76 - 1142 Days Plan M Direct Plan Dividend Option;12.8606;12-Apr-2018")</f>
        <v>133876;INF109KA19Y1;-;ICICI Prudential Fixed Maturity Plan - Series 76 - 1142 Days Plan M Direct Plan Dividend Option;12.8606;12-Apr-2018</v>
      </c>
      <c r="B11712" s="1"/>
    </row>
    <row r="11713">
      <c r="A11713" s="1" t="str">
        <f>IFERROR(__xludf.DUMMYFUNCTION("""COMPUTED_VALUE"""),"133877;INF109KA17Y5;-;ICICI Prudential Fixed Maturity Plan - Series 76 - 1142 Days Plan M Dividend Option;12.7896;12-Apr-2018")</f>
        <v>133877;INF109KA17Y5;-;ICICI Prudential Fixed Maturity Plan - Series 76 - 1142 Days Plan M Dividend Option;12.7896;12-Apr-2018</v>
      </c>
      <c r="B11713" s="1"/>
    </row>
    <row r="11714">
      <c r="A11714" s="1" t="str">
        <f>IFERROR(__xludf.DUMMYFUNCTION("""COMPUTED_VALUE"""),"133673;INF109KA14V8;-;ICICI Prudential Fixed Maturity Plan - Series 76 - 1155 Days Plan K Cumulative Option;12.8302;12-Apr-2018")</f>
        <v>133673;INF109KA14V8;-;ICICI Prudential Fixed Maturity Plan - Series 76 - 1155 Days Plan K Cumulative Option;12.8302;12-Apr-2018</v>
      </c>
      <c r="B11714" s="1"/>
    </row>
    <row r="11715">
      <c r="A11715" s="1" t="str">
        <f>IFERROR(__xludf.DUMMYFUNCTION("""COMPUTED_VALUE"""),"133670;INF109KA16V3;-;ICICI Prudential Fixed Maturity Plan - Series 76 - 1155 Days Plan K Direct Plan Cumulative Option;12.9027;12-Apr-2018")</f>
        <v>133670;INF109KA16V3;-;ICICI Prudential Fixed Maturity Plan - Series 76 - 1155 Days Plan K Direct Plan Cumulative Option;12.9027;12-Apr-2018</v>
      </c>
      <c r="B11715" s="1"/>
    </row>
    <row r="11716">
      <c r="A11716" s="1" t="str">
        <f>IFERROR(__xludf.DUMMYFUNCTION("""COMPUTED_VALUE"""),"133672;INF109KA15V5;-;ICICI Prudential Fixed Maturity Plan - Series 76 - 1155 Days Plan K Dividend Option;12.8302;12-Apr-2018")</f>
        <v>133672;INF109KA15V5;-;ICICI Prudential Fixed Maturity Plan - Series 76 - 1155 Days Plan K Dividend Option;12.8302;12-Apr-2018</v>
      </c>
      <c r="B11716" s="1"/>
    </row>
    <row r="11717">
      <c r="A11717" s="1" t="str">
        <f>IFERROR(__xludf.DUMMYFUNCTION("""COMPUTED_VALUE"""),"134928;INF109KB1IT4;-;ICICI Prudential Fixed Maturity Plan - Series 77 - 1100 Days Plan L Cumulative Option;12.4381;17-Jul-2018")</f>
        <v>134928;INF109KB1IT4;-;ICICI Prudential Fixed Maturity Plan - Series 77 - 1100 Days Plan L Cumulative Option;12.4381;17-Jul-2018</v>
      </c>
      <c r="B11717" s="1"/>
    </row>
    <row r="11718">
      <c r="A11718" s="1" t="str">
        <f>IFERROR(__xludf.DUMMYFUNCTION("""COMPUTED_VALUE"""),"134929;INF109KB1IV0;-;ICICI Prudential Fixed Maturity Plan - Series 77 - 1100 Days Plan L Direct Plan Cumulative Option;12.5471;17-Jul-2018")</f>
        <v>134929;INF109KB1IV0;-;ICICI Prudential Fixed Maturity Plan - Series 77 - 1100 Days Plan L Direct Plan Cumulative Option;12.5471;17-Jul-2018</v>
      </c>
      <c r="B11718" s="1"/>
    </row>
    <row r="11719">
      <c r="A11719" s="1" t="str">
        <f>IFERROR(__xludf.DUMMYFUNCTION("""COMPUTED_VALUE"""),"134926;INF109KB1IW8;-;ICICI Prudential Fixed Maturity Plan - Series 77 - 1100 Days Plan L Direct Plan Dividend Option;12.5471;17-Jul-2018")</f>
        <v>134926;INF109KB1IW8;-;ICICI Prudential Fixed Maturity Plan - Series 77 - 1100 Days Plan L Direct Plan Dividend Option;12.5471;17-Jul-2018</v>
      </c>
      <c r="B11719" s="1"/>
    </row>
    <row r="11720">
      <c r="A11720" s="1" t="str">
        <f>IFERROR(__xludf.DUMMYFUNCTION("""COMPUTED_VALUE"""),"134927;INF109KB1IU2;-;ICICI Prudential Fixed Maturity Plan - Series 77 - 1100 Days Plan L Dividend Option;12.4381;17-Jul-2018")</f>
        <v>134927;INF109KB1IU2;-;ICICI Prudential Fixed Maturity Plan - Series 77 - 1100 Days Plan L Dividend Option;12.4381;17-Jul-2018</v>
      </c>
      <c r="B11720" s="1"/>
    </row>
    <row r="11721">
      <c r="A11721" s="1" t="str">
        <f>IFERROR(__xludf.DUMMYFUNCTION("""COMPUTED_VALUE"""),"134931;INF109KB1IP2;-;ICICI Prudential Fixed Maturity Plan - Series 77 - 1100 Days Plan M Cumulative Option;12.973;24-Jul-2018")</f>
        <v>134931;INF109KB1IP2;-;ICICI Prudential Fixed Maturity Plan - Series 77 - 1100 Days Plan M Cumulative Option;12.973;24-Jul-2018</v>
      </c>
      <c r="B11721" s="1"/>
    </row>
    <row r="11722">
      <c r="A11722" s="1" t="str">
        <f>IFERROR(__xludf.DUMMYFUNCTION("""COMPUTED_VALUE"""),"134930;INF109KB1IR8;-;ICICI Prudential Fixed Maturity Plan - Series 77 - 1100 Days Plan M Direct Plan Cumulative Option;13.1844;24-Jul-2018")</f>
        <v>134930;INF109KB1IR8;-;ICICI Prudential Fixed Maturity Plan - Series 77 - 1100 Days Plan M Direct Plan Cumulative Option;13.1844;24-Jul-2018</v>
      </c>
      <c r="B11722" s="1"/>
    </row>
    <row r="11723">
      <c r="A11723" s="1" t="str">
        <f>IFERROR(__xludf.DUMMYFUNCTION("""COMPUTED_VALUE"""),"134933;INF109KB1IS6;-;ICICI Prudential Fixed Maturity Plan - Series 77 - 1100 Days Plan M Direct Plan Dividend Option;13.1844;24-Jul-2018")</f>
        <v>134933;INF109KB1IS6;-;ICICI Prudential Fixed Maturity Plan - Series 77 - 1100 Days Plan M Direct Plan Dividend Option;13.1844;24-Jul-2018</v>
      </c>
      <c r="B11723" s="1"/>
    </row>
    <row r="11724">
      <c r="A11724" s="1" t="str">
        <f>IFERROR(__xludf.DUMMYFUNCTION("""COMPUTED_VALUE"""),"134932;INF109KB1IQ0;-;ICICI Prudential Fixed Maturity Plan - Series 77 - 1100 Days Plan M Dividend Option;12.973;24-Jul-2018")</f>
        <v>134932;INF109KB1IQ0;-;ICICI Prudential Fixed Maturity Plan - Series 77 - 1100 Days Plan M Dividend Option;12.973;24-Jul-2018</v>
      </c>
      <c r="B11724" s="1"/>
    </row>
    <row r="11725">
      <c r="A11725" s="1" t="str">
        <f>IFERROR(__xludf.DUMMYFUNCTION("""COMPUTED_VALUE"""),"135403;INF109KB1MR0;-;ICICI Prudential Fixed Maturity Plan - Series 77 - 1129 Days Plan W Cumulative Option;12.6374;26-Oct-2018")</f>
        <v>135403;INF109KB1MR0;-;ICICI Prudential Fixed Maturity Plan - Series 77 - 1129 Days Plan W Cumulative Option;12.6374;26-Oct-2018</v>
      </c>
      <c r="B11725" s="1"/>
    </row>
    <row r="11726">
      <c r="A11726" s="1" t="str">
        <f>IFERROR(__xludf.DUMMYFUNCTION("""COMPUTED_VALUE"""),"135401;INF109KB1MT6;-;ICICI Prudential Fixed Maturity Plan - Series 77 - 1129 Days Plan W Direct Plan Cumulative Option;12.7144;26-Oct-2018")</f>
        <v>135401;INF109KB1MT6;-;ICICI Prudential Fixed Maturity Plan - Series 77 - 1129 Days Plan W Direct Plan Cumulative Option;12.7144;26-Oct-2018</v>
      </c>
      <c r="B11726" s="1"/>
    </row>
    <row r="11727">
      <c r="A11727" s="1" t="str">
        <f>IFERROR(__xludf.DUMMYFUNCTION("""COMPUTED_VALUE"""),"135400;INF109KB1MS8;-;ICICI Prudential Fixed Maturity Plan - Series 77 - 1129 Days Plan W Dividend Option;12.6374;26-Oct-2018")</f>
        <v>135400;INF109KB1MS8;-;ICICI Prudential Fixed Maturity Plan - Series 77 - 1129 Days Plan W Dividend Option;12.6374;26-Oct-2018</v>
      </c>
      <c r="B11727" s="1"/>
    </row>
    <row r="11728">
      <c r="A11728" s="1" t="str">
        <f>IFERROR(__xludf.DUMMYFUNCTION("""COMPUTED_VALUE"""),"134628;INF109KB1EL0;-;ICICI Prudential Fixed Maturity Plan - Series 77 - 1130 Days Plan D Cumulative Option;12.7619;21-Jun-2018")</f>
        <v>134628;INF109KB1EL0;-;ICICI Prudential Fixed Maturity Plan - Series 77 - 1130 Days Plan D Cumulative Option;12.7619;21-Jun-2018</v>
      </c>
      <c r="B11728" s="1"/>
    </row>
    <row r="11729">
      <c r="A11729" s="1" t="str">
        <f>IFERROR(__xludf.DUMMYFUNCTION("""COMPUTED_VALUE"""),"134630;INF109KB1EN6;-;ICICI Prudential Fixed Maturity Plan - Series 77 - 1130 Days Plan D Direct Plan Cumulative Option;12.7937;21-Jun-2018")</f>
        <v>134630;INF109KB1EN6;-;ICICI Prudential Fixed Maturity Plan - Series 77 - 1130 Days Plan D Direct Plan Cumulative Option;12.7937;21-Jun-2018</v>
      </c>
      <c r="B11729" s="1"/>
    </row>
    <row r="11730">
      <c r="A11730" s="1" t="str">
        <f>IFERROR(__xludf.DUMMYFUNCTION("""COMPUTED_VALUE"""),"134629;INF109KB1EM8;-;ICICI Prudential Fixed Maturity Plan - Series 77 - 1130 Days Plan D Dividend Option;12.7619;21-Jun-2018")</f>
        <v>134629;INF109KB1EM8;-;ICICI Prudential Fixed Maturity Plan - Series 77 - 1130 Days Plan D Dividend Option;12.7619;21-Jun-2018</v>
      </c>
      <c r="B11730" s="1"/>
    </row>
    <row r="11731">
      <c r="A11731" s="1" t="str">
        <f>IFERROR(__xludf.DUMMYFUNCTION("""COMPUTED_VALUE"""),"134540;INF109KB1DF4;-;ICICI Prudential Fixed Maturity Plan - Series 77 - 1132 Days Plan A Cumulative Option;12.5700;11-Jun-2018")</f>
        <v>134540;INF109KB1DF4;-;ICICI Prudential Fixed Maturity Plan - Series 77 - 1132 Days Plan A Cumulative Option;12.5700;11-Jun-2018</v>
      </c>
      <c r="B11731" s="1"/>
    </row>
    <row r="11732">
      <c r="A11732" s="1" t="str">
        <f>IFERROR(__xludf.DUMMYFUNCTION("""COMPUTED_VALUE"""),"134539;INF109KB1DH0;-;ICICI Prudential Fixed Maturity Plan - Series 77 - 1132 Days Plan A Direct Plan Cumulative Option;12.6197;11-Jun-2018")</f>
        <v>134539;INF109KB1DH0;-;ICICI Prudential Fixed Maturity Plan - Series 77 - 1132 Days Plan A Direct Plan Cumulative Option;12.6197;11-Jun-2018</v>
      </c>
      <c r="B11732" s="1"/>
    </row>
    <row r="11733">
      <c r="A11733" s="1" t="str">
        <f>IFERROR(__xludf.DUMMYFUNCTION("""COMPUTED_VALUE"""),"134537;INF109KB1DI8;-;ICICI Prudential Fixed Maturity Plan - Series 77 - 1132 Days Plan A Direct Plan Dividend Option;12.6197;11-Jun-2018")</f>
        <v>134537;INF109KB1DI8;-;ICICI Prudential Fixed Maturity Plan - Series 77 - 1132 Days Plan A Direct Plan Dividend Option;12.6197;11-Jun-2018</v>
      </c>
      <c r="B11733" s="1"/>
    </row>
    <row r="11734">
      <c r="A11734" s="1" t="str">
        <f>IFERROR(__xludf.DUMMYFUNCTION("""COMPUTED_VALUE"""),"134538;INF109KB1DG2;-;ICICI Prudential Fixed Maturity Plan - Series 77 - 1132 Days Plan A Dividend Option;12.5700;11-Jun-2018")</f>
        <v>134538;INF109KB1DG2;-;ICICI Prudential Fixed Maturity Plan - Series 77 - 1132 Days Plan A Dividend Option;12.5700;11-Jun-2018</v>
      </c>
      <c r="B11734" s="1"/>
    </row>
    <row r="11735">
      <c r="A11735" s="1" t="str">
        <f>IFERROR(__xludf.DUMMYFUNCTION("""COMPUTED_VALUE"""),"134731;INF109KB1HB4;-;ICICI Prudential Fixed Maturity Plan - Series 77 - 1134 Plan H Cumulative Option;12.6687;16-Jul-2018")</f>
        <v>134731;INF109KB1HB4;-;ICICI Prudential Fixed Maturity Plan - Series 77 - 1134 Plan H Cumulative Option;12.6687;16-Jul-2018</v>
      </c>
      <c r="B11735" s="1"/>
    </row>
    <row r="11736">
      <c r="A11736" s="1" t="str">
        <f>IFERROR(__xludf.DUMMYFUNCTION("""COMPUTED_VALUE"""),"134730;INF109KB1HD0;-;ICICI Prudential Fixed Maturity Plan - Series 77 - 1134 Plan H Direct Plan Cumulative Option;12.7461;16-Jul-2018")</f>
        <v>134730;INF109KB1HD0;-;ICICI Prudential Fixed Maturity Plan - Series 77 - 1134 Plan H Direct Plan Cumulative Option;12.7461;16-Jul-2018</v>
      </c>
      <c r="B11736" s="1"/>
    </row>
    <row r="11737">
      <c r="A11737" s="1" t="str">
        <f>IFERROR(__xludf.DUMMYFUNCTION("""COMPUTED_VALUE"""),"134733;INF109KB1HE8;-;ICICI Prudential Fixed Maturity Plan - Series 77 - 1134 Plan H Direct Plan Dividend Option;12.7461;16-Jul-2018")</f>
        <v>134733;INF109KB1HE8;-;ICICI Prudential Fixed Maturity Plan - Series 77 - 1134 Plan H Direct Plan Dividend Option;12.7461;16-Jul-2018</v>
      </c>
      <c r="B11737" s="1"/>
    </row>
    <row r="11738">
      <c r="A11738" s="1" t="str">
        <f>IFERROR(__xludf.DUMMYFUNCTION("""COMPUTED_VALUE"""),"135318;INF109KB1MF5;-;ICICI Prudential Fixed Maturity Plan - Series 77 - 1144 Days Plan T Cumulative Option;12.6466;25-Oct-2018")</f>
        <v>135318;INF109KB1MF5;-;ICICI Prudential Fixed Maturity Plan - Series 77 - 1144 Days Plan T Cumulative Option;12.6466;25-Oct-2018</v>
      </c>
      <c r="B11738" s="1"/>
    </row>
    <row r="11739">
      <c r="A11739" s="1" t="str">
        <f>IFERROR(__xludf.DUMMYFUNCTION("""COMPUTED_VALUE"""),"135316;INF109KB1MH1;-;ICICI Prudential Fixed Maturity Plan - Series 77 - 1144 Days Plan T Direct Plan Cumulative Option;12.7281;25-Oct-2018")</f>
        <v>135316;INF109KB1MH1;-;ICICI Prudential Fixed Maturity Plan - Series 77 - 1144 Days Plan T Direct Plan Cumulative Option;12.7281;25-Oct-2018</v>
      </c>
      <c r="B11739" s="1"/>
    </row>
    <row r="11740">
      <c r="A11740" s="1" t="str">
        <f>IFERROR(__xludf.DUMMYFUNCTION("""COMPUTED_VALUE"""),"135319;INF109KB1MG3;-;ICICI Prudential Fixed Maturity Plan - Series 77 - 1144 Days Plan T Dividend Option;12.6466;25-Oct-2018")</f>
        <v>135319;INF109KB1MG3;-;ICICI Prudential Fixed Maturity Plan - Series 77 - 1144 Days Plan T Dividend Option;12.6466;25-Oct-2018</v>
      </c>
      <c r="B11740" s="1"/>
    </row>
    <row r="11741">
      <c r="A11741" s="1" t="str">
        <f>IFERROR(__xludf.DUMMYFUNCTION("""COMPUTED_VALUE"""),"135289;INF109KB1LZ5;-;ICICI Prudential Fixed Maturity Plan - Series 77 - 1151 Days Plan S Cumulative Option;12.6404;25-Oct-2018")</f>
        <v>135289;INF109KB1LZ5;-;ICICI Prudential Fixed Maturity Plan - Series 77 - 1151 Days Plan S Cumulative Option;12.6404;25-Oct-2018</v>
      </c>
      <c r="B11741" s="1"/>
    </row>
    <row r="11742">
      <c r="A11742" s="1" t="str">
        <f>IFERROR(__xludf.DUMMYFUNCTION("""COMPUTED_VALUE"""),"135286;INF109KB1MB4;-;ICICI Prudential Fixed Maturity Plan - Series 77 - 1151 Days Plan S Direct Plan Cumulative Option;12.7249;25-Oct-2018")</f>
        <v>135286;INF109KB1MB4;-;ICICI Prudential Fixed Maturity Plan - Series 77 - 1151 Days Plan S Direct Plan Cumulative Option;12.7249;25-Oct-2018</v>
      </c>
      <c r="B11742" s="1"/>
    </row>
    <row r="11743">
      <c r="A11743" s="1" t="str">
        <f>IFERROR(__xludf.DUMMYFUNCTION("""COMPUTED_VALUE"""),"135288;INF109KB1MC2;-;ICICI Prudential Fixed Maturity Plan - Series 77 - 1151 Days Plan S Direct Plan Dividend Option;12.7249;25-Oct-2018")</f>
        <v>135288;INF109KB1MC2;-;ICICI Prudential Fixed Maturity Plan - Series 77 - 1151 Days Plan S Direct Plan Dividend Option;12.7249;25-Oct-2018</v>
      </c>
      <c r="B11743" s="1"/>
    </row>
    <row r="11744">
      <c r="A11744" s="1" t="str">
        <f>IFERROR(__xludf.DUMMYFUNCTION("""COMPUTED_VALUE"""),"135287;INF109KB1MA6;-;ICICI Prudential Fixed Maturity Plan - Series 77 - 1151 Days Plan S Dividend Option;12.6404;25-Oct-2018")</f>
        <v>135287;INF109KB1MA6;-;ICICI Prudential Fixed Maturity Plan - Series 77 - 1151 Days Plan S Dividend Option;12.6404;25-Oct-2018</v>
      </c>
      <c r="B11744" s="1"/>
    </row>
    <row r="11745">
      <c r="A11745" s="1" t="str">
        <f>IFERROR(__xludf.DUMMYFUNCTION("""COMPUTED_VALUE"""),"134573;INF109KB1DN8;-;ICICI Prudential Fixed Maturity Plan - Series 77 - 1473 Days Plan C Cumulative Option;13.7176;27-May-2019")</f>
        <v>134573;INF109KB1DN8;-;ICICI Prudential Fixed Maturity Plan - Series 77 - 1473 Days Plan C Cumulative Option;13.7176;27-May-2019</v>
      </c>
      <c r="B11745" s="1"/>
    </row>
    <row r="11746">
      <c r="A11746" s="1" t="str">
        <f>IFERROR(__xludf.DUMMYFUNCTION("""COMPUTED_VALUE"""),"134575;INF109KB1DP3;-;ICICI Prudential Fixed Maturity Plan - Series 77 - 1473 Days Plan C Direct Plan Cumulative Option;13.8882;27-May-2019")</f>
        <v>134575;INF109KB1DP3;-;ICICI Prudential Fixed Maturity Plan - Series 77 - 1473 Days Plan C Direct Plan Cumulative Option;13.8882;27-May-2019</v>
      </c>
      <c r="B11746" s="1"/>
    </row>
    <row r="11747">
      <c r="A11747" s="1" t="str">
        <f>IFERROR(__xludf.DUMMYFUNCTION("""COMPUTED_VALUE"""),"134576;INF109KB1DQ1;-;ICICI Prudential Fixed Maturity Plan - Series 77 - 1473 Days Plan C Direct Plan Dividend Option;13.8882;27-May-2019")</f>
        <v>134576;INF109KB1DQ1;-;ICICI Prudential Fixed Maturity Plan - Series 77 - 1473 Days Plan C Direct Plan Dividend Option;13.8882;27-May-2019</v>
      </c>
      <c r="B11747" s="1"/>
    </row>
    <row r="11748">
      <c r="A11748" s="1" t="str">
        <f>IFERROR(__xludf.DUMMYFUNCTION("""COMPUTED_VALUE"""),"134574;INF109KB1DO6;-;ICICI Prudential Fixed Maturity Plan - Series 77 - 1473 Days Plan C Dividend Option;13.7176;27-May-2019")</f>
        <v>134574;INF109KB1DO6;-;ICICI Prudential Fixed Maturity Plan - Series 77 - 1473 Days Plan C Dividend Option;13.7176;27-May-2019</v>
      </c>
      <c r="B11748" s="1"/>
    </row>
    <row r="11749">
      <c r="A11749" s="1" t="str">
        <f>IFERROR(__xludf.DUMMYFUNCTION("""COMPUTED_VALUE"""),"139253;INF109KB1UN2;-;ICICI Prudential Fixed Maturity Plan - Series 78 - 1102 Days Plan Z Cumulative Option;12.4418;03-May-2019")</f>
        <v>139253;INF109KB1UN2;-;ICICI Prudential Fixed Maturity Plan - Series 78 - 1102 Days Plan Z Cumulative Option;12.4418;03-May-2019</v>
      </c>
      <c r="B11749" s="1"/>
    </row>
    <row r="11750">
      <c r="A11750" s="1" t="str">
        <f>IFERROR(__xludf.DUMMYFUNCTION("""COMPUTED_VALUE"""),"139255;INF109KB1UP7;-;ICICI Prudential Fixed Maturity Plan - Series 78 - 1102 Days Plan Z Direct Plan Cumulative Option;12.5487;03-May-2019")</f>
        <v>139255;INF109KB1UP7;-;ICICI Prudential Fixed Maturity Plan - Series 78 - 1102 Days Plan Z Direct Plan Cumulative Option;12.5487;03-May-2019</v>
      </c>
      <c r="B11750" s="1"/>
    </row>
    <row r="11751">
      <c r="A11751" s="1" t="str">
        <f>IFERROR(__xludf.DUMMYFUNCTION("""COMPUTED_VALUE"""),"139256;INF109KB1UQ5;-;ICICI Prudential Fixed Maturity Plan - Series 78 - 1102 Days Plan Z Direct Plan Dividend Option;12.5487;03-May-2019")</f>
        <v>139256;INF109KB1UQ5;-;ICICI Prudential Fixed Maturity Plan - Series 78 - 1102 Days Plan Z Direct Plan Dividend Option;12.5487;03-May-2019</v>
      </c>
      <c r="B11751" s="1"/>
    </row>
    <row r="11752">
      <c r="A11752" s="1" t="str">
        <f>IFERROR(__xludf.DUMMYFUNCTION("""COMPUTED_VALUE"""),"139254;INF109KB1UO0;-;ICICI Prudential Fixed Maturity Plan - Series 78 - 1102 Days Plan Z Dividend Option;12.4418;03-May-2019")</f>
        <v>139254;INF109KB1UO0;-;ICICI Prudential Fixed Maturity Plan - Series 78 - 1102 Days Plan Z Dividend Option;12.4418;03-May-2019</v>
      </c>
      <c r="B11752" s="1"/>
    </row>
    <row r="11753">
      <c r="A11753" s="1" t="str">
        <f>IFERROR(__xludf.DUMMYFUNCTION("""COMPUTED_VALUE"""),"139178;INF109KB1TX3;-;ICICI Prudential Fixed Maturity Plan - Series 78 - 1115 Days Plan X Cumulative Option;12.6569;18-Apr-2019")</f>
        <v>139178;INF109KB1TX3;-;ICICI Prudential Fixed Maturity Plan - Series 78 - 1115 Days Plan X Cumulative Option;12.6569;18-Apr-2019</v>
      </c>
      <c r="B11753" s="1"/>
    </row>
    <row r="11754">
      <c r="A11754" s="1" t="str">
        <f>IFERROR(__xludf.DUMMYFUNCTION("""COMPUTED_VALUE"""),"139180;INF109KB1TZ8;-;ICICI Prudential Fixed Maturity Plan - Series 78 - 1115 Days Plan X Direct Plan Cumulative Option;12.6826;18-Apr-2019")</f>
        <v>139180;INF109KB1TZ8;-;ICICI Prudential Fixed Maturity Plan - Series 78 - 1115 Days Plan X Direct Plan Cumulative Option;12.6826;18-Apr-2019</v>
      </c>
      <c r="B11754" s="1"/>
    </row>
    <row r="11755">
      <c r="A11755" s="1" t="str">
        <f>IFERROR(__xludf.DUMMYFUNCTION("""COMPUTED_VALUE"""),"139179;INF109KB1UA9;-;ICICI Prudential Fixed Maturity Plan - Series 78 - 1115 Days Plan X Direct Plan Dividend Option;12.6826;18-Apr-2019")</f>
        <v>139179;INF109KB1UA9;-;ICICI Prudential Fixed Maturity Plan - Series 78 - 1115 Days Plan X Direct Plan Dividend Option;12.6826;18-Apr-2019</v>
      </c>
      <c r="B11755" s="1"/>
    </row>
    <row r="11756">
      <c r="A11756" s="1" t="str">
        <f>IFERROR(__xludf.DUMMYFUNCTION("""COMPUTED_VALUE"""),"136462;INF109KB1SZ0;-;ICICI Prudential Fixed Maturity Plan - Series 78 - 1127 Days Plan R Cumulative Option;12.9428;18-Apr-2019")</f>
        <v>136462;INF109KB1SZ0;-;ICICI Prudential Fixed Maturity Plan - Series 78 - 1127 Days Plan R Cumulative Option;12.9428;18-Apr-2019</v>
      </c>
      <c r="B11756" s="1"/>
    </row>
    <row r="11757">
      <c r="A11757" s="1" t="str">
        <f>IFERROR(__xludf.DUMMYFUNCTION("""COMPUTED_VALUE"""),"136461;INF109KB1TB9;-;ICICI Prudential Fixed Maturity Plan - Series 78 - 1127 Days Plan R Direct Plan Cumulative Option;13.0244;18-Apr-2019")</f>
        <v>136461;INF109KB1TB9;-;ICICI Prudential Fixed Maturity Plan - Series 78 - 1127 Days Plan R Direct Plan Cumulative Option;13.0244;18-Apr-2019</v>
      </c>
      <c r="B11757" s="1"/>
    </row>
    <row r="11758">
      <c r="A11758" s="1" t="str">
        <f>IFERROR(__xludf.DUMMYFUNCTION("""COMPUTED_VALUE"""),"136460;INF109KB1TC7;-;ICICI Prudential Fixed Maturity Plan - Series 78 - 1127 Days Plan R Direct Plan Dividend Option;13.0244;18-Apr-2019")</f>
        <v>136460;INF109KB1TC7;-;ICICI Prudential Fixed Maturity Plan - Series 78 - 1127 Days Plan R Direct Plan Dividend Option;13.0244;18-Apr-2019</v>
      </c>
      <c r="B11758" s="1"/>
    </row>
    <row r="11759">
      <c r="A11759" s="1" t="str">
        <f>IFERROR(__xludf.DUMMYFUNCTION("""COMPUTED_VALUE"""),"136459;INF109KB1TA1;-;ICICI Prudential Fixed Maturity Plan - Series 78 - 1127 Days Plan R Dividend Option;12.9428;18-Apr-2019")</f>
        <v>136459;INF109KB1TA1;-;ICICI Prudential Fixed Maturity Plan - Series 78 - 1127 Days Plan R Dividend Option;12.9428;18-Apr-2019</v>
      </c>
      <c r="B11759" s="1"/>
    </row>
    <row r="11760">
      <c r="A11760" s="1" t="str">
        <f>IFERROR(__xludf.DUMMYFUNCTION("""COMPUTED_VALUE"""),"139107;INF109KB1TD5;-;ICICI Prudential Fixed Maturity Plan - Series 78 - 1130 Days Plan T Cumulative Option;12.6746;25-Apr-2019")</f>
        <v>139107;INF109KB1TD5;-;ICICI Prudential Fixed Maturity Plan - Series 78 - 1130 Days Plan T Cumulative Option;12.6746;25-Apr-2019</v>
      </c>
      <c r="B11760" s="1"/>
    </row>
    <row r="11761">
      <c r="A11761" s="1" t="str">
        <f>IFERROR(__xludf.DUMMYFUNCTION("""COMPUTED_VALUE"""),"139109;INF109KB1TF0;-;ICICI Prudential Fixed Maturity Plan - Series 78 - 1130 Days Plan T Direct Plan Cumulative Option;12.7023;25-Apr-2019")</f>
        <v>139109;INF109KB1TF0;-;ICICI Prudential Fixed Maturity Plan - Series 78 - 1130 Days Plan T Direct Plan Cumulative Option;12.7023;25-Apr-2019</v>
      </c>
      <c r="B11761" s="1"/>
    </row>
    <row r="11762">
      <c r="A11762" s="1" t="str">
        <f>IFERROR(__xludf.DUMMYFUNCTION("""COMPUTED_VALUE"""),"139110;INF109KB1TG8;-;ICICI Prudential Fixed Maturity Plan - Series 78 - 1130 Days Plan T Direct Plan Dividend Option;12.7023;25-Apr-2019")</f>
        <v>139110;INF109KB1TG8;-;ICICI Prudential Fixed Maturity Plan - Series 78 - 1130 Days Plan T Direct Plan Dividend Option;12.7023;25-Apr-2019</v>
      </c>
      <c r="B11762" s="1"/>
    </row>
    <row r="11763">
      <c r="A11763" s="1" t="str">
        <f>IFERROR(__xludf.DUMMYFUNCTION("""COMPUTED_VALUE"""),"139103;INF109KB1TP9;-;ICICI Prudential Fixed Maturity Plan - Series 78 - 1135 Days Plan W Cumulative Option;12.6175;25-Apr-2019")</f>
        <v>139103;INF109KB1TP9;-;ICICI Prudential Fixed Maturity Plan - Series 78 - 1135 Days Plan W Cumulative Option;12.6175;25-Apr-2019</v>
      </c>
      <c r="B11763" s="1"/>
    </row>
    <row r="11764">
      <c r="A11764" s="1" t="str">
        <f>IFERROR(__xludf.DUMMYFUNCTION("""COMPUTED_VALUE"""),"139104;INF109KB1TR5;-;ICICI Prudential Fixed Maturity Plan - Series 78 - 1135 Days Plan W Direct Plan Cumulative Option;12.6864;25-Apr-2019")</f>
        <v>139104;INF109KB1TR5;-;ICICI Prudential Fixed Maturity Plan - Series 78 - 1135 Days Plan W Direct Plan Cumulative Option;12.6864;25-Apr-2019</v>
      </c>
      <c r="B11764" s="1"/>
    </row>
    <row r="11765">
      <c r="A11765" s="1" t="str">
        <f>IFERROR(__xludf.DUMMYFUNCTION("""COMPUTED_VALUE"""),"136294;INF109KB1SB1;-;ICICI Prudential Fixed Maturity Plan - Series 78 -1150 Days Plan N Cumulative Option;12.7979;25-Apr-2019")</f>
        <v>136294;INF109KB1SB1;-;ICICI Prudential Fixed Maturity Plan - Series 78 -1150 Days Plan N Cumulative Option;12.7979;25-Apr-2019</v>
      </c>
      <c r="B11765" s="1"/>
    </row>
    <row r="11766">
      <c r="A11766" s="1" t="str">
        <f>IFERROR(__xludf.DUMMYFUNCTION("""COMPUTED_VALUE"""),"136295;INF109KB1SD7;-;ICICI Prudential Fixed Maturity Plan - Series 78 -1150 Days Plan N Direct Plan Cumulative Option;12.8232;25-Apr-2019")</f>
        <v>136295;INF109KB1SD7;-;ICICI Prudential Fixed Maturity Plan - Series 78 -1150 Days Plan N Direct Plan Cumulative Option;12.8232;25-Apr-2019</v>
      </c>
      <c r="B11766" s="1"/>
    </row>
    <row r="11767">
      <c r="A11767" s="1" t="str">
        <f>IFERROR(__xludf.DUMMYFUNCTION("""COMPUTED_VALUE"""),"136297;INF109KB1SE5;-;ICICI Prudential Fixed Maturity Plan - Series 78 -1150 Days Plan N Direct Plan Dividend Option;12.7806;25-Apr-2019")</f>
        <v>136297;INF109KB1SE5;-;ICICI Prudential Fixed Maturity Plan - Series 78 -1150 Days Plan N Direct Plan Dividend Option;12.7806;25-Apr-2019</v>
      </c>
      <c r="B11767" s="1"/>
    </row>
    <row r="11768">
      <c r="A11768" s="1" t="str">
        <f>IFERROR(__xludf.DUMMYFUNCTION("""COMPUTED_VALUE"""),"136296;INF109KB1SC9;-;ICICI Prudential Fixed Maturity Plan - Series 78 -1150 Days Plan N Dividend Option;12.7559;25-Apr-2019")</f>
        <v>136296;INF109KB1SC9;-;ICICI Prudential Fixed Maturity Plan - Series 78 -1150 Days Plan N Dividend Option;12.7559;25-Apr-2019</v>
      </c>
      <c r="B11768" s="1"/>
    </row>
    <row r="11769">
      <c r="A11769" s="1" t="str">
        <f>IFERROR(__xludf.DUMMYFUNCTION("""COMPUTED_VALUE"""),"139101;INF109KB1TL8;-;ICICI Prudential Fixed Maturity Plan - Series 78 - 1156 Days Plan U Cumulative Option;12.6299;29-May-2019")</f>
        <v>139101;INF109KB1TL8;-;ICICI Prudential Fixed Maturity Plan - Series 78 - 1156 Days Plan U Cumulative Option;12.6299;29-May-2019</v>
      </c>
      <c r="B11769" s="1"/>
    </row>
    <row r="11770">
      <c r="A11770" s="1" t="str">
        <f>IFERROR(__xludf.DUMMYFUNCTION("""COMPUTED_VALUE"""),"139099;INF109KB1TN4;-;ICICI Prudential Fixed Maturity Plan - Series 78 - 1156 Days Plan U Direct Plan Cumulative Option;12.7070;29-May-2019")</f>
        <v>139099;INF109KB1TN4;-;ICICI Prudential Fixed Maturity Plan - Series 78 - 1156 Days Plan U Direct Plan Cumulative Option;12.7070;29-May-2019</v>
      </c>
      <c r="B11770" s="1"/>
    </row>
    <row r="11771">
      <c r="A11771" s="1" t="str">
        <f>IFERROR(__xludf.DUMMYFUNCTION("""COMPUTED_VALUE"""),"139102;INF109KB1TM6;-;ICICI Prudential Fixed Maturity Plan - Series 78 - 1156 Days Plan U Dividend Option;12.6299;29-May-2019")</f>
        <v>139102;INF109KB1TM6;-;ICICI Prudential Fixed Maturity Plan - Series 78 - 1156 Days Plan U Dividend Option;12.6299;29-May-2019</v>
      </c>
      <c r="B11771" s="1"/>
    </row>
    <row r="11772">
      <c r="A11772" s="1" t="str">
        <f>IFERROR(__xludf.DUMMYFUNCTION("""COMPUTED_VALUE"""),"136228;INF109KB1RP3;-;ICICI Prudential Fixed Maturity Plan - Series 78 - 1168 Days Plan J Cumulative Option;12.8758;08-May-2019")</f>
        <v>136228;INF109KB1RP3;-;ICICI Prudential Fixed Maturity Plan - Series 78 - 1168 Days Plan J Cumulative Option;12.8758;08-May-2019</v>
      </c>
      <c r="B11772" s="1"/>
    </row>
    <row r="11773">
      <c r="A11773" s="1" t="str">
        <f>IFERROR(__xludf.DUMMYFUNCTION("""COMPUTED_VALUE"""),"136230;INF109KB1RR9;-;ICICI Prudential Fixed Maturity Plan - Series 78 - 1168 Days Plan J Direct Plan Cumulative Option;12.9032;08-May-2019")</f>
        <v>136230;INF109KB1RR9;-;ICICI Prudential Fixed Maturity Plan - Series 78 - 1168 Days Plan J Direct Plan Cumulative Option;12.9032;08-May-2019</v>
      </c>
      <c r="B11773" s="1"/>
    </row>
    <row r="11774">
      <c r="A11774" s="1" t="str">
        <f>IFERROR(__xludf.DUMMYFUNCTION("""COMPUTED_VALUE"""),"136231;INF109KB1RS7;-;ICICI Prudential Fixed Maturity Plan - Series 78 - 1168 Days Plan J Direct Plan Dividend Option;12.8507;08-May-2019")</f>
        <v>136231;INF109KB1RS7;-;ICICI Prudential Fixed Maturity Plan - Series 78 - 1168 Days Plan J Direct Plan Dividend Option;12.8507;08-May-2019</v>
      </c>
      <c r="B11774" s="1"/>
    </row>
    <row r="11775">
      <c r="A11775" s="1" t="str">
        <f>IFERROR(__xludf.DUMMYFUNCTION("""COMPUTED_VALUE"""),"136229;INF109KB1RQ1;-;ICICI Prudential Fixed Maturity Plan - Series 78 - 1168 Days Plan J Dividend Option;12.8240;08-May-2019")</f>
        <v>136229;INF109KB1RQ1;-;ICICI Prudential Fixed Maturity Plan - Series 78 - 1168 Days Plan J Dividend Option;12.8240;08-May-2019</v>
      </c>
      <c r="B11775" s="1"/>
    </row>
    <row r="11776">
      <c r="A11776" s="1" t="str">
        <f>IFERROR(__xludf.DUMMYFUNCTION("""COMPUTED_VALUE"""),"136224;INF109KB1RD9;-;ICICI Prudential Fixed Maturity Plan - Series 78 - 1170 Days Plan I Cumulative Option;12.9228;09-May-2019")</f>
        <v>136224;INF109KB1RD9;-;ICICI Prudential Fixed Maturity Plan - Series 78 - 1170 Days Plan I Cumulative Option;12.9228;09-May-2019</v>
      </c>
      <c r="B11776" s="1"/>
    </row>
    <row r="11777">
      <c r="A11777" s="1" t="str">
        <f>IFERROR(__xludf.DUMMYFUNCTION("""COMPUTED_VALUE"""),"136226;INF109KB1RF4;-;ICICI Prudential Fixed Maturity Plan - Series 78 - 1170 Days Plan I Direct Plan Cumulative Option;12.9504;09-May-2019")</f>
        <v>136226;INF109KB1RF4;-;ICICI Prudential Fixed Maturity Plan - Series 78 - 1170 Days Plan I Direct Plan Cumulative Option;12.9504;09-May-2019</v>
      </c>
      <c r="B11777" s="1"/>
    </row>
    <row r="11778">
      <c r="A11778" s="1" t="str">
        <f>IFERROR(__xludf.DUMMYFUNCTION("""COMPUTED_VALUE"""),"136227;INF109KB1RG2;-;ICICI Prudential Fixed Maturity Plan - Series 78 - 1170 Days Plan I Direct Plan Dividend Option;12.8897;09-May-2019")</f>
        <v>136227;INF109KB1RG2;-;ICICI Prudential Fixed Maturity Plan - Series 78 - 1170 Days Plan I Direct Plan Dividend Option;12.8897;09-May-2019</v>
      </c>
      <c r="B11778" s="1"/>
    </row>
    <row r="11779">
      <c r="A11779" s="1" t="str">
        <f>IFERROR(__xludf.DUMMYFUNCTION("""COMPUTED_VALUE"""),"136225;INF109KB1RE7;-;ICICI Prudential Fixed Maturity Plan - Series 78 - 1170 Days Plan I Dividend Option;12.8628;09-May-2019")</f>
        <v>136225;INF109KB1RE7;-;ICICI Prudential Fixed Maturity Plan - Series 78 - 1170 Days Plan I Dividend Option;12.8628;09-May-2019</v>
      </c>
      <c r="B11779" s="1"/>
    </row>
    <row r="11780">
      <c r="A11780" s="1" t="str">
        <f>IFERROR(__xludf.DUMMYFUNCTION("""COMPUTED_VALUE"""),"136047;INF109KB1QB5;-;ICICI Prudential Fixed Maturity Plan - Series 78 - 1185 Days Plan F Cumulative Option;12.8514;22-Apr-2019")</f>
        <v>136047;INF109KB1QB5;-;ICICI Prudential Fixed Maturity Plan - Series 78 - 1185 Days Plan F Cumulative Option;12.8514;22-Apr-2019</v>
      </c>
      <c r="B11780" s="1"/>
    </row>
    <row r="11781">
      <c r="A11781" s="1" t="str">
        <f>IFERROR(__xludf.DUMMYFUNCTION("""COMPUTED_VALUE"""),"136046;INF109KB1QD1;-;ICICI Prudential Fixed Maturity Plan - Series 78 - 1185 Days Plan F Direct Plan Cumulative Option;12.8818;22-Apr-2019")</f>
        <v>136046;INF109KB1QD1;-;ICICI Prudential Fixed Maturity Plan - Series 78 - 1185 Days Plan F Direct Plan Cumulative Option;12.8818;22-Apr-2019</v>
      </c>
      <c r="B11781" s="1"/>
    </row>
    <row r="11782">
      <c r="A11782" s="1" t="str">
        <f>IFERROR(__xludf.DUMMYFUNCTION("""COMPUTED_VALUE"""),"136049;INF109KB1QE9;-;ICICI Prudential Fixed Maturity Plan - Series 78 - 1185 Days Plan F Direct Plan Dividend Option;12.8818;22-Apr-2019")</f>
        <v>136049;INF109KB1QE9;-;ICICI Prudential Fixed Maturity Plan - Series 78 - 1185 Days Plan F Direct Plan Dividend Option;12.8818;22-Apr-2019</v>
      </c>
      <c r="B11782" s="1"/>
    </row>
    <row r="11783">
      <c r="A11783" s="1" t="str">
        <f>IFERROR(__xludf.DUMMYFUNCTION("""COMPUTED_VALUE"""),"136048;INF109KB1QC3;-;ICICI Prudential Fixed Maturity Plan - Series 78 - 1185 Days Plan F Dividend Option;12.8514;22-Apr-2019")</f>
        <v>136048;INF109KB1QC3;-;ICICI Prudential Fixed Maturity Plan - Series 78 - 1185 Days Plan F Dividend Option;12.8514;22-Apr-2019</v>
      </c>
      <c r="B11783" s="1"/>
    </row>
    <row r="11784">
      <c r="A11784" s="1" t="str">
        <f>IFERROR(__xludf.DUMMYFUNCTION("""COMPUTED_VALUE"""),"135930;INF109KB1PH4;-;ICICI Prudential Fixed Maturity Plan - Series 78 - 1190 Days Plan C Cumulative Option;12.7637;02-Apr-2019")</f>
        <v>135930;INF109KB1PH4;-;ICICI Prudential Fixed Maturity Plan - Series 78 - 1190 Days Plan C Cumulative Option;12.7637;02-Apr-2019</v>
      </c>
      <c r="B11784" s="1"/>
    </row>
    <row r="11785">
      <c r="A11785" s="1" t="str">
        <f>IFERROR(__xludf.DUMMYFUNCTION("""COMPUTED_VALUE"""),"135928;INF109KB1PJ0;-;ICICI Prudential Fixed Maturity Plan - Series 78 - 1190 Days Plan C Direct Plan Cumulative Option;12.8359;02-Apr-2019")</f>
        <v>135928;INF109KB1PJ0;-;ICICI Prudential Fixed Maturity Plan - Series 78 - 1190 Days Plan C Direct Plan Cumulative Option;12.8359;02-Apr-2019</v>
      </c>
      <c r="B11785" s="1"/>
    </row>
    <row r="11786">
      <c r="A11786" s="1" t="str">
        <f>IFERROR(__xludf.DUMMYFUNCTION("""COMPUTED_VALUE"""),"135929;INF109KB1PK8;-;ICICI Prudential Fixed Maturity Plan - Series 78 - 1190 Days Plan C Direct Plan Dividend Option;12.8359;02-Apr-2019")</f>
        <v>135929;INF109KB1PK8;-;ICICI Prudential Fixed Maturity Plan - Series 78 - 1190 Days Plan C Direct Plan Dividend Option;12.8359;02-Apr-2019</v>
      </c>
      <c r="B11786" s="1"/>
    </row>
    <row r="11787">
      <c r="A11787" s="1" t="str">
        <f>IFERROR(__xludf.DUMMYFUNCTION("""COMPUTED_VALUE"""),"135931;INF109KB1PI2;-;ICICI Prudential Fixed Maturity Plan - Series 78 - 1190 Days Plan C Dividend Option;12.7637;02-Apr-2019")</f>
        <v>135931;INF109KB1PI2;-;ICICI Prudential Fixed Maturity Plan - Series 78 - 1190 Days Plan C Dividend Option;12.7637;02-Apr-2019</v>
      </c>
      <c r="B11787" s="1"/>
    </row>
    <row r="11788">
      <c r="A11788" s="1" t="str">
        <f>IFERROR(__xludf.DUMMYFUNCTION("""COMPUTED_VALUE"""),"135995;INF109KB1PT9;-;ICICI Prudential Fixed Maturity Plan - Series 78 - 1190 Days Plan E Cumulative Option;12.8739;23-Apr-2019")</f>
        <v>135995;INF109KB1PT9;-;ICICI Prudential Fixed Maturity Plan - Series 78 - 1190 Days Plan E Cumulative Option;12.8739;23-Apr-2019</v>
      </c>
      <c r="B11788" s="1"/>
    </row>
    <row r="11789">
      <c r="A11789" s="1" t="str">
        <f>IFERROR(__xludf.DUMMYFUNCTION("""COMPUTED_VALUE"""),"135992;INF109KB1PV5;-;ICICI Prudential Fixed Maturity Plan - Series 78 - 1190 Days Plan E Direct Plan Cumulative Option;12.9064;23-Apr-2019")</f>
        <v>135992;INF109KB1PV5;-;ICICI Prudential Fixed Maturity Plan - Series 78 - 1190 Days Plan E Direct Plan Cumulative Option;12.9064;23-Apr-2019</v>
      </c>
      <c r="B11789" s="1"/>
    </row>
    <row r="11790">
      <c r="A11790" s="1" t="str">
        <f>IFERROR(__xludf.DUMMYFUNCTION("""COMPUTED_VALUE"""),"135993;INF109KB1PW3;-;ICICI Prudential Fixed Maturity Plan - Series 78 - 1190 Days Plan E Direct Plan Dividend Option;12.9064;23-Apr-2019")</f>
        <v>135993;INF109KB1PW3;-;ICICI Prudential Fixed Maturity Plan - Series 78 - 1190 Days Plan E Direct Plan Dividend Option;12.9064;23-Apr-2019</v>
      </c>
      <c r="B11790" s="1"/>
    </row>
    <row r="11791">
      <c r="A11791" s="1" t="str">
        <f>IFERROR(__xludf.DUMMYFUNCTION("""COMPUTED_VALUE"""),"135994;INF109KB1PU7;-;ICICI Prudential Fixed Maturity Plan - Series 78 - 1190 Days Plan E Dividend Option;12.8739;23-Apr-2019")</f>
        <v>135994;INF109KB1PU7;-;ICICI Prudential Fixed Maturity Plan - Series 78 - 1190 Days Plan E Dividend Option;12.8739;23-Apr-2019</v>
      </c>
      <c r="B11791" s="1"/>
    </row>
    <row r="11792">
      <c r="A11792" s="1" t="str">
        <f>IFERROR(__xludf.DUMMYFUNCTION("""COMPUTED_VALUE"""),"135846;INF109KB1OR6;-;ICICI Prudential Fixed Maturity Plan - Series 78 - 1212 Days Plan A Cumulative Option;12.8028;03-Apr-2019")</f>
        <v>135846;INF109KB1OR6;-;ICICI Prudential Fixed Maturity Plan - Series 78 - 1212 Days Plan A Cumulative Option;12.8028;03-Apr-2019</v>
      </c>
      <c r="B11792" s="1"/>
    </row>
    <row r="11793">
      <c r="A11793" s="1" t="str">
        <f>IFERROR(__xludf.DUMMYFUNCTION("""COMPUTED_VALUE"""),"135847;INF109KB1OT2;-;ICICI Prudential Fixed Maturity Plan - Series 78 - 1212 Days Plan A Direct Plan Cumulative Option;12.8913;03-Apr-2019")</f>
        <v>135847;INF109KB1OT2;-;ICICI Prudential Fixed Maturity Plan - Series 78 - 1212 Days Plan A Direct Plan Cumulative Option;12.8913;03-Apr-2019</v>
      </c>
      <c r="B11793" s="1"/>
    </row>
    <row r="11794">
      <c r="A11794" s="1" t="str">
        <f>IFERROR(__xludf.DUMMYFUNCTION("""COMPUTED_VALUE"""),"135845;INF109KB1OU0;-;ICICI Prudential Fixed Maturity Plan - Series 78 - 1212 Days Plan A Direct Plan Dividend Option;12.8912;03-Apr-2019")</f>
        <v>135845;INF109KB1OU0;-;ICICI Prudential Fixed Maturity Plan - Series 78 - 1212 Days Plan A Direct Plan Dividend Option;12.8912;03-Apr-2019</v>
      </c>
      <c r="B11794" s="1"/>
    </row>
    <row r="11795">
      <c r="A11795" s="1" t="str">
        <f>IFERROR(__xludf.DUMMYFUNCTION("""COMPUTED_VALUE"""),"135848;INF109KB1OS4;-;ICICI Prudential Fixed Maturity Plan - Series 78 - 1212 Days Plan A Dividend Option;12.8028;03-Apr-2019")</f>
        <v>135848;INF109KB1OS4;-;ICICI Prudential Fixed Maturity Plan - Series 78 - 1212 Days Plan A Dividend Option;12.8028;03-Apr-2019</v>
      </c>
      <c r="B11795" s="1"/>
    </row>
    <row r="11796">
      <c r="A11796" s="1" t="str">
        <f>IFERROR(__xludf.DUMMYFUNCTION("""COMPUTED_VALUE"""),"139114;INF109KB1TT1;-;ICICI Prudential Fixed Maturity Plan - Series 78 - 1281 Days Plan V Cumulative Option;13.4251;01-Oct-2019")</f>
        <v>139114;INF109KB1TT1;-;ICICI Prudential Fixed Maturity Plan - Series 78 - 1281 Days Plan V Cumulative Option;13.4251;01-Oct-2019</v>
      </c>
      <c r="B11796" s="1"/>
    </row>
    <row r="11797">
      <c r="A11797" s="1" t="str">
        <f>IFERROR(__xludf.DUMMYFUNCTION("""COMPUTED_VALUE"""),"139113;INF109KB1TV7;-;ICICI Prudential Fixed Maturity Plan - Series 78 - 1281 Days Plan V Direct Plan Cumulative Option;13.5167;01-Oct-2019")</f>
        <v>139113;INF109KB1TV7;-;ICICI Prudential Fixed Maturity Plan - Series 78 - 1281 Days Plan V Direct Plan Cumulative Option;13.5167;01-Oct-2019</v>
      </c>
      <c r="B11797" s="1"/>
    </row>
    <row r="11798">
      <c r="A11798" s="1" t="str">
        <f>IFERROR(__xludf.DUMMYFUNCTION("""COMPUTED_VALUE"""),"139111;INF109KB1TW5;-;ICICI Prudential Fixed Maturity Plan - Series 78 - 1281 Days Plan V Direct Plan Dividend Option;13.5167;01-Oct-2019")</f>
        <v>139111;INF109KB1TW5;-;ICICI Prudential Fixed Maturity Plan - Series 78 - 1281 Days Plan V Direct Plan Dividend Option;13.5167;01-Oct-2019</v>
      </c>
      <c r="B11798" s="1"/>
    </row>
    <row r="11799">
      <c r="A11799" s="1" t="str">
        <f>IFERROR(__xludf.DUMMYFUNCTION("""COMPUTED_VALUE"""),"139112;INF109KB1TU9;-;ICICI Prudential Fixed Maturity Plan - Series 78 - 1281 Days Plan V Dividend Option;13.4251;01-Oct-2019")</f>
        <v>139112;INF109KB1TU9;-;ICICI Prudential Fixed Maturity Plan - Series 78 - 1281 Days Plan V Dividend Option;13.4251;01-Oct-2019</v>
      </c>
      <c r="B11799" s="1"/>
    </row>
    <row r="11800">
      <c r="A11800" s="1" t="str">
        <f>IFERROR(__xludf.DUMMYFUNCTION("""COMPUTED_VALUE"""),"136239;INF109KB1RT5;-;ICICI Prudential Fixed Maturity Plan - Series 78 - 188 Days Plan L Cumulative Option;10.4160;29-Aug-2016")</f>
        <v>136239;INF109KB1RT5;-;ICICI Prudential Fixed Maturity Plan - Series 78 - 188 Days Plan L Cumulative Option;10.4160;29-Aug-2016</v>
      </c>
      <c r="B11800" s="1"/>
    </row>
    <row r="11801">
      <c r="A11801" s="1" t="str">
        <f>IFERROR(__xludf.DUMMYFUNCTION("""COMPUTED_VALUE"""),"136238;INF109KB1RV1;-;ICICI Prudential Fixed Maturity Plan - Series 78 - 188 Days Plan L Direct Plan Cumulative Option;10.4214;29-Aug-2016")</f>
        <v>136238;INF109KB1RV1;-;ICICI Prudential Fixed Maturity Plan - Series 78 - 188 Days Plan L Direct Plan Cumulative Option;10.4214;29-Aug-2016</v>
      </c>
      <c r="B11801" s="1"/>
    </row>
    <row r="11802">
      <c r="A11802" s="1" t="str">
        <f>IFERROR(__xludf.DUMMYFUNCTION("""COMPUTED_VALUE"""),"136237;INF109KB1RW9;-;ICICI Prudential Fixed Maturity Plan - Series 78 - 188 Days Plan L Direct Plan Dividend Option;10.4214;29-Aug-2016")</f>
        <v>136237;INF109KB1RW9;-;ICICI Prudential Fixed Maturity Plan - Series 78 - 188 Days Plan L Direct Plan Dividend Option;10.4214;29-Aug-2016</v>
      </c>
      <c r="B11802" s="1"/>
    </row>
    <row r="11803">
      <c r="A11803" s="1" t="str">
        <f>IFERROR(__xludf.DUMMYFUNCTION("""COMPUTED_VALUE"""),"136236;INF109KB1RU3;-;ICICI Prudential Fixed Maturity Plan - Series 78 - 188 Days Plan L Dividend Option;10.4160;29-Aug-2016")</f>
        <v>136236;INF109KB1RU3;-;ICICI Prudential Fixed Maturity Plan - Series 78 - 188 Days Plan L Dividend Option;10.4160;29-Aug-2016</v>
      </c>
      <c r="B11803" s="1"/>
    </row>
    <row r="11804">
      <c r="A11804" s="1" t="str">
        <f>IFERROR(__xludf.DUMMYFUNCTION("""COMPUTED_VALUE"""),"136220;INF109KB1VT7;-;ICICI Prudential Fixed Maturity Plan - Series 78 - 95 Days Plan K Cumulative Option;10.4114;18-Aug-2016")</f>
        <v>136220;INF109KB1VT7;-;ICICI Prudential Fixed Maturity Plan - Series 78 - 95 Days Plan K Cumulative Option;10.4114;18-Aug-2016</v>
      </c>
      <c r="B11804" s="1"/>
    </row>
    <row r="11805">
      <c r="A11805" s="1" t="str">
        <f>IFERROR(__xludf.DUMMYFUNCTION("""COMPUTED_VALUE"""),"136221;INF109KB1VV3;-;ICICI Prudential Fixed Maturity Plan - Series 78 - 95 Days Plan K Direct Plan Cumulative Option;10.4181;18-Aug-2016")</f>
        <v>136221;INF109KB1VV3;-;ICICI Prudential Fixed Maturity Plan - Series 78 - 95 Days Plan K Direct Plan Cumulative Option;10.4181;18-Aug-2016</v>
      </c>
      <c r="B11805" s="1"/>
    </row>
    <row r="11806">
      <c r="A11806" s="1" t="str">
        <f>IFERROR(__xludf.DUMMYFUNCTION("""COMPUTED_VALUE"""),"136223;INF109KB1VW1;-;ICICI Prudential Fixed Maturity Plan - Series 78 - 95 Days Plan K Direct Plan Dividend Option;10.2213;16-May-2016")</f>
        <v>136223;INF109KB1VW1;-;ICICI Prudential Fixed Maturity Plan - Series 78 - 95 Days Plan K Direct Plan Dividend Option;10.2213;16-May-2016</v>
      </c>
      <c r="B11806" s="1"/>
    </row>
    <row r="11807">
      <c r="A11807" s="1" t="str">
        <f>IFERROR(__xludf.DUMMYFUNCTION("""COMPUTED_VALUE"""),"136222;INF109KB1VU5;-;ICICI Prudential Fixed Maturity Plan - Series 78 - 95 Days Plan K Dividend Option;10.2160;16-May-2016")</f>
        <v>136222;INF109KB1VU5;-;ICICI Prudential Fixed Maturity Plan - Series 78 - 95 Days Plan K Dividend Option;10.2160;16-May-2016</v>
      </c>
      <c r="B11807" s="1"/>
    </row>
    <row r="11808">
      <c r="A11808" s="1" t="str">
        <f>IFERROR(__xludf.DUMMYFUNCTION("""COMPUTED_VALUE"""),"136298;INF109KB1SA3;-;ICICI Prudential Fixed Maturity Plan - Series 78 - 95 Days Plan M Direct Plan Dividend Option;10.2253;30-May-2016")</f>
        <v>136298;INF109KB1SA3;-;ICICI Prudential Fixed Maturity Plan - Series 78 - 95 Days Plan M Direct Plan Dividend Option;10.2253;30-May-2016</v>
      </c>
      <c r="B11808" s="1"/>
    </row>
    <row r="11809">
      <c r="A11809" s="1" t="str">
        <f>IFERROR(__xludf.DUMMYFUNCTION("""COMPUTED_VALUE"""),"136301;INF109KB1RY5;-;ICICI Prudential Fixed Maturity Plan - Series 78 - 95 Days Plan M Dividend Option;10.2239;30-May-2016")</f>
        <v>136301;INF109KB1RY5;-;ICICI Prudential Fixed Maturity Plan - Series 78 - 95 Days Plan M Dividend Option;10.2239;30-May-2016</v>
      </c>
      <c r="B11809" s="1"/>
    </row>
    <row r="11810">
      <c r="A11810" s="1" t="str">
        <f>IFERROR(__xludf.DUMMYFUNCTION("""COMPUTED_VALUE"""),"136299;INF109KB1RX7;-;ICICI Prudential Fixed Maturity Plan - Series 78 -95 Days Plan M Cumulative Option;10.2240;30-May-2016")</f>
        <v>136299;INF109KB1RX7;-;ICICI Prudential Fixed Maturity Plan - Series 78 -95 Days Plan M Cumulative Option;10.2240;30-May-2016</v>
      </c>
      <c r="B11810" s="1"/>
    </row>
    <row r="11811">
      <c r="A11811" s="1" t="str">
        <f>IFERROR(__xludf.DUMMYFUNCTION("""COMPUTED_VALUE"""),"136300;INF109KB1RZ2;-;ICICI Prudential Fixed Maturity Plan - Series 78 -95 Days Plan M Direct Plan Cumulative Option;10.2253;30-May-2016")</f>
        <v>136300;INF109KB1RZ2;-;ICICI Prudential Fixed Maturity Plan - Series 78 -95 Days Plan M Direct Plan Cumulative Option;10.2253;30-May-2016</v>
      </c>
      <c r="B11811" s="1"/>
    </row>
    <row r="11812">
      <c r="A11812" s="1" t="str">
        <f>IFERROR(__xludf.DUMMYFUNCTION("""COMPUTED_VALUE"""),"139762;INF109KB1ZQ4;-;ICICI Prudential Fixed Maturity Plan - Series 79 - 1104 Days Plan O Cumulative Option;12.7387;16-Sep-2019")</f>
        <v>139762;INF109KB1ZQ4;-;ICICI Prudential Fixed Maturity Plan - Series 79 - 1104 Days Plan O Cumulative Option;12.7387;16-Sep-2019</v>
      </c>
      <c r="B11812" s="1"/>
    </row>
    <row r="11813">
      <c r="A11813" s="1" t="str">
        <f>IFERROR(__xludf.DUMMYFUNCTION("""COMPUTED_VALUE"""),"139761;INF109KB1ZS0;-;ICICI Prudential Fixed Maturity Plan - Series 79 - 1104 Days Plan O Direct Plan Cumulative Option;12.8474;16-Sep-2019")</f>
        <v>139761;INF109KB1ZS0;-;ICICI Prudential Fixed Maturity Plan - Series 79 - 1104 Days Plan O Direct Plan Cumulative Option;12.8474;16-Sep-2019</v>
      </c>
      <c r="B11813" s="1"/>
    </row>
    <row r="11814">
      <c r="A11814" s="1" t="str">
        <f>IFERROR(__xludf.DUMMYFUNCTION("""COMPUTED_VALUE"""),"139760;INF109KB1ZT8;-;ICICI Prudential Fixed Maturity Plan - Series 79 - 1104 Days Plan O Direct Plan Dividend Option;12.8474;16-Sep-2019")</f>
        <v>139760;INF109KB1ZT8;-;ICICI Prudential Fixed Maturity Plan - Series 79 - 1104 Days Plan O Direct Plan Dividend Option;12.8474;16-Sep-2019</v>
      </c>
      <c r="B11814" s="1"/>
    </row>
    <row r="11815">
      <c r="A11815" s="1" t="str">
        <f>IFERROR(__xludf.DUMMYFUNCTION("""COMPUTED_VALUE"""),"139759;INF109KB1ZR2;-;ICICI Prudential Fixed Maturity Plan - Series 79 - 1104 Days Plan O Dividend Option;12.7387;16-Sep-2019")</f>
        <v>139759;INF109KB1ZR2;-;ICICI Prudential Fixed Maturity Plan - Series 79 - 1104 Days Plan O Dividend Option;12.7387;16-Sep-2019</v>
      </c>
      <c r="B11815" s="1"/>
    </row>
    <row r="11816">
      <c r="A11816" s="1" t="str">
        <f>IFERROR(__xludf.DUMMYFUNCTION("""COMPUTED_VALUE"""),"139841;INF109KB1B48;-;ICICI Prudential Fixed Maturity Plan - Series 79 - 1104 Days Plan P Cumulative Option;12.3018;16-Sep-2019")</f>
        <v>139841;INF109KB1B48;-;ICICI Prudential Fixed Maturity Plan - Series 79 - 1104 Days Plan P Cumulative Option;12.3018;16-Sep-2019</v>
      </c>
      <c r="B11816" s="1"/>
    </row>
    <row r="11817">
      <c r="A11817" s="1" t="str">
        <f>IFERROR(__xludf.DUMMYFUNCTION("""COMPUTED_VALUE"""),"139842;INF109KB1B63;-;ICICI Prudential Fixed Maturity Plan - Series 79 - 1104 Days Plan P Direct Plan Cumulative Option;12.3707;16-Sep-2019")</f>
        <v>139842;INF109KB1B63;-;ICICI Prudential Fixed Maturity Plan - Series 79 - 1104 Days Plan P Direct Plan Cumulative Option;12.3707;16-Sep-2019</v>
      </c>
      <c r="B11817" s="1"/>
    </row>
    <row r="11818">
      <c r="A11818" s="1" t="str">
        <f>IFERROR(__xludf.DUMMYFUNCTION("""COMPUTED_VALUE"""),"139843;INF109KB1B71;-;ICICI Prudential Fixed Maturity Plan - Series 79 - 1104 Days Plan P Direct Plan Dividend Option;12.3707;16-Sep-2019")</f>
        <v>139843;INF109KB1B71;-;ICICI Prudential Fixed Maturity Plan - Series 79 - 1104 Days Plan P Direct Plan Dividend Option;12.3707;16-Sep-2019</v>
      </c>
      <c r="B11818" s="1"/>
    </row>
    <row r="11819">
      <c r="A11819" s="1" t="str">
        <f>IFERROR(__xludf.DUMMYFUNCTION("""COMPUTED_VALUE"""),"139844;INF109KB1B55;-;ICICI Prudential Fixed Maturity Plan - Series 79 - 1104 Days Plan P Dividend Option;12.3018;16-Sep-2019")</f>
        <v>139844;INF109KB1B55;-;ICICI Prudential Fixed Maturity Plan - Series 79 - 1104 Days Plan P Dividend Option;12.3018;16-Sep-2019</v>
      </c>
      <c r="B11819" s="1"/>
    </row>
    <row r="11820">
      <c r="A11820" s="1" t="str">
        <f>IFERROR(__xludf.DUMMYFUNCTION("""COMPUTED_VALUE"""),"139342;INF109KB1VL4;-;ICICI Prudential Fixed Maturity Plan - Series 79 - 1105 Days Plan B Cumulative Option;12.5279;28-May-2019")</f>
        <v>139342;INF109KB1VL4;-;ICICI Prudential Fixed Maturity Plan - Series 79 - 1105 Days Plan B Cumulative Option;12.5279;28-May-2019</v>
      </c>
      <c r="B11820" s="1"/>
    </row>
    <row r="11821">
      <c r="A11821" s="1" t="str">
        <f>IFERROR(__xludf.DUMMYFUNCTION("""COMPUTED_VALUE"""),"139341;INF109KB1VN0;-;ICICI Prudential Fixed Maturity Plan - Series 79 - 1105 Days Plan B Direct Plan Cumulative Option;12.6271;28-May-2019")</f>
        <v>139341;INF109KB1VN0;-;ICICI Prudential Fixed Maturity Plan - Series 79 - 1105 Days Plan B Direct Plan Cumulative Option;12.6271;28-May-2019</v>
      </c>
      <c r="B11821" s="1"/>
    </row>
    <row r="11822">
      <c r="A11822" s="1" t="str">
        <f>IFERROR(__xludf.DUMMYFUNCTION("""COMPUTED_VALUE"""),"139343;INF109KB1VO8;-;ICICI Prudential Fixed Maturity Plan - Series 79 - 1105 Days Plan B Direct Plan Dividend Option;12.6271;28-May-2019")</f>
        <v>139343;INF109KB1VO8;-;ICICI Prudential Fixed Maturity Plan - Series 79 - 1105 Days Plan B Direct Plan Dividend Option;12.6271;28-May-2019</v>
      </c>
      <c r="B11822" s="1"/>
    </row>
    <row r="11823">
      <c r="A11823" s="1" t="str">
        <f>IFERROR(__xludf.DUMMYFUNCTION("""COMPUTED_VALUE"""),"139340;INF109KB1VM2;-;ICICI Prudential Fixed Maturity Plan - Series 79 - 1105 Days Plan B Dividend Option;12.5279;28-May-2019")</f>
        <v>139340;INF109KB1VM2;-;ICICI Prudential Fixed Maturity Plan - Series 79 - 1105 Days Plan B Dividend Option;12.5279;28-May-2019</v>
      </c>
      <c r="B11823" s="1"/>
    </row>
    <row r="11824">
      <c r="A11824" s="1" t="str">
        <f>IFERROR(__xludf.DUMMYFUNCTION("""COMPUTED_VALUE"""),"139747;INF109KB1ZI1;-;ICICI Prudential Fixed Maturity Plan - Seires 79 - 1106 Days Plan M Cumulative Option;12.2950;03-Sep-2019")</f>
        <v>139747;INF109KB1ZI1;-;ICICI Prudential Fixed Maturity Plan - Seires 79 - 1106 Days Plan M Cumulative Option;12.2950;03-Sep-2019</v>
      </c>
      <c r="B11824" s="1"/>
    </row>
    <row r="11825">
      <c r="A11825" s="1" t="str">
        <f>IFERROR(__xludf.DUMMYFUNCTION("""COMPUTED_VALUE"""),"139749;INF109KB1ZJ9;-;ICICI Prudential Fixed Maturity Plan - Series 79 - 1106 Days Plan M  Dividend Option;12.2950;03-Sep-2019")</f>
        <v>139749;INF109KB1ZJ9;-;ICICI Prudential Fixed Maturity Plan - Series 79 - 1106 Days Plan M  Dividend Option;12.2950;03-Sep-2019</v>
      </c>
      <c r="B11825" s="1"/>
    </row>
    <row r="11826">
      <c r="A11826" s="1" t="str">
        <f>IFERROR(__xludf.DUMMYFUNCTION("""COMPUTED_VALUE"""),"139748;INF109KB1ZK7;-;ICICI Prudential Fixed Maturity Plan - Series 79 - 1106 Days Plan M Direct Plan Cumulative Option;12.3722;03-Sep-2019")</f>
        <v>139748;INF109KB1ZK7;-;ICICI Prudential Fixed Maturity Plan - Series 79 - 1106 Days Plan M Direct Plan Cumulative Option;12.3722;03-Sep-2019</v>
      </c>
      <c r="B11826" s="1"/>
    </row>
    <row r="11827">
      <c r="A11827" s="1" t="str">
        <f>IFERROR(__xludf.DUMMYFUNCTION("""COMPUTED_VALUE"""),"139750;INF109KB1ZL5;-;ICICI Prudential Fixed Maturity Plan - Series 79 - 1106 Days Plan M Direct Plan Dividend Option;12.3722;03-Sep-2019")</f>
        <v>139750;INF109KB1ZL5;-;ICICI Prudential Fixed Maturity Plan - Series 79 - 1106 Days Plan M Direct Plan Dividend Option;12.3722;03-Sep-2019</v>
      </c>
      <c r="B11827" s="1"/>
    </row>
    <row r="11828">
      <c r="A11828" s="1" t="str">
        <f>IFERROR(__xludf.DUMMYFUNCTION("""COMPUTED_VALUE"""),"139704;INF109KB1YS3;-;ICICI Prudential Fixed Maturity Plan - Series 79 - 1118 Days Plan K Cumulative Option;12.3682;03-Sep-2019")</f>
        <v>139704;INF109KB1YS3;-;ICICI Prudential Fixed Maturity Plan - Series 79 - 1118 Days Plan K Cumulative Option;12.3682;03-Sep-2019</v>
      </c>
      <c r="B11828" s="1"/>
    </row>
    <row r="11829">
      <c r="A11829" s="1" t="str">
        <f>IFERROR(__xludf.DUMMYFUNCTION("""COMPUTED_VALUE"""),"139702;INF109KB1YU9;-;ICICI Prudential Fixed Maturity Plan - Series 79 - 1118 Days Plan K Direct Plan Cumulative Option;12.4278;03-Sep-2019")</f>
        <v>139702;INF109KB1YU9;-;ICICI Prudential Fixed Maturity Plan - Series 79 - 1118 Days Plan K Direct Plan Cumulative Option;12.4278;03-Sep-2019</v>
      </c>
      <c r="B11829" s="1"/>
    </row>
    <row r="11830">
      <c r="A11830" s="1" t="str">
        <f>IFERROR(__xludf.DUMMYFUNCTION("""COMPUTED_VALUE"""),"139703;INF109KB1YV7;-;ICICI Prudential Fixed Maturity Plan - Series 79 - 1118 Days Plan K Direct Plan Dividend Option;12.4278;03-Sep-2019")</f>
        <v>139703;INF109KB1YV7;-;ICICI Prudential Fixed Maturity Plan - Series 79 - 1118 Days Plan K Direct Plan Dividend Option;12.4278;03-Sep-2019</v>
      </c>
      <c r="B11830" s="1"/>
    </row>
    <row r="11831">
      <c r="A11831" s="1" t="str">
        <f>IFERROR(__xludf.DUMMYFUNCTION("""COMPUTED_VALUE"""),"139701;INF109KB1YT1;-;ICICI Prudential Fixed Maturity Plan - Series 79 - 1118 Days Plan K Dividend Option;12.3682;03-Sep-2019")</f>
        <v>139701;INF109KB1YT1;-;ICICI Prudential Fixed Maturity Plan - Series 79 - 1118 Days Plan K Dividend Option;12.3682;03-Sep-2019</v>
      </c>
      <c r="B11831" s="1"/>
    </row>
    <row r="11832">
      <c r="A11832" s="1" t="str">
        <f>IFERROR(__xludf.DUMMYFUNCTION("""COMPUTED_VALUE"""),"139642;INF109KB1YO2;-;ICICI Prudential Fixed Maturity Plan - Series 79 - 1120 Days Plan J Cumulative Option;12.4277;27-Aug-2019")</f>
        <v>139642;INF109KB1YO2;-;ICICI Prudential Fixed Maturity Plan - Series 79 - 1120 Days Plan J Cumulative Option;12.4277;27-Aug-2019</v>
      </c>
      <c r="B11832" s="1"/>
    </row>
    <row r="11833">
      <c r="A11833" s="1" t="str">
        <f>IFERROR(__xludf.DUMMYFUNCTION("""COMPUTED_VALUE"""),"139643;INF109KB1YQ7;-;ICICI Prudential Fixed Maturity Plan - Series 79 - 1120 Days Plan J Direct Plan Cumulative Option;12.4851;27-Aug-2019")</f>
        <v>139643;INF109KB1YQ7;-;ICICI Prudential Fixed Maturity Plan - Series 79 - 1120 Days Plan J Direct Plan Cumulative Option;12.4851;27-Aug-2019</v>
      </c>
      <c r="B11833" s="1"/>
    </row>
    <row r="11834">
      <c r="A11834" s="1" t="str">
        <f>IFERROR(__xludf.DUMMYFUNCTION("""COMPUTED_VALUE"""),"139645;INF109KB1YP9;-;ICICI Prudential Fixed Maturity Plan - Series 79 - 1120 Days Plan J Dividend Option;12.4277;27-Aug-2019")</f>
        <v>139645;INF109KB1YP9;-;ICICI Prudential Fixed Maturity Plan - Series 79 - 1120 Days Plan J Dividend Option;12.4277;27-Aug-2019</v>
      </c>
      <c r="B11834" s="1"/>
    </row>
    <row r="11835">
      <c r="A11835" s="1" t="str">
        <f>IFERROR(__xludf.DUMMYFUNCTION("""COMPUTED_VALUE"""),"139475;INF109KB1XH8;-;ICICI Prudential Fixed Maturity Plan - Series 79 - 1130 Days Plan E  Cumulative Option;12.4366;01-Aug-2019")</f>
        <v>139475;INF109KB1XH8;-;ICICI Prudential Fixed Maturity Plan - Series 79 - 1130 Days Plan E  Cumulative Option;12.4366;01-Aug-2019</v>
      </c>
      <c r="B11835" s="1"/>
    </row>
    <row r="11836">
      <c r="A11836" s="1" t="str">
        <f>IFERROR(__xludf.DUMMYFUNCTION("""COMPUTED_VALUE"""),"139477;INF109KB1XJ4;-;ICICI Prudential Fixed Maturity Plan - Series 79 - 1130 Days Plan E  Direct Plan Cumulative Option;12.5194;01-Aug-2019")</f>
        <v>139477;INF109KB1XJ4;-;ICICI Prudential Fixed Maturity Plan - Series 79 - 1130 Days Plan E  Direct Plan Cumulative Option;12.5194;01-Aug-2019</v>
      </c>
      <c r="B11836" s="1"/>
    </row>
    <row r="11837">
      <c r="A11837" s="1" t="str">
        <f>IFERROR(__xludf.DUMMYFUNCTION("""COMPUTED_VALUE"""),"139476;INF109KB1XK2;-;ICICI Prudential Fixed Maturity Plan - Series 79 - 1130 Days Plan E  Direct Plan Dividend Option;12.5194;01-Aug-2019")</f>
        <v>139476;INF109KB1XK2;-;ICICI Prudential Fixed Maturity Plan - Series 79 - 1130 Days Plan E  Direct Plan Dividend Option;12.5194;01-Aug-2019</v>
      </c>
      <c r="B11837" s="1"/>
    </row>
    <row r="11838">
      <c r="A11838" s="1" t="str">
        <f>IFERROR(__xludf.DUMMYFUNCTION("""COMPUTED_VALUE"""),"139474;INF109KB1XI6;-;ICICI Prudential Fixed Maturity Plan - Series 79 - 1130 Days Plan E  Dividend Option;12.4366;01-Aug-2019")</f>
        <v>139474;INF109KB1XI6;-;ICICI Prudential Fixed Maturity Plan - Series 79 - 1130 Days Plan E  Dividend Option;12.4366;01-Aug-2019</v>
      </c>
      <c r="B11838" s="1"/>
    </row>
    <row r="11839">
      <c r="A11839" s="1" t="str">
        <f>IFERROR(__xludf.DUMMYFUNCTION("""COMPUTED_VALUE"""),"139451;INF109KB1XD7;-;ICICI Prudential Fixed Maturity Plan - Series 79 - 1140 Days Plan D  Cumulative Option;12.6618;13-Aug-2019")</f>
        <v>139451;INF109KB1XD7;-;ICICI Prudential Fixed Maturity Plan - Series 79 - 1140 Days Plan D  Cumulative Option;12.6618;13-Aug-2019</v>
      </c>
      <c r="B11839" s="1"/>
    </row>
    <row r="11840">
      <c r="A11840" s="1" t="str">
        <f>IFERROR(__xludf.DUMMYFUNCTION("""COMPUTED_VALUE"""),"139453;INF109KB1XF2;-;ICICI Prudential Fixed Maturity Plan - Series 79 - 1140 Days Plan D  Direct Plan Cumulative Option;12.8180;13-Aug-2019")</f>
        <v>139453;INF109KB1XF2;-;ICICI Prudential Fixed Maturity Plan - Series 79 - 1140 Days Plan D  Direct Plan Cumulative Option;12.8180;13-Aug-2019</v>
      </c>
      <c r="B11840" s="1"/>
    </row>
    <row r="11841">
      <c r="A11841" s="1" t="str">
        <f>IFERROR(__xludf.DUMMYFUNCTION("""COMPUTED_VALUE"""),"139452;INF109KB1XG0;-;ICICI Prudential Fixed Maturity Plan - Series 79 - 1140 Days Plan D  Direct Plan Dividend Option;12.8180;13-Aug-2019")</f>
        <v>139452;INF109KB1XG0;-;ICICI Prudential Fixed Maturity Plan - Series 79 - 1140 Days Plan D  Direct Plan Dividend Option;12.8180;13-Aug-2019</v>
      </c>
      <c r="B11841" s="1"/>
    </row>
    <row r="11842">
      <c r="A11842" s="1" t="str">
        <f>IFERROR(__xludf.DUMMYFUNCTION("""COMPUTED_VALUE"""),"139454;INF109KB1XE5;-;ICICI Prudential Fixed Maturity Plan - Series 79 - 1140 Days Plan D  Dividend Option;12.6618;13-Aug-2019")</f>
        <v>139454;INF109KB1XE5;-;ICICI Prudential Fixed Maturity Plan - Series 79 - 1140 Days Plan D  Dividend Option;12.6618;13-Aug-2019</v>
      </c>
      <c r="B11842" s="1"/>
    </row>
    <row r="11843">
      <c r="A11843" s="1" t="str">
        <f>IFERROR(__xludf.DUMMYFUNCTION("""COMPUTED_VALUE"""),"139295;INF109KB1UZ6;-;ICICI Prudential Fixed Maturity Plan - Series 79 - 1218 Days Plan A Cumulative Option;13.1139;04-Sep-2019")</f>
        <v>139295;INF109KB1UZ6;-;ICICI Prudential Fixed Maturity Plan - Series 79 - 1218 Days Plan A Cumulative Option;13.1139;04-Sep-2019</v>
      </c>
      <c r="B11843" s="1"/>
    </row>
    <row r="11844">
      <c r="A11844" s="1" t="str">
        <f>IFERROR(__xludf.DUMMYFUNCTION("""COMPUTED_VALUE"""),"139297;INF109KB1VB5;-;ICICI Prudential Fixed Maturity Plan - Series 79 - 1218 Days Plan A Direct Plan Cumulative Option;13.3003;04-Sep-2019")</f>
        <v>139297;INF109KB1VB5;-;ICICI Prudential Fixed Maturity Plan - Series 79 - 1218 Days Plan A Direct Plan Cumulative Option;13.3003;04-Sep-2019</v>
      </c>
      <c r="B11844" s="1"/>
    </row>
    <row r="11845">
      <c r="A11845" s="1" t="str">
        <f>IFERROR(__xludf.DUMMYFUNCTION("""COMPUTED_VALUE"""),"139298;INF109KB1VC3;-;ICICI Prudential Fixed Maturity Plan - Series 79 - 1218 Days Plan A Direct Plan Dividend Option;13.3003;04-Sep-2019")</f>
        <v>139298;INF109KB1VC3;-;ICICI Prudential Fixed Maturity Plan - Series 79 - 1218 Days Plan A Direct Plan Dividend Option;13.3003;04-Sep-2019</v>
      </c>
      <c r="B11845" s="1"/>
    </row>
    <row r="11846">
      <c r="A11846" s="1" t="str">
        <f>IFERROR(__xludf.DUMMYFUNCTION("""COMPUTED_VALUE"""),"139296;INF109KB1VA7;-;ICICI Prudential Fixed Maturity Plan - Series 79 - 1218 Days Plan A Dividend Option;13.1139;04-Sep-2019")</f>
        <v>139296;INF109KB1VA7;-;ICICI Prudential Fixed Maturity Plan - Series 79 - 1218 Days Plan A Dividend Option;13.1139;04-Sep-2019</v>
      </c>
      <c r="B11846" s="1"/>
    </row>
    <row r="11847">
      <c r="A11847" s="1" t="str">
        <f>IFERROR(__xludf.DUMMYFUNCTION("""COMPUTED_VALUE"""),"139943;INF109KB1C62;-;ICICI Prudential Fixed Maturity Plan - Series 79 - 1404 Days Plan T Cumulative Option;13.0267;27-Jul-2020")</f>
        <v>139943;INF109KB1C62;-;ICICI Prudential Fixed Maturity Plan - Series 79 - 1404 Days Plan T Cumulative Option;13.0267;27-Jul-2020</v>
      </c>
      <c r="B11847" s="1"/>
    </row>
    <row r="11848">
      <c r="A11848" s="1" t="str">
        <f>IFERROR(__xludf.DUMMYFUNCTION("""COMPUTED_VALUE"""),"139941;INF109KB1C88;-;ICICI Prudential Fixed Maturity Plan - Series 79 - 1404 Days Plan T Direct Plan Cumulative Option;13.1043;27-Jul-2020")</f>
        <v>139941;INF109KB1C88;-;ICICI Prudential Fixed Maturity Plan - Series 79 - 1404 Days Plan T Direct Plan Cumulative Option;13.1043;27-Jul-2020</v>
      </c>
      <c r="B11848" s="1"/>
    </row>
    <row r="11849">
      <c r="A11849" s="1" t="str">
        <f>IFERROR(__xludf.DUMMYFUNCTION("""COMPUTED_VALUE"""),"139944;INF109KB1C70;-;ICICI Prudential Fixed Maturity Plan - Series 79 - 1404 Days Plan T Dividend Option;13.0267;27-Jul-2020")</f>
        <v>139944;INF109KB1C70;-;ICICI Prudential Fixed Maturity Plan - Series 79 - 1404 Days Plan T Dividend Option;13.0267;27-Jul-2020</v>
      </c>
      <c r="B11849" s="1"/>
    </row>
    <row r="11850">
      <c r="A11850" s="1" t="str">
        <f>IFERROR(__xludf.DUMMYFUNCTION("""COMPUTED_VALUE"""),"140019;INF109KB1H42;-;ICICI Prudential Fixed Maturity Plan - Series 80 - 1100 Days Plan A Cumulative Option;12.5893;25-Oct-2019")</f>
        <v>140019;INF109KB1H42;-;ICICI Prudential Fixed Maturity Plan - Series 80 - 1100 Days Plan A Cumulative Option;12.5893;25-Oct-2019</v>
      </c>
      <c r="B11850" s="1"/>
    </row>
    <row r="11851">
      <c r="A11851" s="1" t="str">
        <f>IFERROR(__xludf.DUMMYFUNCTION("""COMPUTED_VALUE"""),"140022;INF109KB1H67;-;ICICI Prudential Fixed Maturity Plan - Series 80 - 1100 Days Plan A Direct Plan Cumulative Option;12.7173;25-Oct-2019")</f>
        <v>140022;INF109KB1H67;-;ICICI Prudential Fixed Maturity Plan - Series 80 - 1100 Days Plan A Direct Plan Cumulative Option;12.7173;25-Oct-2019</v>
      </c>
      <c r="B11851" s="1"/>
    </row>
    <row r="11852">
      <c r="A11852" s="1" t="str">
        <f>IFERROR(__xludf.DUMMYFUNCTION("""COMPUTED_VALUE"""),"140020;INF109KB1H75;-;ICICI Prudential Fixed Maturity Plan - Series 80 - 1100 Days Plan A Direct Plan Dividend Option;12.7173;25-Oct-2019")</f>
        <v>140020;INF109KB1H75;-;ICICI Prudential Fixed Maturity Plan - Series 80 - 1100 Days Plan A Direct Plan Dividend Option;12.7173;25-Oct-2019</v>
      </c>
      <c r="B11852" s="1"/>
    </row>
    <row r="11853">
      <c r="A11853" s="1" t="str">
        <f>IFERROR(__xludf.DUMMYFUNCTION("""COMPUTED_VALUE"""),"140021;INF109KB1H59;-;ICICI Prudential Fixed Maturity Plan - Series 80 - 1100 Days Plan A Dividend Option;12.5893;25-Oct-2019")</f>
        <v>140021;INF109KB1H59;-;ICICI Prudential Fixed Maturity Plan - Series 80 - 1100 Days Plan A Dividend Option;12.5893;25-Oct-2019</v>
      </c>
      <c r="B11853" s="1"/>
    </row>
    <row r="11854">
      <c r="A11854" s="1" t="str">
        <f>IFERROR(__xludf.DUMMYFUNCTION("""COMPUTED_VALUE"""),"141089;INF109KB1Y09;-;ICICI Prudential Fixed Maturity Plan - Series 80 - 1125 Days Plan S - Cumulative Option;12.6735;27-Apr-2020")</f>
        <v>141089;INF109KB1Y09;-;ICICI Prudential Fixed Maturity Plan - Series 80 - 1125 Days Plan S - Cumulative Option;12.6735;27-Apr-2020</v>
      </c>
      <c r="B11854" s="1"/>
    </row>
    <row r="11855">
      <c r="A11855" s="1" t="str">
        <f>IFERROR(__xludf.DUMMYFUNCTION("""COMPUTED_VALUE"""),"141090;INF109KB1Y25;-;ICICI Prudential Fixed Maturity Plan - Series 80 - 1125 Days Plan S - Direct Plan - Cumulative Option;12.7790;27-Apr-2020")</f>
        <v>141090;INF109KB1Y25;-;ICICI Prudential Fixed Maturity Plan - Series 80 - 1125 Days Plan S - Direct Plan - Cumulative Option;12.7790;27-Apr-2020</v>
      </c>
      <c r="B11855" s="1"/>
    </row>
    <row r="11856">
      <c r="A11856" s="1" t="str">
        <f>IFERROR(__xludf.DUMMYFUNCTION("""COMPUTED_VALUE"""),"141091;INF109KB1Y33;-;ICICI Prudential Fixed Maturity Plan - Series 80 - 1125 Days Plan S - Direct Plan - Dividend Option;12.7790;27-Apr-2020")</f>
        <v>141091;INF109KB1Y33;-;ICICI Prudential Fixed Maturity Plan - Series 80 - 1125 Days Plan S - Direct Plan - Dividend Option;12.7790;27-Apr-2020</v>
      </c>
      <c r="B11856" s="1"/>
    </row>
    <row r="11857">
      <c r="A11857" s="1" t="str">
        <f>IFERROR(__xludf.DUMMYFUNCTION("""COMPUTED_VALUE"""),"141092;INF109KB1Y17;-;ICICI Prudential Fixed Maturity Plan - Series 80 - 1125 Days Plan S - Dividend Option;12.6735;27-Apr-2020")</f>
        <v>141092;INF109KB1Y17;-;ICICI Prudential Fixed Maturity Plan - Series 80 - 1125 Days Plan S - Dividend Option;12.6735;27-Apr-2020</v>
      </c>
      <c r="B11857" s="1"/>
    </row>
    <row r="11858">
      <c r="A11858" s="1" t="str">
        <f>IFERROR(__xludf.DUMMYFUNCTION("""COMPUTED_VALUE"""),"140955;INF109KB1V85;-;ICICI Prudential Fixed Maturity Plan - Series 80 - 1138 Days Plan R - Cumulative Option;12.6803;11-May-2020")</f>
        <v>140955;INF109KB1V85;-;ICICI Prudential Fixed Maturity Plan - Series 80 - 1138 Days Plan R - Cumulative Option;12.6803;11-May-2020</v>
      </c>
      <c r="B11858" s="1"/>
    </row>
    <row r="11859">
      <c r="A11859" s="1" t="str">
        <f>IFERROR(__xludf.DUMMYFUNCTION("""COMPUTED_VALUE"""),"140957;INF109KB1W01;-;ICICI Prudential Fixed Maturity Plan - Series 80 - 1138 Days Plan R - Direct Plan - Cumulative Option;12.8313;11-May-2020")</f>
        <v>140957;INF109KB1W01;-;ICICI Prudential Fixed Maturity Plan - Series 80 - 1138 Days Plan R - Direct Plan - Cumulative Option;12.8313;11-May-2020</v>
      </c>
      <c r="B11859" s="1"/>
    </row>
    <row r="11860">
      <c r="A11860" s="1" t="str">
        <f>IFERROR(__xludf.DUMMYFUNCTION("""COMPUTED_VALUE"""),"140956;INF109KB1W19;-;ICICI Prudential Fixed Maturity Plan - Series 80 - 1138 Days Plan R - Direct Plan - Dividend Option;12.8313;11-May-2020")</f>
        <v>140956;INF109KB1W19;-;ICICI Prudential Fixed Maturity Plan - Series 80 - 1138 Days Plan R - Direct Plan - Dividend Option;12.8313;11-May-2020</v>
      </c>
      <c r="B11860" s="1"/>
    </row>
    <row r="11861">
      <c r="A11861" s="1" t="str">
        <f>IFERROR(__xludf.DUMMYFUNCTION("""COMPUTED_VALUE"""),"140954;INF109KB1V93;-;ICICI Prudential Fixed Maturity Plan - Series 80 - 1138 Days Plan R - Dividend Option;12.6803;11-May-2020")</f>
        <v>140954;INF109KB1V93;-;ICICI Prudential Fixed Maturity Plan - Series 80 - 1138 Days Plan R - Dividend Option;12.6803;11-May-2020</v>
      </c>
      <c r="B11861" s="1"/>
    </row>
    <row r="11862">
      <c r="A11862" s="1" t="str">
        <f>IFERROR(__xludf.DUMMYFUNCTION("""COMPUTED_VALUE"""),"140776;INF109KB1T89;-;ICICI Prudential Fixed Maturity Plan - Series 80 - 1150 Days Plan N - Cumulative Option;12.7361;08-May-2020")</f>
        <v>140776;INF109KB1T89;-;ICICI Prudential Fixed Maturity Plan - Series 80 - 1150 Days Plan N - Cumulative Option;12.7361;08-May-2020</v>
      </c>
      <c r="B11862" s="1"/>
    </row>
    <row r="11863">
      <c r="A11863" s="1" t="str">
        <f>IFERROR(__xludf.DUMMYFUNCTION("""COMPUTED_VALUE"""),"140774;INF109KB1U11;-;ICICI Prudential Fixed Maturity Plan - Series 80 - 1150 Days Plan N - Direct Plan - Dividend Option;12.8746;08-May-2020")</f>
        <v>140774;INF109KB1U11;-;ICICI Prudential Fixed Maturity Plan - Series 80 - 1150 Days Plan N - Direct Plan - Dividend Option;12.8746;08-May-2020</v>
      </c>
      <c r="B11863" s="1"/>
    </row>
    <row r="11864">
      <c r="A11864" s="1" t="str">
        <f>IFERROR(__xludf.DUMMYFUNCTION("""COMPUTED_VALUE"""),"140775;INF109KB1T97;-;ICICI Prudential Fixed Maturity Plan - Series 80 - 1150 Days Plan N - Dividend Option;12.7361;08-May-2020")</f>
        <v>140775;INF109KB1T97;-;ICICI Prudential Fixed Maturity Plan - Series 80 - 1150 Days Plan N - Dividend Option;12.7361;08-May-2020</v>
      </c>
      <c r="B11864" s="1"/>
    </row>
    <row r="11865">
      <c r="A11865" s="1" t="str">
        <f>IFERROR(__xludf.DUMMYFUNCTION("""COMPUTED_VALUE"""),"140773;INF109KB1U03;-;ICICI Prudential Fixed Maturity Plan - Series 80 - 1150 Days Plan N -Direct Plan - Cumulative Option;12.8746;08-May-2020")</f>
        <v>140773;INF109KB1U03;-;ICICI Prudential Fixed Maturity Plan - Series 80 - 1150 Days Plan N -Direct Plan - Cumulative Option;12.8746;08-May-2020</v>
      </c>
      <c r="B11865" s="1"/>
    </row>
    <row r="11866">
      <c r="A11866" s="1" t="str">
        <f>IFERROR(__xludf.DUMMYFUNCTION("""COMPUTED_VALUE"""),"140621;INF109KB1P83;-;ICICI Prudential Fixed Maturity Plan - Series 80 - 1170 Days Plan I - Cumulative Option;12.7888;12-May-2020")</f>
        <v>140621;INF109KB1P83;-;ICICI Prudential Fixed Maturity Plan - Series 80 - 1170 Days Plan I - Cumulative Option;12.7888;12-May-2020</v>
      </c>
      <c r="B11866" s="1"/>
    </row>
    <row r="11867">
      <c r="A11867" s="1" t="str">
        <f>IFERROR(__xludf.DUMMYFUNCTION("""COMPUTED_VALUE"""),"140623;INF109KB1Q09;-;ICICI Prudential Fixed Maturity Plan - Series 80 - 1170 Days Plan I - Direct Plan - Cumulative Option;12.9292;12-May-2020")</f>
        <v>140623;INF109KB1Q09;-;ICICI Prudential Fixed Maturity Plan - Series 80 - 1170 Days Plan I - Direct Plan - Cumulative Option;12.9292;12-May-2020</v>
      </c>
      <c r="B11867" s="1"/>
    </row>
    <row r="11868">
      <c r="A11868" s="1" t="str">
        <f>IFERROR(__xludf.DUMMYFUNCTION("""COMPUTED_VALUE"""),"140624;INF109KB1Q17;-;ICICI Prudential Fixed Maturity Plan - Series 80 - 1170 Days Plan I - Direct Plan - Dividend Option;12.9292;12-May-2020")</f>
        <v>140624;INF109KB1Q17;-;ICICI Prudential Fixed Maturity Plan - Series 80 - 1170 Days Plan I - Direct Plan - Dividend Option;12.9292;12-May-2020</v>
      </c>
      <c r="B11868" s="1"/>
    </row>
    <row r="11869">
      <c r="A11869" s="1" t="str">
        <f>IFERROR(__xludf.DUMMYFUNCTION("""COMPUTED_VALUE"""),"140622;INF109KB1P91;-;ICICI Prudential Fixed Maturity Plan - Series 80 - 1170 Days Plan I - Dividend Option;12.7888;12-May-2020")</f>
        <v>140622;INF109KB1P91;-;ICICI Prudential Fixed Maturity Plan - Series 80 - 1170 Days Plan I - Dividend Option;12.7888;12-May-2020</v>
      </c>
      <c r="B11869" s="1"/>
    </row>
    <row r="11870">
      <c r="A11870" s="1" t="str">
        <f>IFERROR(__xludf.DUMMYFUNCTION("""COMPUTED_VALUE"""),"141097;INF109KB10A8;-;ICICI Prudential Fixed Maturity Plan - Series 80 - 1216 Days Plan U - Cumulative Option;12.5696;27-Jul-2020")</f>
        <v>141097;INF109KB10A8;-;ICICI Prudential Fixed Maturity Plan - Series 80 - 1216 Days Plan U - Cumulative Option;12.5696;27-Jul-2020</v>
      </c>
      <c r="B11870" s="1"/>
    </row>
    <row r="11871">
      <c r="A11871" s="1" t="str">
        <f>IFERROR(__xludf.DUMMYFUNCTION("""COMPUTED_VALUE"""),"141098;INF109KB12A4;-;ICICI Prudential Fixed Maturity Plan - Series 80 - 1216 Days Plan U - Direct Plan - Cumulative Option;12.6082;27-Jul-2020")</f>
        <v>141098;INF109KB12A4;-;ICICI Prudential Fixed Maturity Plan - Series 80 - 1216 Days Plan U - Direct Plan - Cumulative Option;12.6082;27-Jul-2020</v>
      </c>
      <c r="B11871" s="1"/>
    </row>
    <row r="11872">
      <c r="A11872" s="1" t="str">
        <f>IFERROR(__xludf.DUMMYFUNCTION("""COMPUTED_VALUE"""),"141100;INF109KB13A2;-;ICICI Prudential Fixed Maturity Plan - Series 80 - 1216 Days Plan U - Direct Plan - Dividend Option;12.6082;27-Jul-2020")</f>
        <v>141100;INF109KB13A2;-;ICICI Prudential Fixed Maturity Plan - Series 80 - 1216 Days Plan U - Direct Plan - Dividend Option;12.6082;27-Jul-2020</v>
      </c>
      <c r="B11872" s="1"/>
    </row>
    <row r="11873">
      <c r="A11873" s="1" t="str">
        <f>IFERROR(__xludf.DUMMYFUNCTION("""COMPUTED_VALUE"""),"141099;INF109KB11A6;-;ICICI Prudential Fixed Maturity Plan - Series 80 - 1216 Days Plan U - Dividend Option;12.5696;27-Jul-2020")</f>
        <v>141099;INF109KB11A6;-;ICICI Prudential Fixed Maturity Plan - Series 80 - 1216 Days Plan U - Dividend Option;12.5696;27-Jul-2020</v>
      </c>
      <c r="B11873" s="1"/>
    </row>
    <row r="11874">
      <c r="A11874" s="1" t="str">
        <f>IFERROR(__xludf.DUMMYFUNCTION("""COMPUTED_VALUE"""),"141163;INF109KB1Z65;-;ICICI Prudential Fixed Maturity Plan - Series 80 - 1225 Days Plan T - Cumulative Option;12.6245;04-Aug-2020")</f>
        <v>141163;INF109KB1Z65;-;ICICI Prudential Fixed Maturity Plan - Series 80 - 1225 Days Plan T - Cumulative Option;12.6245;04-Aug-2020</v>
      </c>
      <c r="B11874" s="1"/>
    </row>
    <row r="11875">
      <c r="A11875" s="1" t="str">
        <f>IFERROR(__xludf.DUMMYFUNCTION("""COMPUTED_VALUE"""),"141166;INF109KB1Z81;-;ICICI Prudential Fixed Maturity Plan - Series 80 - 1225 Days Plan T - Direct Plan - Cumulative Option;12.6647;04-Aug-2020")</f>
        <v>141166;INF109KB1Z81;-;ICICI Prudential Fixed Maturity Plan - Series 80 - 1225 Days Plan T - Direct Plan - Cumulative Option;12.6647;04-Aug-2020</v>
      </c>
      <c r="B11875" s="1"/>
    </row>
    <row r="11876">
      <c r="A11876" s="1" t="str">
        <f>IFERROR(__xludf.DUMMYFUNCTION("""COMPUTED_VALUE"""),"141164;INF109KB1Z99;-;ICICI Prudential Fixed Maturity Plan - Series 80 - 1225 Days Plan T - Direct Plan - Dividend Option;12.6647;04-Aug-2020")</f>
        <v>141164;INF109KB1Z99;-;ICICI Prudential Fixed Maturity Plan - Series 80 - 1225 Days Plan T - Direct Plan - Dividend Option;12.6647;04-Aug-2020</v>
      </c>
      <c r="B11876" s="1"/>
    </row>
    <row r="11877">
      <c r="A11877" s="1" t="str">
        <f>IFERROR(__xludf.DUMMYFUNCTION("""COMPUTED_VALUE"""),"141165;INF109KB1Z73;-;ICICI Prudential Fixed Maturity Plan - Series 80 - 1225 Days Plan T - Dividend Option;12.6245;04-Aug-2020")</f>
        <v>141165;INF109KB1Z73;-;ICICI Prudential Fixed Maturity Plan - Series 80 - 1225 Days Plan T - Dividend Option;12.6245;04-Aug-2020</v>
      </c>
      <c r="B11877" s="1"/>
    </row>
    <row r="11878">
      <c r="A11878" s="1" t="str">
        <f>IFERROR(__xludf.DUMMYFUNCTION("""COMPUTED_VALUE"""),"140942;INF109KB1W68;-;ICICI Prudential Fixed Maturity Plan - Series 80 - 1227 Days Plan Q - Cumulative Option;12.6478;29-Jul-2020")</f>
        <v>140942;INF109KB1W68;-;ICICI Prudential Fixed Maturity Plan - Series 80 - 1227 Days Plan Q - Cumulative Option;12.6478;29-Jul-2020</v>
      </c>
      <c r="B11878" s="1"/>
    </row>
    <row r="11879">
      <c r="A11879" s="1" t="str">
        <f>IFERROR(__xludf.DUMMYFUNCTION("""COMPUTED_VALUE"""),"140944;INF109KB1W84;-;ICICI Prudential Fixed Maturity Plan - Series 80 - 1227 Days Plan Q - Direct Plan Cumulative Option;12.6894;29-Jul-2020")</f>
        <v>140944;INF109KB1W84;-;ICICI Prudential Fixed Maturity Plan - Series 80 - 1227 Days Plan Q - Direct Plan Cumulative Option;12.6894;29-Jul-2020</v>
      </c>
      <c r="B11879" s="1"/>
    </row>
    <row r="11880">
      <c r="A11880" s="1" t="str">
        <f>IFERROR(__xludf.DUMMYFUNCTION("""COMPUTED_VALUE"""),"140945;INF109KB1W92;-;ICICI Prudential Fixed Maturity Plan - Series 80 - 1227 Days Plan Q - Direct Plan Dividend Option;12.6894;29-Jul-2020")</f>
        <v>140945;INF109KB1W92;-;ICICI Prudential Fixed Maturity Plan - Series 80 - 1227 Days Plan Q - Direct Plan Dividend Option;12.6894;29-Jul-2020</v>
      </c>
      <c r="B11880" s="1"/>
    </row>
    <row r="11881">
      <c r="A11881" s="1" t="str">
        <f>IFERROR(__xludf.DUMMYFUNCTION("""COMPUTED_VALUE"""),"140932;INF109KB1V44;-;ICICI Prudential Fixed Maturity Plan - Series 80 - 1231 Days Plan P - Cumulative Option;12.6644;29-Jul-2020")</f>
        <v>140932;INF109KB1V44;-;ICICI Prudential Fixed Maturity Plan - Series 80 - 1231 Days Plan P - Cumulative Option;12.6644;29-Jul-2020</v>
      </c>
      <c r="B11881" s="1"/>
    </row>
    <row r="11882">
      <c r="A11882" s="1" t="str">
        <f>IFERROR(__xludf.DUMMYFUNCTION("""COMPUTED_VALUE"""),"140934;INF109KB1V69;-;ICICI Prudential Fixed Maturity Plan - Series 80 - 1231 Days Plan P - Direct Plan - Cumulative Option;12.7072;29-Jul-2020")</f>
        <v>140934;INF109KB1V69;-;ICICI Prudential Fixed Maturity Plan - Series 80 - 1231 Days Plan P - Direct Plan - Cumulative Option;12.7072;29-Jul-2020</v>
      </c>
      <c r="B11882" s="1"/>
    </row>
    <row r="11883">
      <c r="A11883" s="1" t="str">
        <f>IFERROR(__xludf.DUMMYFUNCTION("""COMPUTED_VALUE"""),"140935;INF109KB1V77;-;ICICI Prudential Fixed Maturity Plan - Series 80 - 1231 Days Plan P - Direct Plan - Dividend Option;12.7072;29-Jul-2020")</f>
        <v>140935;INF109KB1V77;-;ICICI Prudential Fixed Maturity Plan - Series 80 - 1231 Days Plan P - Direct Plan - Dividend Option;12.7072;29-Jul-2020</v>
      </c>
      <c r="B11883" s="1"/>
    </row>
    <row r="11884">
      <c r="A11884" s="1" t="str">
        <f>IFERROR(__xludf.DUMMYFUNCTION("""COMPUTED_VALUE"""),"140931;INF109KB1V02;-;ICICI Prudential Fixed Maturity Plan - Series 80 - 1233 Days Plan O - Cumulative Option;12.6459;29-Jul-2020")</f>
        <v>140931;INF109KB1V02;-;ICICI Prudential Fixed Maturity Plan - Series 80 - 1233 Days Plan O - Cumulative Option;12.6459;29-Jul-2020</v>
      </c>
      <c r="B11884" s="1"/>
    </row>
    <row r="11885">
      <c r="A11885" s="1" t="str">
        <f>IFERROR(__xludf.DUMMYFUNCTION("""COMPUTED_VALUE"""),"140928;INF109KB1V28;-;ICICI Prudential Fixed Maturity Plan - Series 80 - 1233 Days Plan O - Direct Plan - Cumulative Option;12.6668;29-Jul-2020")</f>
        <v>140928;INF109KB1V28;-;ICICI Prudential Fixed Maturity Plan - Series 80 - 1233 Days Plan O - Direct Plan - Cumulative Option;12.6668;29-Jul-2020</v>
      </c>
      <c r="B11885" s="1"/>
    </row>
    <row r="11886">
      <c r="A11886" s="1" t="str">
        <f>IFERROR(__xludf.DUMMYFUNCTION("""COMPUTED_VALUE"""),"140929;INF109KB1V36;-;ICICI Prudential Fixed Maturity Plan - Series 80 - 1233 Days Plan O - Direct Plan - Dividend Option;12.6668;29-Jul-2020")</f>
        <v>140929;INF109KB1V36;-;ICICI Prudential Fixed Maturity Plan - Series 80 - 1233 Days Plan O - Direct Plan - Dividend Option;12.6668;29-Jul-2020</v>
      </c>
      <c r="B11886" s="1"/>
    </row>
    <row r="11887">
      <c r="A11887" s="1" t="str">
        <f>IFERROR(__xludf.DUMMYFUNCTION("""COMPUTED_VALUE"""),"140777;INF109KB1T06;-;ICICI Prudential Fixed Maturity Plan - Series 80 - 1245 Days Plan L - Cumulative Option;12.6462;05-Aug-2020")</f>
        <v>140777;INF109KB1T06;-;ICICI Prudential Fixed Maturity Plan - Series 80 - 1245 Days Plan L - Cumulative Option;12.6462;05-Aug-2020</v>
      </c>
      <c r="B11887" s="1"/>
    </row>
    <row r="11888">
      <c r="A11888" s="1" t="str">
        <f>IFERROR(__xludf.DUMMYFUNCTION("""COMPUTED_VALUE"""),"140778;INF109KB1T22;-;ICICI Prudential Fixed Maturity Plan - Series 80 - 1245 Days Plan L - Direct Plan - Cumulative Option;12.6696;05-Aug-2020")</f>
        <v>140778;INF109KB1T22;-;ICICI Prudential Fixed Maturity Plan - Series 80 - 1245 Days Plan L - Direct Plan - Cumulative Option;12.6696;05-Aug-2020</v>
      </c>
      <c r="B11888" s="1"/>
    </row>
    <row r="11889">
      <c r="A11889" s="1" t="str">
        <f>IFERROR(__xludf.DUMMYFUNCTION("""COMPUTED_VALUE"""),"140779;INF109KB1T30;-;ICICI Prudential Fixed Maturity Plan - Series 80 - 1245 Days Plan L - Direct Plan - Dividend Option;12.6696;05-Aug-2020")</f>
        <v>140779;INF109KB1T30;-;ICICI Prudential Fixed Maturity Plan - Series 80 - 1245 Days Plan L - Direct Plan - Dividend Option;12.6696;05-Aug-2020</v>
      </c>
      <c r="B11889" s="1"/>
    </row>
    <row r="11890">
      <c r="A11890" s="1" t="str">
        <f>IFERROR(__xludf.DUMMYFUNCTION("""COMPUTED_VALUE"""),"140780;INF109KB1T14;-;ICICI Prudential Fixed Maturity Plan - Series 80 - 1245 Days Plan L - Dividend Option;12.6462;05-Aug-2020")</f>
        <v>140780;INF109KB1T14;-;ICICI Prudential Fixed Maturity Plan - Series 80 - 1245 Days Plan L - Dividend Option;12.6462;05-Aug-2020</v>
      </c>
      <c r="B11890" s="1"/>
    </row>
    <row r="11891">
      <c r="A11891" s="1" t="str">
        <f>IFERROR(__xludf.DUMMYFUNCTION("""COMPUTED_VALUE"""),"140111;INF109KB1K05;-;ICICI Prudential Fixed Maturity Plan - Series 80 - 1248 Days Plan D - Cumulative Option;12.8732;22-Apr-2020")</f>
        <v>140111;INF109KB1K05;-;ICICI Prudential Fixed Maturity Plan - Series 80 - 1248 Days Plan D - Cumulative Option;12.8732;22-Apr-2020</v>
      </c>
      <c r="B11891" s="1"/>
    </row>
    <row r="11892">
      <c r="A11892" s="1" t="str">
        <f>IFERROR(__xludf.DUMMYFUNCTION("""COMPUTED_VALUE"""),"140109;INF109KB1K21;-;ICICI Prudential Fixed Maturity Plan - Series 80 - 1248 Days Plan D - Direct Plan - Cumulative Option;12.9699;22-Apr-2020")</f>
        <v>140109;INF109KB1K21;-;ICICI Prudential Fixed Maturity Plan - Series 80 - 1248 Days Plan D - Direct Plan - Cumulative Option;12.9699;22-Apr-2020</v>
      </c>
      <c r="B11892" s="1"/>
    </row>
    <row r="11893">
      <c r="A11893" s="1" t="str">
        <f>IFERROR(__xludf.DUMMYFUNCTION("""COMPUTED_VALUE"""),"140108;INF109KB1K13;-;ICICI Prudential Fixed Maturity Plan - Series 80 - 1248 Days Plan D - Dividend Option;12.8732;22-Apr-2020")</f>
        <v>140108;INF109KB1K13;-;ICICI Prudential Fixed Maturity Plan - Series 80 - 1248 Days Plan D - Dividend Option;12.8732;22-Apr-2020</v>
      </c>
      <c r="B11893" s="1"/>
    </row>
    <row r="11894">
      <c r="A11894" s="1" t="str">
        <f>IFERROR(__xludf.DUMMYFUNCTION("""COMPUTED_VALUE"""),"140661;INF109KB1R40;-;ICICI Prudential Fixed Maturity Plan - Series 80 - 1253 Days Plan J - Cumulative Option;12.6365;29-Jul-2020")</f>
        <v>140661;INF109KB1R40;-;ICICI Prudential Fixed Maturity Plan - Series 80 - 1253 Days Plan J - Cumulative Option;12.6365;29-Jul-2020</v>
      </c>
      <c r="B11894" s="1"/>
    </row>
    <row r="11895">
      <c r="A11895" s="1" t="str">
        <f>IFERROR(__xludf.DUMMYFUNCTION("""COMPUTED_VALUE"""),"140663;INF109KB1R65;-;ICICI Prudential Fixed Maturity Plan - Series 80 - 1253 Days Plan J - Direct Plan - Cumulative Option;12.6428;29-Jul-2020")</f>
        <v>140663;INF109KB1R65;-;ICICI Prudential Fixed Maturity Plan - Series 80 - 1253 Days Plan J - Direct Plan - Cumulative Option;12.6428;29-Jul-2020</v>
      </c>
      <c r="B11895" s="1"/>
    </row>
    <row r="11896">
      <c r="A11896" s="1" t="str">
        <f>IFERROR(__xludf.DUMMYFUNCTION("""COMPUTED_VALUE"""),"140662;INF109KB1R57;-;ICICI Prudential Fixed Maturity Plan - Series 80 - 1253 Days Plan J - Dividend Option;12.6365;29-Jul-2020")</f>
        <v>140662;INF109KB1R57;-;ICICI Prudential Fixed Maturity Plan - Series 80 - 1253 Days Plan J - Dividend Option;12.6365;29-Jul-2020</v>
      </c>
      <c r="B11896" s="1"/>
    </row>
    <row r="11897">
      <c r="A11897" s="1" t="str">
        <f>IFERROR(__xludf.DUMMYFUNCTION("""COMPUTED_VALUE"""),"141599;INF109KB14S2;-;ICICI Prudential Fixed Maturity Plan - Series 81 - 1100 Days Plan O - Cumulative Option;12.3863;17-Jul-2020")</f>
        <v>141599;INF109KB14S2;-;ICICI Prudential Fixed Maturity Plan - Series 81 - 1100 Days Plan O - Cumulative Option;12.3863;17-Jul-2020</v>
      </c>
      <c r="B11897" s="1"/>
    </row>
    <row r="11898">
      <c r="A11898" s="1" t="str">
        <f>IFERROR(__xludf.DUMMYFUNCTION("""COMPUTED_VALUE"""),"141597;INF109KB12S6;-;ICICI Prudential Fixed Maturity Plan - Series 81 - 1100 Days Plan O - Direct Plan - Cumulative Option;12.5117;17-Jul-2020")</f>
        <v>141597;INF109KB12S6;-;ICICI Prudential Fixed Maturity Plan - Series 81 - 1100 Days Plan O - Direct Plan - Cumulative Option;12.5117;17-Jul-2020</v>
      </c>
      <c r="B11898" s="1"/>
    </row>
    <row r="11899">
      <c r="A11899" s="1" t="str">
        <f>IFERROR(__xludf.DUMMYFUNCTION("""COMPUTED_VALUE"""),"141600;INF109KB13S4;-;ICICI Prudential Fixed Maturity Plan - Series 81 - 1100 Days Plan O - Direct Plan - Dividend Option;12.5117;17-Jul-2020")</f>
        <v>141600;INF109KB13S4;-;ICICI Prudential Fixed Maturity Plan - Series 81 - 1100 Days Plan O - Direct Plan - Dividend Option;12.5117;17-Jul-2020</v>
      </c>
      <c r="B11899" s="1"/>
    </row>
    <row r="11900">
      <c r="A11900" s="1" t="str">
        <f>IFERROR(__xludf.DUMMYFUNCTION("""COMPUTED_VALUE"""),"141598;INF109KB15S9;-;ICICI Prudential Fixed Maturity Plan - Series 81 - 1100 Days Plan O - Dividend Option;12.3863;17-Jul-2020")</f>
        <v>141598;INF109KB15S9;-;ICICI Prudential Fixed Maturity Plan - Series 81 - 1100 Days Plan O - Dividend Option;12.3863;17-Jul-2020</v>
      </c>
      <c r="B11900" s="1"/>
    </row>
    <row r="11901">
      <c r="A11901" s="1" t="str">
        <f>IFERROR(__xludf.DUMMYFUNCTION("""COMPUTED_VALUE"""),"141694;INF109KB11U4;-;ICICI Prudential Fixed Maturity Plan - Series 81 - 1100 Days Plan R - Cumulative option;12.4204;19-Aug-2020")</f>
        <v>141694;INF109KB11U4;-;ICICI Prudential Fixed Maturity Plan - Series 81 - 1100 Days Plan R - Cumulative option;12.4204;19-Aug-2020</v>
      </c>
      <c r="B11901" s="1"/>
    </row>
    <row r="11902">
      <c r="A11902" s="1" t="str">
        <f>IFERROR(__xludf.DUMMYFUNCTION("""COMPUTED_VALUE"""),"141697;INF109KB19T9;-;ICICI Prudential Fixed Maturity Plan - Series 81 - 1100 Days Plan R - Direct Plan - Cumulative option;12.5194;19-Aug-2020")</f>
        <v>141697;INF109KB19T9;-;ICICI Prudential Fixed Maturity Plan - Series 81 - 1100 Days Plan R - Direct Plan - Cumulative option;12.5194;19-Aug-2020</v>
      </c>
      <c r="B11902" s="1"/>
    </row>
    <row r="11903">
      <c r="A11903" s="1" t="str">
        <f>IFERROR(__xludf.DUMMYFUNCTION("""COMPUTED_VALUE"""),"141696;INF109KB10U6;-;ICICI Prudential Fixed Maturity Plan - Series 81 - 1100 Days Plan R - Direct Plan - Dividend option;12.5194;19-Aug-2020")</f>
        <v>141696;INF109KB10U6;-;ICICI Prudential Fixed Maturity Plan - Series 81 - 1100 Days Plan R - Direct Plan - Dividend option;12.5194;19-Aug-2020</v>
      </c>
      <c r="B11903" s="1"/>
    </row>
    <row r="11904">
      <c r="A11904" s="1" t="str">
        <f>IFERROR(__xludf.DUMMYFUNCTION("""COMPUTED_VALUE"""),"141695;INF109KB12U2;-;ICICI Prudential Fixed Maturity Plan - Series 81 - 1100 Days Plan R - Dividend option;12.4204;19-Aug-2020")</f>
        <v>141695;INF109KB12U2;-;ICICI Prudential Fixed Maturity Plan - Series 81 - 1100 Days Plan R - Dividend option;12.4204;19-Aug-2020</v>
      </c>
      <c r="B11904" s="1"/>
    </row>
    <row r="11905">
      <c r="A11905" s="1" t="str">
        <f>IFERROR(__xludf.DUMMYFUNCTION("""COMPUTED_VALUE"""),"141856;INF109KB17X5;-;ICICI Prudential Fixed Maturity Plan - Series 81 - 1100 Days Plan W - Cumulative Option;12.4779;15-Oct-2020")</f>
        <v>141856;INF109KB17X5;-;ICICI Prudential Fixed Maturity Plan - Series 81 - 1100 Days Plan W - Cumulative Option;12.4779;15-Oct-2020</v>
      </c>
      <c r="B11905" s="1"/>
    </row>
    <row r="11906">
      <c r="A11906" s="1" t="str">
        <f>IFERROR(__xludf.DUMMYFUNCTION("""COMPUTED_VALUE"""),"141854;INF109KB19X1;-;ICICI Prudential Fixed Maturity Plan - Series 81 - 1100 Days Plan W - Direct Plan Cumulative Option;12.5101;15-Oct-2020")</f>
        <v>141854;INF109KB19X1;-;ICICI Prudential Fixed Maturity Plan - Series 81 - 1100 Days Plan W - Direct Plan Cumulative Option;12.5101;15-Oct-2020</v>
      </c>
      <c r="B11906" s="1"/>
    </row>
    <row r="11907">
      <c r="A11907" s="1" t="str">
        <f>IFERROR(__xludf.DUMMYFUNCTION("""COMPUTED_VALUE"""),"141855;INF109KB10Y8;-;ICICI Prudential Fixed Maturity Plan - Series 81 - 1100 Days Plan W - Direct Plan Dividend Option;12.5101;15-Oct-2020")</f>
        <v>141855;INF109KB10Y8;-;ICICI Prudential Fixed Maturity Plan - Series 81 - 1100 Days Plan W - Direct Plan Dividend Option;12.5101;15-Oct-2020</v>
      </c>
      <c r="B11907" s="1"/>
    </row>
    <row r="11908">
      <c r="A11908" s="1" t="str">
        <f>IFERROR(__xludf.DUMMYFUNCTION("""COMPUTED_VALUE"""),"141853;INF109KB18X3;-;ICICI Prudential Fixed Maturity Plan - Series 81 - 1100 Days Plan W - Dividend Option;12.4779;15-Oct-2020")</f>
        <v>141853;INF109KB18X3;-;ICICI Prudential Fixed Maturity Plan - Series 81 - 1100 Days Plan W - Dividend Option;12.4779;15-Oct-2020</v>
      </c>
      <c r="B11908" s="1"/>
    </row>
    <row r="11909">
      <c r="A11909" s="1" t="str">
        <f>IFERROR(__xludf.DUMMYFUNCTION("""COMPUTED_VALUE"""),"141264;INF109KB16B3;-;ICICI Prudential Fixed Maturity Plan - Series 81 - 1101 Days Plan C - Cumulative Option;12.4507;04-May-2020")</f>
        <v>141264;INF109KB16B3;-;ICICI Prudential Fixed Maturity Plan - Series 81 - 1101 Days Plan C - Cumulative Option;12.4507;04-May-2020</v>
      </c>
      <c r="B11909" s="1"/>
    </row>
    <row r="11910">
      <c r="A11910" s="1" t="str">
        <f>IFERROR(__xludf.DUMMYFUNCTION("""COMPUTED_VALUE"""),"141262;INF109KB18B9;-;ICICI Prudential Fixed Maturity Plan - Series 81 - 1101 Days Plan C - Direct Plan - Cumulative Option;12.7188;04-May-2020")</f>
        <v>141262;INF109KB18B9;-;ICICI Prudential Fixed Maturity Plan - Series 81 - 1101 Days Plan C - Direct Plan - Cumulative Option;12.7188;04-May-2020</v>
      </c>
      <c r="B11910" s="1"/>
    </row>
    <row r="11911">
      <c r="A11911" s="1" t="str">
        <f>IFERROR(__xludf.DUMMYFUNCTION("""COMPUTED_VALUE"""),"141263;INF109KB19B7;-;ICICI Prudential Fixed Maturity Plan - Series 81 - 1101 Days Plan C - Direct Plan - Dividend Option;12.7188;04-May-2020")</f>
        <v>141263;INF109KB19B7;-;ICICI Prudential Fixed Maturity Plan - Series 81 - 1101 Days Plan C - Direct Plan - Dividend Option;12.7188;04-May-2020</v>
      </c>
      <c r="B11911" s="1"/>
    </row>
    <row r="11912">
      <c r="A11912" s="1" t="str">
        <f>IFERROR(__xludf.DUMMYFUNCTION("""COMPUTED_VALUE"""),"141261;INF109KB17B1;-;ICICI Prudential Fixed Maturity Plan - Series 81 - 1101 Days Plan C - Dividend Option;12.4507;04-May-2020")</f>
        <v>141261;INF109KB17B1;-;ICICI Prudential Fixed Maturity Plan - Series 81 - 1101 Days Plan C - Dividend Option;12.4507;04-May-2020</v>
      </c>
      <c r="B11912" s="1"/>
    </row>
    <row r="11913">
      <c r="A11913" s="1" t="str">
        <f>IFERROR(__xludf.DUMMYFUNCTION("""COMPUTED_VALUE"""),"141332;INF109KB12D8;-;ICICI Prudential Fixed Maturity Plan - Series 81 - 1101 Days Plan E - Cumulative Option;12.4480;18-May-2020")</f>
        <v>141332;INF109KB12D8;-;ICICI Prudential Fixed Maturity Plan - Series 81 - 1101 Days Plan E - Cumulative Option;12.4480;18-May-2020</v>
      </c>
      <c r="B11913" s="1"/>
    </row>
    <row r="11914">
      <c r="A11914" s="1" t="str">
        <f>IFERROR(__xludf.DUMMYFUNCTION("""COMPUTED_VALUE"""),"141329;INF109KB14D4;-;ICICI Prudential Fixed Maturity Plan - Series 81 - 1101 Days Plan E - Direct Plan - Cumulative Option;12.6656;18-May-2020")</f>
        <v>141329;INF109KB14D4;-;ICICI Prudential Fixed Maturity Plan - Series 81 - 1101 Days Plan E - Direct Plan - Cumulative Option;12.6656;18-May-2020</v>
      </c>
      <c r="B11914" s="1"/>
    </row>
    <row r="11915">
      <c r="A11915" s="1" t="str">
        <f>IFERROR(__xludf.DUMMYFUNCTION("""COMPUTED_VALUE"""),"141331;INF109KB15D1;-;ICICI Prudential Fixed Maturity Plan - Series 81 - 1101 Days Plan E - Direct Plan - Dividend Option;12.6656;18-May-2020")</f>
        <v>141331;INF109KB15D1;-;ICICI Prudential Fixed Maturity Plan - Series 81 - 1101 Days Plan E - Direct Plan - Dividend Option;12.6656;18-May-2020</v>
      </c>
      <c r="B11915" s="1"/>
    </row>
    <row r="11916">
      <c r="A11916" s="1" t="str">
        <f>IFERROR(__xludf.DUMMYFUNCTION("""COMPUTED_VALUE"""),"141330;INF109KB13D6;-;ICICI Prudential Fixed Maturity Plan - Series 81 - 1101 Days Plan E - Dividend Option;12.4480;18-May-2020")</f>
        <v>141330;INF109KB13D6;-;ICICI Prudential Fixed Maturity Plan - Series 81 - 1101 Days Plan E - Dividend Option;12.4480;18-May-2020</v>
      </c>
      <c r="B11916" s="1"/>
    </row>
    <row r="11917">
      <c r="A11917" s="1" t="str">
        <f>IFERROR(__xludf.DUMMYFUNCTION("""COMPUTED_VALUE"""),"141371;INF109KB12G1;-;ICICI Prudential Fixed Maturity Plan - Series 81 - 1116 Days Plan I - Cumulative Option;12.4580;01-Jun-2020")</f>
        <v>141371;INF109KB12G1;-;ICICI Prudential Fixed Maturity Plan - Series 81 - 1116 Days Plan I - Cumulative Option;12.4580;01-Jun-2020</v>
      </c>
      <c r="B11917" s="1"/>
    </row>
    <row r="11918">
      <c r="A11918" s="1" t="str">
        <f>IFERROR(__xludf.DUMMYFUNCTION("""COMPUTED_VALUE"""),"141373;INF109KB10G5;-;ICICI Prudential Fixed Maturity Plan - Series 81 - 1116 Days Plan I - Direct Plan - Cumulative Option;12.5296;01-Jun-2020")</f>
        <v>141373;INF109KB10G5;-;ICICI Prudential Fixed Maturity Plan - Series 81 - 1116 Days Plan I - Direct Plan - Cumulative Option;12.5296;01-Jun-2020</v>
      </c>
      <c r="B11918" s="1"/>
    </row>
    <row r="11919">
      <c r="A11919" s="1" t="str">
        <f>IFERROR(__xludf.DUMMYFUNCTION("""COMPUTED_VALUE"""),"141374;INF109KB11G3;-;ICICI Prudential Fixed Maturity Plan - Series 81 - 1116 Days Plan I - Direct Plan - Dividend Option;12.5296;01-Jun-2020")</f>
        <v>141374;INF109KB11G3;-;ICICI Prudential Fixed Maturity Plan - Series 81 - 1116 Days Plan I - Direct Plan - Dividend Option;12.5296;01-Jun-2020</v>
      </c>
      <c r="B11919" s="1"/>
    </row>
    <row r="11920">
      <c r="A11920" s="1" t="str">
        <f>IFERROR(__xludf.DUMMYFUNCTION("""COMPUTED_VALUE"""),"141516;INF109KB18P9;-;ICICI Prudential Fixed Maturity Plan - Series 81 - 1150 Days Plan K - Cumulative Option;12.3154;13-Aug-2020")</f>
        <v>141516;INF109KB18P9;-;ICICI Prudential Fixed Maturity Plan - Series 81 - 1150 Days Plan K - Cumulative Option;12.3154;13-Aug-2020</v>
      </c>
      <c r="B11920" s="1"/>
    </row>
    <row r="11921">
      <c r="A11921" s="1" t="str">
        <f>IFERROR(__xludf.DUMMYFUNCTION("""COMPUTED_VALUE"""),"141514;INF109KB16P3;-;ICICI Prudential Fixed Maturity Plan - Series 81 - 1150 Days Plan K - Direct Plan - Cumulative Option;12.3774;13-Aug-2020")</f>
        <v>141514;INF109KB16P3;-;ICICI Prudential Fixed Maturity Plan - Series 81 - 1150 Days Plan K - Direct Plan - Cumulative Option;12.3774;13-Aug-2020</v>
      </c>
      <c r="B11921" s="1"/>
    </row>
    <row r="11922">
      <c r="A11922" s="1" t="str">
        <f>IFERROR(__xludf.DUMMYFUNCTION("""COMPUTED_VALUE"""),"141517;INF109KB17P1;-;ICICI Prudential Fixed Maturity Plan - Series 81 - 1150 Days Plan K - Direct Plan - Dividend Option;12.3774;13-Aug-2020")</f>
        <v>141517;INF109KB17P1;-;ICICI Prudential Fixed Maturity Plan - Series 81 - 1150 Days Plan K - Direct Plan - Dividend Option;12.3774;13-Aug-2020</v>
      </c>
      <c r="B11922" s="1"/>
    </row>
    <row r="11923">
      <c r="A11923" s="1" t="str">
        <f>IFERROR(__xludf.DUMMYFUNCTION("""COMPUTED_VALUE"""),"141515;INF109KB19P7;-;ICICI Prudential Fixed Maturity Plan - Series 81 - 1150 Days Plan K - Dividend Option;12.3154;13-Aug-2020")</f>
        <v>141515;INF109KB19P7;-;ICICI Prudential Fixed Maturity Plan - Series 81 - 1150 Days Plan K - Dividend Option;12.3154;13-Aug-2020</v>
      </c>
      <c r="B11923" s="1"/>
    </row>
    <row r="11924">
      <c r="A11924" s="1" t="str">
        <f>IFERROR(__xludf.DUMMYFUNCTION("""COMPUTED_VALUE"""),"141472;INF109KB10K7;-;ICICI Prudential Fixed Maturity Plan - Series 81 - 1154 Days Plan J - Direct Plan - Cumulative Option;12.4016;05-Aug-2020")</f>
        <v>141472;INF109KB10K7;-;ICICI Prudential Fixed Maturity Plan - Series 81 - 1154 Days Plan J - Direct Plan - Cumulative Option;12.4016;05-Aug-2020</v>
      </c>
      <c r="B11924" s="1"/>
    </row>
    <row r="11925">
      <c r="A11925" s="1" t="str">
        <f>IFERROR(__xludf.DUMMYFUNCTION("""COMPUTED_VALUE"""),"141473;INF109KB11K5;-;ICICI Prudential Fixed Maturity Plan - Series 81 - 1154 Days Plan J - Direct Plan - Dividend Option;12.4016;05-Aug-2020")</f>
        <v>141473;INF109KB11K5;-;ICICI Prudential Fixed Maturity Plan - Series 81 - 1154 Days Plan J - Direct Plan - Dividend Option;12.4016;05-Aug-2020</v>
      </c>
      <c r="B11925" s="1"/>
    </row>
    <row r="11926">
      <c r="A11926" s="1" t="str">
        <f>IFERROR(__xludf.DUMMYFUNCTION("""COMPUTED_VALUE"""),"141471;INF109KB12K3;-;ICICI Prudential Fixed Maturity Plan - Series 81 - 1154 Days Plan J Cumulative Option;12.3169;05-Aug-2020")</f>
        <v>141471;INF109KB12K3;-;ICICI Prudential Fixed Maturity Plan - Series 81 - 1154 Days Plan J Cumulative Option;12.3169;05-Aug-2020</v>
      </c>
      <c r="B11926" s="1"/>
    </row>
    <row r="11927">
      <c r="A11927" s="1" t="str">
        <f>IFERROR(__xludf.DUMMYFUNCTION("""COMPUTED_VALUE"""),"141474;INF109KB13K1;-;ICICI Prudential Fixed Maturity Plan - Series 81 - 1154 Days Plan J Dividend Option;12.3169;05-Aug-2020")</f>
        <v>141474;INF109KB13K1;-;ICICI Prudential Fixed Maturity Plan - Series 81 - 1154 Days Plan J Dividend Option;12.3169;05-Aug-2020</v>
      </c>
      <c r="B11927" s="1"/>
    </row>
    <row r="11928">
      <c r="A11928" s="1" t="str">
        <f>IFERROR(__xludf.DUMMYFUNCTION("""COMPUTED_VALUE"""),"141668;INF109KB13T2;-;ICICI Prudential Fixed Maturity Plan - Series 81 - 1162 Days Plan P - Cumulative Option;12.3687;22-Sep-2020")</f>
        <v>141668;INF109KB13T2;-;ICICI Prudential Fixed Maturity Plan - Series 81 - 1162 Days Plan P - Cumulative Option;12.3687;22-Sep-2020</v>
      </c>
      <c r="B11928" s="1"/>
    </row>
    <row r="11929">
      <c r="A11929" s="1" t="str">
        <f>IFERROR(__xludf.DUMMYFUNCTION("""COMPUTED_VALUE"""),"141670;INF109KB11T6;-;ICICI Prudential Fixed Maturity Plan - Series 81 - 1162 Days Plan P - Direct Plan - Cumulative Option;12.3982;22-Sep-2020")</f>
        <v>141670;INF109KB11T6;-;ICICI Prudential Fixed Maturity Plan - Series 81 - 1162 Days Plan P - Direct Plan - Cumulative Option;12.3982;22-Sep-2020</v>
      </c>
      <c r="B11929" s="1"/>
    </row>
    <row r="11930">
      <c r="A11930" s="1" t="str">
        <f>IFERROR(__xludf.DUMMYFUNCTION("""COMPUTED_VALUE"""),"141669;INF109KB12T4;-;ICICI Prudential Fixed Maturity Plan - Series 81 - 1162 Days Plan P - Direct Plan - Dividend Option;12.3982;22-Sep-2020")</f>
        <v>141669;INF109KB12T4;-;ICICI Prudential Fixed Maturity Plan - Series 81 - 1162 Days Plan P - Direct Plan - Dividend Option;12.3982;22-Sep-2020</v>
      </c>
      <c r="B11930" s="1"/>
    </row>
    <row r="11931">
      <c r="A11931" s="1" t="str">
        <f>IFERROR(__xludf.DUMMYFUNCTION("""COMPUTED_VALUE"""),"141671;INF109KB14T0;-;ICICI Prudential Fixed Maturity Plan - Series 81 - 1162 Days Plan P - Dividend Option;12.3687;22-Sep-2020")</f>
        <v>141671;INF109KB14T0;-;ICICI Prudential Fixed Maturity Plan - Series 81 - 1162 Days Plan P - Dividend Option;12.3687;22-Sep-2020</v>
      </c>
      <c r="B11931" s="1"/>
    </row>
    <row r="11932">
      <c r="A11932" s="1" t="str">
        <f>IFERROR(__xludf.DUMMYFUNCTION("""COMPUTED_VALUE"""),"141687;INF109KB15U5;-;ICICI Prudential Fixed Maturity Plan - Series 81 - 1163 Days Plan Q - Cumulative Option;12.3512;05-Oct-2020")</f>
        <v>141687;INF109KB15U5;-;ICICI Prudential Fixed Maturity Plan - Series 81 - 1163 Days Plan Q - Cumulative Option;12.3512;05-Oct-2020</v>
      </c>
      <c r="B11932" s="1"/>
    </row>
    <row r="11933">
      <c r="A11933" s="1" t="str">
        <f>IFERROR(__xludf.DUMMYFUNCTION("""COMPUTED_VALUE"""),"141686;INF109KB13U0;-;ICICI Prudential Fixed Maturity Plan - Series 81 - 1163 Days Plan Q - Direct Plan - Cumulative Option;12.3864;05-Oct-2020")</f>
        <v>141686;INF109KB13U0;-;ICICI Prudential Fixed Maturity Plan - Series 81 - 1163 Days Plan Q - Direct Plan - Cumulative Option;12.3864;05-Oct-2020</v>
      </c>
      <c r="B11933" s="1"/>
    </row>
    <row r="11934">
      <c r="A11934" s="1" t="str">
        <f>IFERROR(__xludf.DUMMYFUNCTION("""COMPUTED_VALUE"""),"141688;INF109KB14U8;-;ICICI Prudential Fixed Maturity Plan - Series 81 - 1163 Days Plan Q - Direct Plan - Dividend Option;12.3864;05-Oct-2020")</f>
        <v>141688;INF109KB14U8;-;ICICI Prudential Fixed Maturity Plan - Series 81 - 1163 Days Plan Q - Direct Plan - Dividend Option;12.3864;05-Oct-2020</v>
      </c>
      <c r="B11934" s="1"/>
    </row>
    <row r="11935">
      <c r="A11935" s="1" t="str">
        <f>IFERROR(__xludf.DUMMYFUNCTION("""COMPUTED_VALUE"""),"141689;INF109KB16U3;-;ICICI Prudential Fixed Maturity Plan - Series 81 - 1163 Days Plan Q - Dividend Option;12.3512;05-Oct-2020")</f>
        <v>141689;INF109KB16U3;-;ICICI Prudential Fixed Maturity Plan - Series 81 - 1163 Days Plan Q - Dividend Option;12.3512;05-Oct-2020</v>
      </c>
      <c r="B11935" s="1"/>
    </row>
    <row r="11936">
      <c r="A11936" s="1" t="str">
        <f>IFERROR(__xludf.DUMMYFUNCTION("""COMPUTED_VALUE"""),"141355;INF109KB16G2;-;ICICI Prudential Fixed Maturity Plan - Series 81 - 1178 Days Plan H - Cumulative Option;12.4478;12-Aug-2020")</f>
        <v>141355;INF109KB16G2;-;ICICI Prudential Fixed Maturity Plan - Series 81 - 1178 Days Plan H - Cumulative Option;12.4478;12-Aug-2020</v>
      </c>
      <c r="B11936" s="1"/>
    </row>
    <row r="11937">
      <c r="A11937" s="1" t="str">
        <f>IFERROR(__xludf.DUMMYFUNCTION("""COMPUTED_VALUE"""),"141357;INF109KB14G7;-;ICICI Prudential Fixed Maturity Plan - Series 81 - 1178 Days Plan H - Direct Plan - Cumulative Option;12.5452;12-Aug-2020")</f>
        <v>141357;INF109KB14G7;-;ICICI Prudential Fixed Maturity Plan - Series 81 - 1178 Days Plan H - Direct Plan - Cumulative Option;12.5452;12-Aug-2020</v>
      </c>
      <c r="B11937" s="1"/>
    </row>
    <row r="11938">
      <c r="A11938" s="1" t="str">
        <f>IFERROR(__xludf.DUMMYFUNCTION("""COMPUTED_VALUE"""),"141358;INF109KB15G4;-;ICICI Prudential Fixed Maturity Plan - Series 81 - 1178 Days Plan H - Direct Plan - Dividend Option;12.5452;12-Aug-2020")</f>
        <v>141358;INF109KB15G4;-;ICICI Prudential Fixed Maturity Plan - Series 81 - 1178 Days Plan H - Direct Plan - Dividend Option;12.5452;12-Aug-2020</v>
      </c>
      <c r="B11938" s="1"/>
    </row>
    <row r="11939">
      <c r="A11939" s="1" t="str">
        <f>IFERROR(__xludf.DUMMYFUNCTION("""COMPUTED_VALUE"""),"141356;INF109KB17G0;-;ICICI Prudential Fixed Maturity Plan - Series 81 - 1178 Days Plan H - Dividend Option;12.4478;12-Aug-2020")</f>
        <v>141356;INF109KB17G0;-;ICICI Prudential Fixed Maturity Plan - Series 81 - 1178 Days Plan H - Dividend Option;12.4478;12-Aug-2020</v>
      </c>
      <c r="B11939" s="1"/>
    </row>
    <row r="11940">
      <c r="A11940" s="1" t="str">
        <f>IFERROR(__xludf.DUMMYFUNCTION("""COMPUTED_VALUE"""),"141354;INF109KB10H3;-;ICICI Prudential Fixed Maturity Plan - Series 81 - 1185 Days Plan G - Cumulative Option;12.4730;10-Aug-2020")</f>
        <v>141354;INF109KB10H3;-;ICICI Prudential Fixed Maturity Plan - Series 81 - 1185 Days Plan G - Cumulative Option;12.4730;10-Aug-2020</v>
      </c>
      <c r="B11940" s="1"/>
    </row>
    <row r="11941">
      <c r="A11941" s="1" t="str">
        <f>IFERROR(__xludf.DUMMYFUNCTION("""COMPUTED_VALUE"""),"141352;INF109KB18G8;-;ICICI Prudential Fixed Maturity Plan - Series 81 - 1185 Days Plan G - Direct Plan - Cumulative Option;12.5680;10-Aug-2020")</f>
        <v>141352;INF109KB18G8;-;ICICI Prudential Fixed Maturity Plan - Series 81 - 1185 Days Plan G - Direct Plan - Cumulative Option;12.5680;10-Aug-2020</v>
      </c>
      <c r="B11941" s="1"/>
    </row>
    <row r="11942">
      <c r="A11942" s="1" t="str">
        <f>IFERROR(__xludf.DUMMYFUNCTION("""COMPUTED_VALUE"""),"141351;INF109KB11H1;-;ICICI Prudential Fixed Maturity Plan - Series 81 - 1185 Days Plan G - Dividend Option;12.4730;10-Aug-2020")</f>
        <v>141351;INF109KB11H1;-;ICICI Prudential Fixed Maturity Plan - Series 81 - 1185 Days Plan G - Dividend Option;12.4730;10-Aug-2020</v>
      </c>
      <c r="B11942" s="1"/>
    </row>
    <row r="11943">
      <c r="A11943" s="1" t="str">
        <f>IFERROR(__xludf.DUMMYFUNCTION("""COMPUTED_VALUE"""),"141343;INF109KB18F0;-;ICICI Prudential Fixed Maturity Plan - Series 81 - 1190 Days Plan F - Cumulative Option;12.4767;06-Aug-2020")</f>
        <v>141343;INF109KB18F0;-;ICICI Prudential Fixed Maturity Plan - Series 81 - 1190 Days Plan F - Cumulative Option;12.4767;06-Aug-2020</v>
      </c>
      <c r="B11943" s="1"/>
    </row>
    <row r="11944">
      <c r="A11944" s="1" t="str">
        <f>IFERROR(__xludf.DUMMYFUNCTION("""COMPUTED_VALUE"""),"141346;INF109KB16F4;-;ICICI Prudential Fixed Maturity Plan - Series 81 - 1190 Days Plan F - Direct Plan - Cumulative Option;12.5785;06-Aug-2020")</f>
        <v>141346;INF109KB16F4;-;ICICI Prudential Fixed Maturity Plan - Series 81 - 1190 Days Plan F - Direct Plan - Cumulative Option;12.5785;06-Aug-2020</v>
      </c>
      <c r="B11944" s="1"/>
    </row>
    <row r="11945">
      <c r="A11945" s="1" t="str">
        <f>IFERROR(__xludf.DUMMYFUNCTION("""COMPUTED_VALUE"""),"141345;INF109KB19F8;-;ICICI Prudential Fixed Maturity Plan - Series 81 - 1190 Days Plan F - Dividend Option;12.4767;06-Aug-2020")</f>
        <v>141345;INF109KB19F8;-;ICICI Prudential Fixed Maturity Plan - Series 81 - 1190 Days Plan F - Dividend Option;12.4767;06-Aug-2020</v>
      </c>
      <c r="B11945" s="1"/>
    </row>
    <row r="11946">
      <c r="A11946" s="1" t="str">
        <f>IFERROR(__xludf.DUMMYFUNCTION("""COMPUTED_VALUE"""),"141269;INF109KB14C6;-;ICICI Prudential Fixed Maturity Plan - Series 81 - 1195 Days Plan D - Cumulative Option;12.4789;04-Aug-2020")</f>
        <v>141269;INF109KB14C6;-;ICICI Prudential Fixed Maturity Plan - Series 81 - 1195 Days Plan D - Cumulative Option;12.4789;04-Aug-2020</v>
      </c>
      <c r="B11946" s="1"/>
    </row>
    <row r="11947">
      <c r="A11947" s="1" t="str">
        <f>IFERROR(__xludf.DUMMYFUNCTION("""COMPUTED_VALUE"""),"141272;INF109KB16C1;-;ICICI Prudential Fixed Maturity Plan - Series 81 - 1195 Days Plan D - Direct Plan - Cumulative Option;12.5900;04-Aug-2020")</f>
        <v>141272;INF109KB16C1;-;ICICI Prudential Fixed Maturity Plan - Series 81 - 1195 Days Plan D - Direct Plan - Cumulative Option;12.5900;04-Aug-2020</v>
      </c>
      <c r="B11947" s="1"/>
    </row>
    <row r="11948">
      <c r="A11948" s="1" t="str">
        <f>IFERROR(__xludf.DUMMYFUNCTION("""COMPUTED_VALUE"""),"141271;INF109KB15C3;-;ICICI Prudential Fixed Maturity Plan - Series 81 - 1195 Days Plan D - Dividend Option;12.4789;04-Aug-2020")</f>
        <v>141271;INF109KB15C3;-;ICICI Prudential Fixed Maturity Plan - Series 81 - 1195 Days Plan D - Dividend Option;12.4789;04-Aug-2020</v>
      </c>
      <c r="B11948" s="1"/>
    </row>
    <row r="11949">
      <c r="A11949" s="1" t="str">
        <f>IFERROR(__xludf.DUMMYFUNCTION("""COMPUTED_VALUE"""),"141183;INF109KB12B2;-;ICICI Prudential Fixed Maturity Plan - Series 81 - 1205 Days Plan B - Cumulative Option;12.4985;11-Aug-2020")</f>
        <v>141183;INF109KB12B2;-;ICICI Prudential Fixed Maturity Plan - Series 81 - 1205 Days Plan B - Cumulative Option;12.4985;11-Aug-2020</v>
      </c>
      <c r="B11949" s="1"/>
    </row>
    <row r="11950">
      <c r="A11950" s="1" t="str">
        <f>IFERROR(__xludf.DUMMYFUNCTION("""COMPUTED_VALUE"""),"141182;INF109KB14B8;-;ICICI Prudential Fixed Maturity Plan - Series 81 - 1205 Days Plan B - Direct Plan - Cumulative Option;12.5882;11-Aug-2020")</f>
        <v>141182;INF109KB14B8;-;ICICI Prudential Fixed Maturity Plan - Series 81 - 1205 Days Plan B - Direct Plan - Cumulative Option;12.5882;11-Aug-2020</v>
      </c>
      <c r="B11950" s="1"/>
    </row>
    <row r="11951">
      <c r="A11951" s="1" t="str">
        <f>IFERROR(__xludf.DUMMYFUNCTION("""COMPUTED_VALUE"""),"141184;INF109KB15B5;-;ICICI Prudential Fixed Maturity Plan - Series 81 - 1205 Days Plan B - Direct Plan - Dividend Option;12.5882;11-Aug-2020")</f>
        <v>141184;INF109KB15B5;-;ICICI Prudential Fixed Maturity Plan - Series 81 - 1205 Days Plan B - Direct Plan - Dividend Option;12.5882;11-Aug-2020</v>
      </c>
      <c r="B11951" s="1"/>
    </row>
    <row r="11952">
      <c r="A11952" s="1" t="str">
        <f>IFERROR(__xludf.DUMMYFUNCTION("""COMPUTED_VALUE"""),"141181;INF109KB13B0;-;ICICI Prudential Fixed Maturity Plan - Series 81 - 1205 Days Plan B - Dividend Option;12.4985;11-Aug-2020")</f>
        <v>141181;INF109KB13B0;-;ICICI Prudential Fixed Maturity Plan - Series 81 - 1205 Days Plan B - Dividend Option;12.4985;11-Aug-2020</v>
      </c>
      <c r="B11952" s="1"/>
    </row>
    <row r="11953">
      <c r="A11953" s="1" t="str">
        <f>IFERROR(__xludf.DUMMYFUNCTION("""COMPUTED_VALUE"""),"141189;INF109KB18A1;-;ICICI Prudential Fixed Maturity Plan - Series 81 - 1211 Days Plan A - Cumulative Option;12.5263;10-Aug-2020")</f>
        <v>141189;INF109KB18A1;-;ICICI Prudential Fixed Maturity Plan - Series 81 - 1211 Days Plan A - Cumulative Option;12.5263;10-Aug-2020</v>
      </c>
      <c r="B11953" s="1"/>
    </row>
    <row r="11954">
      <c r="A11954" s="1" t="str">
        <f>IFERROR(__xludf.DUMMYFUNCTION("""COMPUTED_VALUE"""),"141192;INF109KB10B6;-;ICICI Prudential Fixed Maturity Plan - Series 81 - 1211 Days Plan A - Direct Plan - Cumulative Option;12.5982;10-Aug-2020")</f>
        <v>141192;INF109KB10B6;-;ICICI Prudential Fixed Maturity Plan - Series 81 - 1211 Days Plan A - Direct Plan - Cumulative Option;12.5982;10-Aug-2020</v>
      </c>
      <c r="B11954" s="1"/>
    </row>
    <row r="11955">
      <c r="A11955" s="1" t="str">
        <f>IFERROR(__xludf.DUMMYFUNCTION("""COMPUTED_VALUE"""),"141191;INF109KB11B4;-;ICICI Prudential Fixed Maturity Plan - Series 81 - 1211 Days Plan A - Direct Plan - Dividend Option;12.5982;10-Aug-2020")</f>
        <v>141191;INF109KB11B4;-;ICICI Prudential Fixed Maturity Plan - Series 81 - 1211 Days Plan A - Direct Plan - Dividend Option;12.5982;10-Aug-2020</v>
      </c>
      <c r="B11955" s="1"/>
    </row>
    <row r="11956">
      <c r="A11956" s="1" t="str">
        <f>IFERROR(__xludf.DUMMYFUNCTION("""COMPUTED_VALUE"""),"141190;INF109KB19A9;-;ICICI Prudential Fixed Maturity Plan - Series 81 - 1211 Days Plan A - Dividend Option;12.5263;10-Aug-2020")</f>
        <v>141190;INF109KB19A9;-;ICICI Prudential Fixed Maturity Plan - Series 81 - 1211 Days Plan A - Dividend Option;12.5263;10-Aug-2020</v>
      </c>
      <c r="B11956" s="1"/>
    </row>
    <row r="11957">
      <c r="A11957" s="1" t="str">
        <f>IFERROR(__xludf.DUMMYFUNCTION("""COMPUTED_VALUE"""),"142637;INF109KC1AF9;-;ICICI Prudential Fixed Maturity Plan - Series 82 - 103 Days Plan O - Cumulative Option;10.2062;18-Jun-2018")</f>
        <v>142637;INF109KC1AF9;-;ICICI Prudential Fixed Maturity Plan - Series 82 - 103 Days Plan O - Cumulative Option;10.2062;18-Jun-2018</v>
      </c>
      <c r="B11957" s="1"/>
    </row>
    <row r="11958">
      <c r="A11958" s="1" t="str">
        <f>IFERROR(__xludf.DUMMYFUNCTION("""COMPUTED_VALUE"""),"142638;INF109KC1AH5;-;ICICI Prudential Fixed Maturity Plan - Series 82 - 103 Days Plan O - Direct Plan Cumulative Option;10.2120;18-Jun-2018")</f>
        <v>142638;INF109KC1AH5;-;ICICI Prudential Fixed Maturity Plan - Series 82 - 103 Days Plan O - Direct Plan Cumulative Option;10.2120;18-Jun-2018</v>
      </c>
      <c r="B11958" s="1"/>
    </row>
    <row r="11959">
      <c r="A11959" s="1" t="str">
        <f>IFERROR(__xludf.DUMMYFUNCTION("""COMPUTED_VALUE"""),"142634;INF109KC1AI3;-;ICICI Prudential Fixed Maturity Plan - series 82 - 103 Days Plan O - Direct Plan Dividend Option;10.2120;18-Jun-2018")</f>
        <v>142634;INF109KC1AI3;-;ICICI Prudential Fixed Maturity Plan - series 82 - 103 Days Plan O - Direct Plan Dividend Option;10.2120;18-Jun-2018</v>
      </c>
      <c r="B11959" s="1"/>
    </row>
    <row r="11960">
      <c r="A11960" s="1" t="str">
        <f>IFERROR(__xludf.DUMMYFUNCTION("""COMPUTED_VALUE"""),"142635;INF109KC1AG7;-;ICICI Prudential Fixed Maturity Plan - series 82 - 103 Days Plan O - Dividend Option;10.2062;18-Jun-2018")</f>
        <v>142635;INF109KC1AG7;-;ICICI Prudential Fixed Maturity Plan - series 82 - 103 Days Plan O - Dividend Option;10.2062;18-Jun-2018</v>
      </c>
      <c r="B11960" s="1"/>
    </row>
    <row r="11961">
      <c r="A11961" s="1" t="str">
        <f>IFERROR(__xludf.DUMMYFUNCTION("""COMPUTED_VALUE"""),"143133;INF109KC1CH1;-;ICICI Prudential Fixed Maturity Plan - Series 82 - 1119 Days Plan X - Cumulative Option;12.4318;05-May-2021")</f>
        <v>143133;INF109KC1CH1;-;ICICI Prudential Fixed Maturity Plan - Series 82 - 1119 Days Plan X - Cumulative Option;12.4318;05-May-2021</v>
      </c>
      <c r="B11961" s="1"/>
    </row>
    <row r="11962">
      <c r="A11962" s="1" t="str">
        <f>IFERROR(__xludf.DUMMYFUNCTION("""COMPUTED_VALUE"""),"143132;INF109KC1CK5;-;ICICI Prudential Fixed Maturity Plan - Series 82 - 1119 Days Plan X - Direct Plan Cumulative Option;12.4610;05-May-2021")</f>
        <v>143132;INF109KC1CK5;-;ICICI Prudential Fixed Maturity Plan - Series 82 - 1119 Days Plan X - Direct Plan Cumulative Option;12.4610;05-May-2021</v>
      </c>
      <c r="B11962" s="1"/>
    </row>
    <row r="11963">
      <c r="A11963" s="1" t="str">
        <f>IFERROR(__xludf.DUMMYFUNCTION("""COMPUTED_VALUE"""),"143128;INF109KC1CM1;-;ICICI Prudential Fixed Maturity Plan - Series 82 - 1119 Days Plan X - Direct Plan Quarterly IDCW Option;12.4610;05-May-2021")</f>
        <v>143128;INF109KC1CM1;-;ICICI Prudential Fixed Maturity Plan - Series 82 - 1119 Days Plan X - Direct Plan Quarterly IDCW Option;12.4610;05-May-2021</v>
      </c>
      <c r="B11963" s="1"/>
    </row>
    <row r="11964">
      <c r="A11964" s="1" t="str">
        <f>IFERROR(__xludf.DUMMYFUNCTION("""COMPUTED_VALUE"""),"143129;INF109KC1CI9;-;ICICI Prudential Fixed Maturity Plan - Series 82 - 1119 Days Plan X - Half Yearly IDCW Option;12.4316;05-May-2021")</f>
        <v>143129;INF109KC1CI9;-;ICICI Prudential Fixed Maturity Plan - Series 82 - 1119 Days Plan X - Half Yearly IDCW Option;12.4316;05-May-2021</v>
      </c>
      <c r="B11964" s="1"/>
    </row>
    <row r="11965">
      <c r="A11965" s="1" t="str">
        <f>IFERROR(__xludf.DUMMYFUNCTION("""COMPUTED_VALUE"""),"143127;INF109KC1CJ7;-;ICICI Prudential Fixed Maturity Plan - Series 82 - 1119 Days Plan X - Quarterly IDCW Option;12.4318;05-May-2021")</f>
        <v>143127;INF109KC1CJ7;-;ICICI Prudential Fixed Maturity Plan - Series 82 - 1119 Days Plan X - Quarterly IDCW Option;12.4318;05-May-2021</v>
      </c>
      <c r="B11965" s="1"/>
    </row>
    <row r="11966">
      <c r="A11966" s="1" t="str">
        <f>IFERROR(__xludf.DUMMYFUNCTION("""COMPUTED_VALUE"""),"142899;INF109KC1BB6;-;ICICI Prudential Fixed Maturity Plan - Series 82 - 1135 Days Plan S - Cumulative Option;12.5117;03-May-2021")</f>
        <v>142899;INF109KC1BB6;-;ICICI Prudential Fixed Maturity Plan - Series 82 - 1135 Days Plan S - Cumulative Option;12.5117;03-May-2021</v>
      </c>
      <c r="B11966" s="1"/>
    </row>
    <row r="11967">
      <c r="A11967" s="1" t="str">
        <f>IFERROR(__xludf.DUMMYFUNCTION("""COMPUTED_VALUE"""),"142904;INF109KC1BE0;-;ICICI Prudential Fixed Maturity Plan - Series 82 - 1135 Days Plan S - Direct Plan Cumulative Option;12.6419;03-May-2021")</f>
        <v>142904;INF109KC1BE0;-;ICICI Prudential Fixed Maturity Plan - Series 82 - 1135 Days Plan S - Direct Plan Cumulative Option;12.6419;03-May-2021</v>
      </c>
      <c r="B11967" s="1"/>
    </row>
    <row r="11968">
      <c r="A11968" s="1" t="str">
        <f>IFERROR(__xludf.DUMMYFUNCTION("""COMPUTED_VALUE"""),"142903;INF109KC1BF7;-;ICICI Prudential Fixed Maturity Plan - Series 82 - 1135 Days Plan S - Direct Plan Half Yearly IDCW Option;12.6419;03-May-2021")</f>
        <v>142903;INF109KC1BF7;-;ICICI Prudential Fixed Maturity Plan - Series 82 - 1135 Days Plan S - Direct Plan Half Yearly IDCW Option;12.6419;03-May-2021</v>
      </c>
      <c r="B11968" s="1"/>
    </row>
    <row r="11969">
      <c r="A11969" s="1" t="str">
        <f>IFERROR(__xludf.DUMMYFUNCTION("""COMPUTED_VALUE"""),"142901;INF109KC1BG5;-;ICICI Prudential Fixed Maturity Plan - Series 82 - 1135 Days Plan S - Direct Plan Quarterly IDCW Option;12.6417;03-May-2021")</f>
        <v>142901;INF109KC1BG5;-;ICICI Prudential Fixed Maturity Plan - Series 82 - 1135 Days Plan S - Direct Plan Quarterly IDCW Option;12.6417;03-May-2021</v>
      </c>
      <c r="B11969" s="1"/>
    </row>
    <row r="11970">
      <c r="A11970" s="1" t="str">
        <f>IFERROR(__xludf.DUMMYFUNCTION("""COMPUTED_VALUE"""),"142902;INF109KC1BC4;-;ICICI Prudential Fixed Maturity Plan - Series 82 - 1135 Days Plan S - Half Yearly IDCW Option;12.5117;03-May-2021")</f>
        <v>142902;INF109KC1BC4;-;ICICI Prudential Fixed Maturity Plan - Series 82 - 1135 Days Plan S - Half Yearly IDCW Option;12.5117;03-May-2021</v>
      </c>
      <c r="B11970" s="1"/>
    </row>
    <row r="11971">
      <c r="A11971" s="1" t="str">
        <f>IFERROR(__xludf.DUMMYFUNCTION("""COMPUTED_VALUE"""),"142900;INF109KC1BD2;-;ICICI Prudential Fixed Maturity Plan - Series 82 - 1135 Days Plan S - Quarterly IDCW Option;12.5117;03-May-2021")</f>
        <v>142900;INF109KC1BD2;-;ICICI Prudential Fixed Maturity Plan - Series 82 - 1135 Days Plan S - Quarterly IDCW Option;12.5117;03-May-2021</v>
      </c>
      <c r="B11971" s="1"/>
    </row>
    <row r="11972">
      <c r="A11972" s="1" t="str">
        <f>IFERROR(__xludf.DUMMYFUNCTION("""COMPUTED_VALUE"""),"142965;INF109KC1BP6;-;ICICI Prudential Fixed Maturity Plan - Series 82 - 1135 Days Plan U - Cumulative Option;12.5142;29-Apr-2021")</f>
        <v>142965;INF109KC1BP6;-;ICICI Prudential Fixed Maturity Plan - Series 82 - 1135 Days Plan U - Cumulative Option;12.5142;29-Apr-2021</v>
      </c>
      <c r="B11972" s="1"/>
    </row>
    <row r="11973">
      <c r="A11973" s="1" t="str">
        <f>IFERROR(__xludf.DUMMYFUNCTION("""COMPUTED_VALUE"""),"142961;INF109KC1BS0;-;ICICI Prudential Fixed Maturity Plan - Series 82 - 1135 Days Plan U - Direct Plan Cumulative Option;12.5657;29-Apr-2021")</f>
        <v>142961;INF109KC1BS0;-;ICICI Prudential Fixed Maturity Plan - Series 82 - 1135 Days Plan U - Direct Plan Cumulative Option;12.5657;29-Apr-2021</v>
      </c>
      <c r="B11973" s="1"/>
    </row>
    <row r="11974">
      <c r="A11974" s="1" t="str">
        <f>IFERROR(__xludf.DUMMYFUNCTION("""COMPUTED_VALUE"""),"142964;INF109KC1BT8;-;ICICI Prudential Fixed Maturity Plan - Series 82 - 1135 Days Plan U - Direct Plan Half Yearly IDCW Option;12.5657;29-Apr-2021")</f>
        <v>142964;INF109KC1BT8;-;ICICI Prudential Fixed Maturity Plan - Series 82 - 1135 Days Plan U - Direct Plan Half Yearly IDCW Option;12.5657;29-Apr-2021</v>
      </c>
      <c r="B11974" s="1"/>
    </row>
    <row r="11975">
      <c r="A11975" s="1" t="str">
        <f>IFERROR(__xludf.DUMMYFUNCTION("""COMPUTED_VALUE"""),"142963;INF109KC1BR2;-;ICICI Prudential Fixed Maturity Plan - Series 82 - 1135 Days Plan U - Quarterly IDCW Option;12.5142;29-Apr-2021")</f>
        <v>142963;INF109KC1BR2;-;ICICI Prudential Fixed Maturity Plan - Series 82 - 1135 Days Plan U - Quarterly IDCW Option;12.5142;29-Apr-2021</v>
      </c>
      <c r="B11975" s="1"/>
    </row>
    <row r="11976">
      <c r="A11976" s="1" t="str">
        <f>IFERROR(__xludf.DUMMYFUNCTION("""COMPUTED_VALUE"""),"142982;INF109KC1BV4;-;ICICI Prudential Fixed Maturity Plan - Series 82 - 1135 Days Plan V - Cumulative Option;12.4442;04-May-2021")</f>
        <v>142982;INF109KC1BV4;-;ICICI Prudential Fixed Maturity Plan - Series 82 - 1135 Days Plan V - Cumulative Option;12.4442;04-May-2021</v>
      </c>
      <c r="B11976" s="1"/>
    </row>
    <row r="11977">
      <c r="A11977" s="1" t="str">
        <f>IFERROR(__xludf.DUMMYFUNCTION("""COMPUTED_VALUE"""),"142977;INF109KC1BY8;-;ICICI Prudential Fixed Maturity Plan - Series 82 - 1135 Days Plan V - Direct Plan Cumulative Option;12.5240;04-May-2021")</f>
        <v>142977;INF109KC1BY8;-;ICICI Prudential Fixed Maturity Plan - Series 82 - 1135 Days Plan V - Direct Plan Cumulative Option;12.5240;04-May-2021</v>
      </c>
      <c r="B11977" s="1"/>
    </row>
    <row r="11978">
      <c r="A11978" s="1" t="str">
        <f>IFERROR(__xludf.DUMMYFUNCTION("""COMPUTED_VALUE"""),"142975;INF109KC1CA6;-;ICICI Prudential Fixed Maturity Plan - Series 82 - 1135 Days Plan V - Direct Plan Quarterly IDCW Option;12.5240;04-May-2021")</f>
        <v>142975;INF109KC1CA6;-;ICICI Prudential Fixed Maturity Plan - Series 82 - 1135 Days Plan V - Direct Plan Quarterly IDCW Option;12.5240;04-May-2021</v>
      </c>
      <c r="B11978" s="1"/>
    </row>
    <row r="11979">
      <c r="A11979" s="1" t="str">
        <f>IFERROR(__xludf.DUMMYFUNCTION("""COMPUTED_VALUE"""),"142976;INF109KC1BW2;-;ICICI Prudential Fixed Maturity Plan - Series 82 - 1135 Days Plan V - Half Yearly IDCW Option;12.4440;04-May-2021")</f>
        <v>142976;INF109KC1BW2;-;ICICI Prudential Fixed Maturity Plan - Series 82 - 1135 Days Plan V - Half Yearly IDCW Option;12.4440;04-May-2021</v>
      </c>
      <c r="B11979" s="1"/>
    </row>
    <row r="11980">
      <c r="A11980" s="1" t="str">
        <f>IFERROR(__xludf.DUMMYFUNCTION("""COMPUTED_VALUE"""),"142979;INF109KC1BX0;-;ICICI Prudential Fixed Maturity Plan - Series 82 - 1135 Days Plan V - Quarterly IDCW Option;12.4442;04-May-2021")</f>
        <v>142979;INF109KC1BX0;-;ICICI Prudential Fixed Maturity Plan - Series 82 - 1135 Days Plan V - Quarterly IDCW Option;12.4442;04-May-2021</v>
      </c>
      <c r="B11980" s="1"/>
    </row>
    <row r="11981">
      <c r="A11981" s="1" t="str">
        <f>IFERROR(__xludf.DUMMYFUNCTION("""COMPUTED_VALUE"""),"142760;INF109KC1AJ1;-;ICICI Prudential Fixed Maturity Plan - Series 82 - 1136 Days Plan P - Cumulative Option;12.6916;30-Apr-2021")</f>
        <v>142760;INF109KC1AJ1;-;ICICI Prudential Fixed Maturity Plan - Series 82 - 1136 Days Plan P - Cumulative Option;12.6916;30-Apr-2021</v>
      </c>
      <c r="B11981" s="1"/>
    </row>
    <row r="11982">
      <c r="A11982" s="1" t="str">
        <f>IFERROR(__xludf.DUMMYFUNCTION("""COMPUTED_VALUE"""),"142762;INF109KC1AM5;-;ICICI Prudential Fixed Maturity Plan - Series 82 - 1136 Days Plan P - Direct Plan Cumulative Option;12.7905;30-Apr-2021")</f>
        <v>142762;INF109KC1AM5;-;ICICI Prudential Fixed Maturity Plan - Series 82 - 1136 Days Plan P - Direct Plan Cumulative Option;12.7905;30-Apr-2021</v>
      </c>
      <c r="B11982" s="1"/>
    </row>
    <row r="11983">
      <c r="A11983" s="1" t="str">
        <f>IFERROR(__xludf.DUMMYFUNCTION("""COMPUTED_VALUE"""),"142764;INF109KC1AN3;-;ICICI Prudential Fixed Maturity Plan - Series 82 - 1136 Days Plan P - Direct Plan Half Yearly IDCW Option;12.7904;30-Apr-2021")</f>
        <v>142764;INF109KC1AN3;-;ICICI Prudential Fixed Maturity Plan - Series 82 - 1136 Days Plan P - Direct Plan Half Yearly IDCW Option;12.7904;30-Apr-2021</v>
      </c>
      <c r="B11983" s="1"/>
    </row>
    <row r="11984">
      <c r="A11984" s="1" t="str">
        <f>IFERROR(__xludf.DUMMYFUNCTION("""COMPUTED_VALUE"""),"142761;INF109KC1AO1;-;ICICI Prudential Fixed Maturity Plan - Series 82 - 1136 Days Plan P - Direct Plan Quarterly IDCW Option;12.7903;30-Apr-2021")</f>
        <v>142761;INF109KC1AO1;-;ICICI Prudential Fixed Maturity Plan - Series 82 - 1136 Days Plan P - Direct Plan Quarterly IDCW Option;12.7903;30-Apr-2021</v>
      </c>
      <c r="B11984" s="1"/>
    </row>
    <row r="11985">
      <c r="A11985" s="1" t="str">
        <f>IFERROR(__xludf.DUMMYFUNCTION("""COMPUTED_VALUE"""),"142759;INF109KC1AK9;-;ICICI Prudential Fixed Maturity Plan - Series 82 - 1136 Days Plan P - Half Yearly IDCW Option;12.6915;30-Apr-2021")</f>
        <v>142759;INF109KC1AK9;-;ICICI Prudential Fixed Maturity Plan - Series 82 - 1136 Days Plan P - Half Yearly IDCW Option;12.6915;30-Apr-2021</v>
      </c>
      <c r="B11985" s="1"/>
    </row>
    <row r="11986">
      <c r="A11986" s="1" t="str">
        <f>IFERROR(__xludf.DUMMYFUNCTION("""COMPUTED_VALUE"""),"142763;INF109KC1AL7;-;ICICI Prudential Fixed Maturity Plan - Series 82 - 1136 Days Plan P - Quarterly IDCW Option;12.6916;30-Apr-2021")</f>
        <v>142763;INF109KC1AL7;-;ICICI Prudential Fixed Maturity Plan - Series 82 - 1136 Days Plan P - Quarterly IDCW Option;12.6916;30-Apr-2021</v>
      </c>
      <c r="B11986" s="1"/>
    </row>
    <row r="11987">
      <c r="A11987" s="1" t="str">
        <f>IFERROR(__xludf.DUMMYFUNCTION("""COMPUTED_VALUE"""),"143144;INF109KC1CP4;-;ICICI Prudential Fixed Maturity Plan - Series 82 - 1141 Days Plan Y - Cumulative Option;12.5888;10-Jun-2021")</f>
        <v>143144;INF109KC1CP4;-;ICICI Prudential Fixed Maturity Plan - Series 82 - 1141 Days Plan Y - Cumulative Option;12.5888;10-Jun-2021</v>
      </c>
      <c r="B11987" s="1"/>
    </row>
    <row r="11988">
      <c r="A11988" s="1" t="str">
        <f>IFERROR(__xludf.DUMMYFUNCTION("""COMPUTED_VALUE"""),"143145;INF109KC1CS8;-;ICICI Prudential Fixed Maturity Plan - Series 82 - 1141 Days Plan Y - Direct Plan Cumulative Option;12.6238;10-Jun-2021")</f>
        <v>143145;INF109KC1CS8;-;ICICI Prudential Fixed Maturity Plan - Series 82 - 1141 Days Plan Y - Direct Plan Cumulative Option;12.6238;10-Jun-2021</v>
      </c>
      <c r="B11988" s="1"/>
    </row>
    <row r="11989">
      <c r="A11989" s="1" t="str">
        <f>IFERROR(__xludf.DUMMYFUNCTION("""COMPUTED_VALUE"""),"143149;INF109KC1CT6;-;ICICI Prudential Fixed Maturity Plan - Series 82 - 1141 Days Plan Y - Direct Plan Half Yearly IDCW Option;12.6238;10-Jun-2021")</f>
        <v>143149;INF109KC1CT6;-;ICICI Prudential Fixed Maturity Plan - Series 82 - 1141 Days Plan Y - Direct Plan Half Yearly IDCW Option;12.6238;10-Jun-2021</v>
      </c>
      <c r="B11989" s="1"/>
    </row>
    <row r="11990">
      <c r="A11990" s="1" t="str">
        <f>IFERROR(__xludf.DUMMYFUNCTION("""COMPUTED_VALUE"""),"143151;INF109KC1CQ2;-;ICICI Prudential Fixed Maturity Plan - Series 82 - 1141 Days Plan Y - Half Yearly IDCW Option;12.5887;10-Jun-2021")</f>
        <v>143151;INF109KC1CQ2;-;ICICI Prudential Fixed Maturity Plan - Series 82 - 1141 Days Plan Y - Half Yearly IDCW Option;12.5887;10-Jun-2021</v>
      </c>
      <c r="B11990" s="1"/>
    </row>
    <row r="11991">
      <c r="A11991" s="1" t="str">
        <f>IFERROR(__xludf.DUMMYFUNCTION("""COMPUTED_VALUE"""),"143150;INF109KC1CR0;-;ICICI Prudential Fixed Maturity Plan - Series 82 - 1141 Days Plan Y - Quarterly IDCW Option;12.5888;10-Jun-2021")</f>
        <v>143150;INF109KC1CR0;-;ICICI Prudential Fixed Maturity Plan - Series 82 - 1141 Days Plan Y - Quarterly IDCW Option;12.5888;10-Jun-2021</v>
      </c>
      <c r="B11991" s="1"/>
    </row>
    <row r="11992">
      <c r="A11992" s="1" t="str">
        <f>IFERROR(__xludf.DUMMYFUNCTION("""COMPUTED_VALUE"""),"142443;INF109KC1739;-;ICICI Prudential Fixed Maturity Plan - Series 82 - 1157 Days Plan J - Cumulative Option;12.6951;30-Apr-2021")</f>
        <v>142443;INF109KC1739;-;ICICI Prudential Fixed Maturity Plan - Series 82 - 1157 Days Plan J - Cumulative Option;12.6951;30-Apr-2021</v>
      </c>
      <c r="B11992" s="1"/>
    </row>
    <row r="11993">
      <c r="A11993" s="1" t="str">
        <f>IFERROR(__xludf.DUMMYFUNCTION("""COMPUTED_VALUE"""),"142450;INF109KC1762;-;ICICI Prudential Fixed Maturity Plan - Series 82 - 1157 Days Plan J - Direct Plan Cumulative Option;12.8251;30-Apr-2021")</f>
        <v>142450;INF109KC1762;-;ICICI Prudential Fixed Maturity Plan - Series 82 - 1157 Days Plan J - Direct Plan Cumulative Option;12.8251;30-Apr-2021</v>
      </c>
      <c r="B11993" s="1"/>
    </row>
    <row r="11994">
      <c r="A11994" s="1" t="str">
        <f>IFERROR(__xludf.DUMMYFUNCTION("""COMPUTED_VALUE"""),"142448;INF109KC1770;-;ICICI Prudential Fixed Maturity Plan - Series 82 - 1157 Days Plan J - Direct Plan Half Yearly IDCW Option;12.8251;30-Apr-2021")</f>
        <v>142448;INF109KC1770;-;ICICI Prudential Fixed Maturity Plan - Series 82 - 1157 Days Plan J - Direct Plan Half Yearly IDCW Option;12.8251;30-Apr-2021</v>
      </c>
      <c r="B11994" s="1"/>
    </row>
    <row r="11995">
      <c r="A11995" s="1" t="str">
        <f>IFERROR(__xludf.DUMMYFUNCTION("""COMPUTED_VALUE"""),"142446;INF109KC1788;-;ICICI Prudential Fixed Maturity Plan - Series 82 - 1157 Days Plan J - Direct Plan Quarterly IDCW Option;12.8248;30-Apr-2021")</f>
        <v>142446;INF109KC1788;-;ICICI Prudential Fixed Maturity Plan - Series 82 - 1157 Days Plan J - Direct Plan Quarterly IDCW Option;12.8248;30-Apr-2021</v>
      </c>
      <c r="B11995" s="1"/>
    </row>
    <row r="11996">
      <c r="A11996" s="1" t="str">
        <f>IFERROR(__xludf.DUMMYFUNCTION("""COMPUTED_VALUE"""),"142447;INF109KC1747;-;ICICI Prudential Fixed Maturity Plan - Series 82 - 1157 Days Plan J - Half Yearly IDCW Option;12.6951;30-Apr-2021")</f>
        <v>142447;INF109KC1747;-;ICICI Prudential Fixed Maturity Plan - Series 82 - 1157 Days Plan J - Half Yearly IDCW Option;12.6951;30-Apr-2021</v>
      </c>
      <c r="B11996" s="1"/>
    </row>
    <row r="11997">
      <c r="A11997" s="1" t="str">
        <f>IFERROR(__xludf.DUMMYFUNCTION("""COMPUTED_VALUE"""),"142445;INF109KC1754;-;ICICI Prudential Fixed Maturity Plan - Series 82 - 1157 Days Plan J - Quarterly IDCW Option;12.6951;30-Apr-2021")</f>
        <v>142445;INF109KC1754;-;ICICI Prudential Fixed Maturity Plan - Series 82 - 1157 Days Plan J - Quarterly IDCW Option;12.6951;30-Apr-2021</v>
      </c>
      <c r="B11997" s="1"/>
    </row>
    <row r="11998">
      <c r="A11998" s="1" t="str">
        <f>IFERROR(__xludf.DUMMYFUNCTION("""COMPUTED_VALUE"""),"142883;INF109KC1AV6;-;ICICI Prudential Fixed Maturity Plan - Series 82 - 1170 Days Plan R - Cumulative Option;12.5099;08-Jun-2021")</f>
        <v>142883;INF109KC1AV6;-;ICICI Prudential Fixed Maturity Plan - Series 82 - 1170 Days Plan R - Cumulative Option;12.5099;08-Jun-2021</v>
      </c>
      <c r="B11998" s="1"/>
    </row>
    <row r="11999">
      <c r="A11999" s="1" t="str">
        <f>IFERROR(__xludf.DUMMYFUNCTION("""COMPUTED_VALUE"""),"142885;INF109KC1AY0;-;ICICI Prudential Fixed Maturity Plan - Series 82 - 1170 Days Plan R - Direct Plan Cumulative Option;12.5604;08-Jun-2021")</f>
        <v>142885;INF109KC1AY0;-;ICICI Prudential Fixed Maturity Plan - Series 82 - 1170 Days Plan R - Direct Plan Cumulative Option;12.5604;08-Jun-2021</v>
      </c>
      <c r="B11999" s="1"/>
    </row>
    <row r="12000">
      <c r="A12000" s="1" t="str">
        <f>IFERROR(__xludf.DUMMYFUNCTION("""COMPUTED_VALUE"""),"142888;INF109KC1BA8;-;ICICI Prudential Fixed Maturity Plan - Series 82 - 1170 Days Plan R - Direct Plan Quarterly IDCW Option;12.5604;08-Jun-2021")</f>
        <v>142888;INF109KC1BA8;-;ICICI Prudential Fixed Maturity Plan - Series 82 - 1170 Days Plan R - Direct Plan Quarterly IDCW Option;12.5604;08-Jun-2021</v>
      </c>
      <c r="B12000" s="1"/>
    </row>
    <row r="12001">
      <c r="A12001" s="1" t="str">
        <f>IFERROR(__xludf.DUMMYFUNCTION("""COMPUTED_VALUE"""),"142882;INF109KC1AW4;-;ICICI Prudential Fixed Maturity Plan - Series 82 - 1170 Days Plan R - Half Yearly IDCW Option;12.5099;08-Jun-2021")</f>
        <v>142882;INF109KC1AW4;-;ICICI Prudential Fixed Maturity Plan - Series 82 - 1170 Days Plan R - Half Yearly IDCW Option;12.5099;08-Jun-2021</v>
      </c>
      <c r="B12001" s="1"/>
    </row>
    <row r="12002">
      <c r="A12002" s="1" t="str">
        <f>IFERROR(__xludf.DUMMYFUNCTION("""COMPUTED_VALUE"""),"142887;INF109KC1AX2;-;ICICI Prudential Fixed Maturity Plan - Series 82 - 1170 Days Plan R - Quarterly IDCW Option;12.5099;08-Jun-2021")</f>
        <v>142887;INF109KC1AX2;-;ICICI Prudential Fixed Maturity Plan - Series 82 - 1170 Days Plan R - Quarterly IDCW Option;12.5099;08-Jun-2021</v>
      </c>
      <c r="B12002" s="1"/>
    </row>
    <row r="12003">
      <c r="A12003" s="1" t="str">
        <f>IFERROR(__xludf.DUMMYFUNCTION("""COMPUTED_VALUE"""),"142692;INF109KC1AP8;-;ICICI Prudential Fixed Maturity Plan - Series 82 - 1175 Days Plan Q - Cumulative Option;12.5668;31-May-2021")</f>
        <v>142692;INF109KC1AP8;-;ICICI Prudential Fixed Maturity Plan - Series 82 - 1175 Days Plan Q - Cumulative Option;12.5668;31-May-2021</v>
      </c>
      <c r="B12003" s="1"/>
    </row>
    <row r="12004">
      <c r="A12004" s="1" t="str">
        <f>IFERROR(__xludf.DUMMYFUNCTION("""COMPUTED_VALUE"""),"142698;INF109KC1AS2;-;ICICI Prudential Fixed Maturity Plan - Series 82 - 1175 Days Plan Q - Direct Plan Cumulative Option;12.6531;31-May-2021")</f>
        <v>142698;INF109KC1AS2;-;ICICI Prudential Fixed Maturity Plan - Series 82 - 1175 Days Plan Q - Direct Plan Cumulative Option;12.6531;31-May-2021</v>
      </c>
      <c r="B12004" s="1"/>
    </row>
    <row r="12005">
      <c r="A12005" s="1" t="str">
        <f>IFERROR(__xludf.DUMMYFUNCTION("""COMPUTED_VALUE"""),"142697;INF109KC1AT0;-;ICICI Prudential Fixed Maturity Plan - Series 82 - 1175 Days Plan Q - Direct Plan Half yearly IDCW Option;12.6530;31-May-2021")</f>
        <v>142697;INF109KC1AT0;-;ICICI Prudential Fixed Maturity Plan - Series 82 - 1175 Days Plan Q - Direct Plan Half yearly IDCW Option;12.6530;31-May-2021</v>
      </c>
      <c r="B12005" s="1"/>
    </row>
    <row r="12006">
      <c r="A12006" s="1" t="str">
        <f>IFERROR(__xludf.DUMMYFUNCTION("""COMPUTED_VALUE"""),"142696;INF109KC1AU8;-;ICICI Prudential Fixed Maturity Plan - Series 82 - 1175 Days Plan Q - Direct Plan Quarterly IDCW Option;12.6531;31-May-2021")</f>
        <v>142696;INF109KC1AU8;-;ICICI Prudential Fixed Maturity Plan - Series 82 - 1175 Days Plan Q - Direct Plan Quarterly IDCW Option;12.6531;31-May-2021</v>
      </c>
      <c r="B12006" s="1"/>
    </row>
    <row r="12007">
      <c r="A12007" s="1" t="str">
        <f>IFERROR(__xludf.DUMMYFUNCTION("""COMPUTED_VALUE"""),"142699;INF109KC1AQ6;-;ICICI Prudential Fixed Maturity Plan - Series 82 - 1175 Days Plan Q - Half Yearly IDCW Option;12.5668;31-May-2021")</f>
        <v>142699;INF109KC1AQ6;-;ICICI Prudential Fixed Maturity Plan - Series 82 - 1175 Days Plan Q - Half Yearly IDCW Option;12.5668;31-May-2021</v>
      </c>
      <c r="B12007" s="1"/>
    </row>
    <row r="12008">
      <c r="A12008" s="1" t="str">
        <f>IFERROR(__xludf.DUMMYFUNCTION("""COMPUTED_VALUE"""),"142695;INF109KC1AR4;-;ICICI Prudential Fixed Maturity Plan - Series 82 - 1175 Days Plan Q - Quarterly IDCW Option;12.5668;31-May-2021")</f>
        <v>142695;INF109KC1AR4;-;ICICI Prudential Fixed Maturity Plan - Series 82 - 1175 Days Plan Q - Quarterly IDCW Option;12.5668;31-May-2021</v>
      </c>
      <c r="B12008" s="1"/>
    </row>
    <row r="12009">
      <c r="A12009" s="1" t="str">
        <f>IFERROR(__xludf.DUMMYFUNCTION("""COMPUTED_VALUE"""),"142413;INF109KC1671;-;ICICI Prudential Fixed Maturity Plan - Series 82 - 1185 Days Plan I - Cumulative Option;12.6344;05-May-2021")</f>
        <v>142413;INF109KC1671;-;ICICI Prudential Fixed Maturity Plan - Series 82 - 1185 Days Plan I - Cumulative Option;12.6344;05-May-2021</v>
      </c>
      <c r="B12009" s="1"/>
    </row>
    <row r="12010">
      <c r="A12010" s="1" t="str">
        <f>IFERROR(__xludf.DUMMYFUNCTION("""COMPUTED_VALUE"""),"142412;INF109KC1705;-;ICICI Prudential Fixed Maturity Plan - Series 82 - 1185 Days Plan I - Direct Plan Cumulative Option;12.6865;05-May-2021")</f>
        <v>142412;INF109KC1705;-;ICICI Prudential Fixed Maturity Plan - Series 82 - 1185 Days Plan I - Direct Plan Cumulative Option;12.6865;05-May-2021</v>
      </c>
      <c r="B12010" s="1"/>
    </row>
    <row r="12011">
      <c r="A12011" s="1" t="str">
        <f>IFERROR(__xludf.DUMMYFUNCTION("""COMPUTED_VALUE"""),"142581;INF109KC1994;-;ICICI Prudential Fixed Maturity Plan - Series 82 - 1185 Days Plan N - Cumulative Option;12.5961;04-Jun-2021")</f>
        <v>142581;INF109KC1994;-;ICICI Prudential Fixed Maturity Plan - Series 82 - 1185 Days Plan N - Cumulative Option;12.5961;04-Jun-2021</v>
      </c>
      <c r="B12011" s="1"/>
    </row>
    <row r="12012">
      <c r="A12012" s="1" t="str">
        <f>IFERROR(__xludf.DUMMYFUNCTION("""COMPUTED_VALUE"""),"142582;INF109KC1AC6;-;ICICI Prudential Fixed Maturity Plan - Series 82 - 1185 Days Plan N - Direct Plan Cumulative Option;12.6671;04-Jun-2021")</f>
        <v>142582;INF109KC1AC6;-;ICICI Prudential Fixed Maturity Plan - Series 82 - 1185 Days Plan N - Direct Plan Cumulative Option;12.6671;04-Jun-2021</v>
      </c>
      <c r="B12012" s="1"/>
    </row>
    <row r="12013">
      <c r="A12013" s="1" t="str">
        <f>IFERROR(__xludf.DUMMYFUNCTION("""COMPUTED_VALUE"""),"142588;INF109KC1AD4;-;ICICI Prudential Fixed Maturity Plan - Series 82 - 1185 Days Plan N - Direct Plan Half Yearly IDCW Option;12.6671;04-Jun-2021")</f>
        <v>142588;INF109KC1AD4;-;ICICI Prudential Fixed Maturity Plan - Series 82 - 1185 Days Plan N - Direct Plan Half Yearly IDCW Option;12.6671;04-Jun-2021</v>
      </c>
      <c r="B12013" s="1"/>
    </row>
    <row r="12014">
      <c r="A12014" s="1" t="str">
        <f>IFERROR(__xludf.DUMMYFUNCTION("""COMPUTED_VALUE"""),"142586;INF109KC1AE2;-;ICICI Prudential Fixed Maturity Plan - Series 82 - 1185 Days Plan N - Direct Plan Quarterly IDCW Option;12.6638;04-Jun-2021")</f>
        <v>142586;INF109KC1AE2;-;ICICI Prudential Fixed Maturity Plan - Series 82 - 1185 Days Plan N - Direct Plan Quarterly IDCW Option;12.6638;04-Jun-2021</v>
      </c>
      <c r="B12014" s="1"/>
    </row>
    <row r="12015">
      <c r="A12015" s="1" t="str">
        <f>IFERROR(__xludf.DUMMYFUNCTION("""COMPUTED_VALUE"""),"142587;INF109KC1AA0;-;ICICI Prudential Fixed Maturity Plan - Series 82 - 1185 Days Plan N - Half Yearly IDCW Option;12.5961;04-Jun-2021")</f>
        <v>142587;INF109KC1AA0;-;ICICI Prudential Fixed Maturity Plan - Series 82 - 1185 Days Plan N - Half Yearly IDCW Option;12.5961;04-Jun-2021</v>
      </c>
      <c r="B12015" s="1"/>
    </row>
    <row r="12016">
      <c r="A12016" s="1" t="str">
        <f>IFERROR(__xludf.DUMMYFUNCTION("""COMPUTED_VALUE"""),"142585;INF109KC1AB8;-;ICICI Prudential Fixed Maturity Plan - Series 82 - 1185 Days Plan N - Quarterly IDCW Option;12.5961;04-Jun-2021")</f>
        <v>142585;INF109KC1AB8;-;ICICI Prudential Fixed Maturity Plan - Series 82 - 1185 Days Plan N - Quarterly IDCW Option;12.5961;04-Jun-2021</v>
      </c>
      <c r="B12016" s="1"/>
    </row>
    <row r="12017">
      <c r="A12017" s="1" t="str">
        <f>IFERROR(__xludf.DUMMYFUNCTION("""COMPUTED_VALUE"""),"142298;INF109KC1374;-;ICICI Prudential Fixed Maturity Plan - Series 82 - 1187 Days Plan F - Cumulative Option;12.7884;30-Apr-2021")</f>
        <v>142298;INF109KC1374;-;ICICI Prudential Fixed Maturity Plan - Series 82 - 1187 Days Plan F - Cumulative Option;12.7884;30-Apr-2021</v>
      </c>
      <c r="B12017" s="1"/>
    </row>
    <row r="12018">
      <c r="A12018" s="1" t="str">
        <f>IFERROR(__xludf.DUMMYFUNCTION("""COMPUTED_VALUE"""),"142299;INF109KC1408;-;ICICI Prudential Fixed Maturity Plan - Series 82 - 1187 Days Plan F - Direct Plan Cumulative Option;12.9109;30-Apr-2021")</f>
        <v>142299;INF109KC1408;-;ICICI Prudential Fixed Maturity Plan - Series 82 - 1187 Days Plan F - Direct Plan Cumulative Option;12.9109;30-Apr-2021</v>
      </c>
      <c r="B12018" s="1"/>
    </row>
    <row r="12019">
      <c r="A12019" s="1" t="str">
        <f>IFERROR(__xludf.DUMMYFUNCTION("""COMPUTED_VALUE"""),"142294;INF109KC1424;-;ICICI Prudential Fixed Maturity Plan - Series 82 - 1187 Days Plan F - Direct Plan Quarterly IDCW Option;12.9109;30-Apr-2021")</f>
        <v>142294;INF109KC1424;-;ICICI Prudential Fixed Maturity Plan - Series 82 - 1187 Days Plan F - Direct Plan Quarterly IDCW Option;12.9109;30-Apr-2021</v>
      </c>
      <c r="B12019" s="1"/>
    </row>
    <row r="12020">
      <c r="A12020" s="1" t="str">
        <f>IFERROR(__xludf.DUMMYFUNCTION("""COMPUTED_VALUE"""),"142295;INF109KC1382;-;ICICI Prudential Fixed Maturity Plan - Series 82 - 1187 Days Plan F - Half Yearly IDCW Option;12.7883;30-Apr-2021")</f>
        <v>142295;INF109KC1382;-;ICICI Prudential Fixed Maturity Plan - Series 82 - 1187 Days Plan F - Half Yearly IDCW Option;12.7883;30-Apr-2021</v>
      </c>
      <c r="B12020" s="1"/>
    </row>
    <row r="12021">
      <c r="A12021" s="1" t="str">
        <f>IFERROR(__xludf.DUMMYFUNCTION("""COMPUTED_VALUE"""),"142297;INF109KC1390;-;ICICI Prudential Fixed Maturity Plan - Series 82 - 1187 Days Plan F - Quarterly IDCW Option;12.7884;30-Apr-2021")</f>
        <v>142297;INF109KC1390;-;ICICI Prudential Fixed Maturity Plan - Series 82 - 1187 Days Plan F - Quarterly IDCW Option;12.7884;30-Apr-2021</v>
      </c>
      <c r="B12021" s="1"/>
    </row>
    <row r="12022">
      <c r="A12022" s="1" t="str">
        <f>IFERROR(__xludf.DUMMYFUNCTION("""COMPUTED_VALUE"""),"142477;INF109KC1879;-;ICICI Prudential Fixed Maturity Plan - Series 82 - 1199 Days Plan L - Cumulative Option;12.6626;03-Jun-2021")</f>
        <v>142477;INF109KC1879;-;ICICI Prudential Fixed Maturity Plan - Series 82 - 1199 Days Plan L - Cumulative Option;12.6626;03-Jun-2021</v>
      </c>
      <c r="B12022" s="1"/>
    </row>
    <row r="12023">
      <c r="A12023" s="1" t="str">
        <f>IFERROR(__xludf.DUMMYFUNCTION("""COMPUTED_VALUE"""),"142478;INF109KC1903;-;ICICI Prudential Fixed Maturity Plan - Series 82 - 1199 Days Plan L - Direct Plan Cumulative Option;12.7141;03-Jun-2021")</f>
        <v>142478;INF109KC1903;-;ICICI Prudential Fixed Maturity Plan - Series 82 - 1199 Days Plan L - Direct Plan Cumulative Option;12.7141;03-Jun-2021</v>
      </c>
      <c r="B12023" s="1"/>
    </row>
    <row r="12024">
      <c r="A12024" s="1" t="str">
        <f>IFERROR(__xludf.DUMMYFUNCTION("""COMPUTED_VALUE"""),"142483;INF109KC1911;-;ICICI Prudential Fixed Maturity Plan - Series 82 - 1199 Days Plan L - Direct Plan Half Yearly IDCW Option;12.7134;03-Jun-2021")</f>
        <v>142483;INF109KC1911;-;ICICI Prudential Fixed Maturity Plan - Series 82 - 1199 Days Plan L - Direct Plan Half Yearly IDCW Option;12.7134;03-Jun-2021</v>
      </c>
      <c r="B12024" s="1"/>
    </row>
    <row r="12025">
      <c r="A12025" s="1" t="str">
        <f>IFERROR(__xludf.DUMMYFUNCTION("""COMPUTED_VALUE"""),"142481;INF109KC1887;-;ICICI Prudential Fixed Maturity Plan - Series 82 - 1199 Days Plan L - Half Yearly IDCW Option;12.6627;03-Jun-2021")</f>
        <v>142481;INF109KC1887;-;ICICI Prudential Fixed Maturity Plan - Series 82 - 1199 Days Plan L - Half Yearly IDCW Option;12.6627;03-Jun-2021</v>
      </c>
      <c r="B12025" s="1"/>
    </row>
    <row r="12026">
      <c r="A12026" s="1" t="str">
        <f>IFERROR(__xludf.DUMMYFUNCTION("""COMPUTED_VALUE"""),"142463;INF109KC1812;-;ICICI Prudential Fixed Maturity Plan - Series 82 - 1203 Days Plan K - Cumulative Option;12.6555;01-Jun-2021")</f>
        <v>142463;INF109KC1812;-;ICICI Prudential Fixed Maturity Plan - Series 82 - 1203 Days Plan K - Cumulative Option;12.6555;01-Jun-2021</v>
      </c>
      <c r="B12026" s="1"/>
    </row>
    <row r="12027">
      <c r="A12027" s="1" t="str">
        <f>IFERROR(__xludf.DUMMYFUNCTION("""COMPUTED_VALUE"""),"142465;INF109KC1846;-;ICICI Prudential Fixed Maturity Plan - Series 82 - 1203 Days Plan K - Direct Plan Cumulative Option;12.7054;01-Jun-2021")</f>
        <v>142465;INF109KC1846;-;ICICI Prudential Fixed Maturity Plan - Series 82 - 1203 Days Plan K - Direct Plan Cumulative Option;12.7054;01-Jun-2021</v>
      </c>
      <c r="B12027" s="1"/>
    </row>
    <row r="12028">
      <c r="A12028" s="1" t="str">
        <f>IFERROR(__xludf.DUMMYFUNCTION("""COMPUTED_VALUE"""),"142468;INF109KC1861;-;ICICI Prudential Fixed Maturity Plan - Series 82 - 1203 Days Plan K - Direct Plan Quarterly IDCW Option;12.7054;01-Jun-2021")</f>
        <v>142468;INF109KC1861;-;ICICI Prudential Fixed Maturity Plan - Series 82 - 1203 Days Plan K - Direct Plan Quarterly IDCW Option;12.7054;01-Jun-2021</v>
      </c>
      <c r="B12028" s="1"/>
    </row>
    <row r="12029">
      <c r="A12029" s="1" t="str">
        <f>IFERROR(__xludf.DUMMYFUNCTION("""COMPUTED_VALUE"""),"142469;INF109KC1820;-;ICICI Prudential Fixed Maturity Plan - Series 82 - 1203 Days Plan K - Half Yearly IDCW Option;12.6557;01-Jun-2021")</f>
        <v>142469;INF109KC1820;-;ICICI Prudential Fixed Maturity Plan - Series 82 - 1203 Days Plan K - Half Yearly IDCW Option;12.6557;01-Jun-2021</v>
      </c>
      <c r="B12029" s="1"/>
    </row>
    <row r="12030">
      <c r="A12030" s="1" t="str">
        <f>IFERROR(__xludf.DUMMYFUNCTION("""COMPUTED_VALUE"""),"142467;INF109KC1838;-;ICICI Prudential Fixed Maturity Plan - Series 82 - 1203 Days Plan K - Quarterly IDCW Option;12.6554;01-Jun-2021")</f>
        <v>142467;INF109KC1838;-;ICICI Prudential Fixed Maturity Plan - Series 82 - 1203 Days Plan K - Quarterly IDCW Option;12.6554;01-Jun-2021</v>
      </c>
      <c r="B12030" s="1"/>
    </row>
    <row r="12031">
      <c r="A12031" s="1" t="str">
        <f>IFERROR(__xludf.DUMMYFUNCTION("""COMPUTED_VALUE"""),"142334;INF109KC1499;-;ICICI Prudential Fixed Maturity Plan - Series 82 - 1215 Days Plan H - Cumulative Option;12.6981;31-May-2021")</f>
        <v>142334;INF109KC1499;-;ICICI Prudential Fixed Maturity Plan - Series 82 - 1215 Days Plan H - Cumulative Option;12.6981;31-May-2021</v>
      </c>
      <c r="B12031" s="1"/>
    </row>
    <row r="12032">
      <c r="A12032" s="1" t="str">
        <f>IFERROR(__xludf.DUMMYFUNCTION("""COMPUTED_VALUE"""),"142339;INF109KC1523;-;ICICI Prudential Fixed Maturity Plan - Series 82 - 1215 Days Plan H - Direct Plan Cumulative Option;12.7501;31-May-2021")</f>
        <v>142339;INF109KC1523;-;ICICI Prudential Fixed Maturity Plan - Series 82 - 1215 Days Plan H - Direct Plan Cumulative Option;12.7501;31-May-2021</v>
      </c>
      <c r="B12032" s="1"/>
    </row>
    <row r="12033">
      <c r="A12033" s="1" t="str">
        <f>IFERROR(__xludf.DUMMYFUNCTION("""COMPUTED_VALUE"""),"142341;INF109KC1531;-;ICICI Prudential Fixed Maturity Plan - Series 82 - 1215 Days Plan H - Direct Plan Half Yearly IDCW Option;12.7500;31-May-2021")</f>
        <v>142341;INF109KC1531;-;ICICI Prudential Fixed Maturity Plan - Series 82 - 1215 Days Plan H - Direct Plan Half Yearly IDCW Option;12.7500;31-May-2021</v>
      </c>
      <c r="B12033" s="1"/>
    </row>
    <row r="12034">
      <c r="A12034" s="1" t="str">
        <f>IFERROR(__xludf.DUMMYFUNCTION("""COMPUTED_VALUE"""),"142336;INF109KC1549;-;ICICI Prudential Fixed Maturity Plan - Series 82 - 1215 Days Plan H - Direct Plan Quarterly IDCW Option;12.7503;31-May-2021")</f>
        <v>142336;INF109KC1549;-;ICICI Prudential Fixed Maturity Plan - Series 82 - 1215 Days Plan H - Direct Plan Quarterly IDCW Option;12.7503;31-May-2021</v>
      </c>
      <c r="B12034" s="1"/>
    </row>
    <row r="12035">
      <c r="A12035" s="1" t="str">
        <f>IFERROR(__xludf.DUMMYFUNCTION("""COMPUTED_VALUE"""),"142337;INF109KC1507;-;ICICI Prudential Fixed Maturity Plan - Series 82 - 1215 Days Plan H - Half Yearly IDCW Option;12.6980;31-May-2021")</f>
        <v>142337;INF109KC1507;-;ICICI Prudential Fixed Maturity Plan - Series 82 - 1215 Days Plan H - Half Yearly IDCW Option;12.6980;31-May-2021</v>
      </c>
      <c r="B12035" s="1"/>
    </row>
    <row r="12036">
      <c r="A12036" s="1" t="str">
        <f>IFERROR(__xludf.DUMMYFUNCTION("""COMPUTED_VALUE"""),"142340;INF109KC1515;-;ICICI Prudential Fixed Maturity Plan - Series 82 - 1215 Days Plan H - Quarterly IDCW Option;12.6982;31-May-2021")</f>
        <v>142340;INF109KC1515;-;ICICI Prudential Fixed Maturity Plan - Series 82 - 1215 Days Plan H - Quarterly IDCW Option;12.6982;31-May-2021</v>
      </c>
      <c r="B12036" s="1"/>
    </row>
    <row r="12037">
      <c r="A12037" s="1" t="str">
        <f>IFERROR(__xludf.DUMMYFUNCTION("""COMPUTED_VALUE"""),"142155;INF109KC1119;-;ICICI Prudential Fixed Maturity Plan - Series 82 - 1217 Days Plan C - Cumulative Option;12.6114;04-May-2021")</f>
        <v>142155;INF109KC1119;-;ICICI Prudential Fixed Maturity Plan - Series 82 - 1217 Days Plan C - Cumulative Option;12.6114;04-May-2021</v>
      </c>
      <c r="B12037" s="1"/>
    </row>
    <row r="12038">
      <c r="A12038" s="1" t="str">
        <f>IFERROR(__xludf.DUMMYFUNCTION("""COMPUTED_VALUE"""),"142156;INF109KC1143;-;ICICI Prudential Fixed Maturity Plan - Series 82 - 1217 Days Plan C - Direct Plan Cumulative Option;12.6811;04-May-2021")</f>
        <v>142156;INF109KC1143;-;ICICI Prudential Fixed Maturity Plan - Series 82 - 1217 Days Plan C - Direct Plan Cumulative Option;12.6811;04-May-2021</v>
      </c>
      <c r="B12038" s="1"/>
    </row>
    <row r="12039">
      <c r="A12039" s="1" t="str">
        <f>IFERROR(__xludf.DUMMYFUNCTION("""COMPUTED_VALUE"""),"142162;INF109KC1150;-;ICICI Prudential Fixed Maturity Plan - Series 82 - 1217 Days Plan C - Direct Plan Half Yearly IDCW Option;12.6784;04-May-2021")</f>
        <v>142162;INF109KC1150;-;ICICI Prudential Fixed Maturity Plan - Series 82 - 1217 Days Plan C - Direct Plan Half Yearly IDCW Option;12.6784;04-May-2021</v>
      </c>
      <c r="B12039" s="1"/>
    </row>
    <row r="12040">
      <c r="A12040" s="1" t="str">
        <f>IFERROR(__xludf.DUMMYFUNCTION("""COMPUTED_VALUE"""),"142159;INF109KC1168;-;ICICI Prudential Fixed Maturity Plan - Series 82 - 1217 Days Plan C - Direct Plan Quarterly IDCW Option;12.6811;04-May-2021")</f>
        <v>142159;INF109KC1168;-;ICICI Prudential Fixed Maturity Plan - Series 82 - 1217 Days Plan C - Direct Plan Quarterly IDCW Option;12.6811;04-May-2021</v>
      </c>
      <c r="B12040" s="1"/>
    </row>
    <row r="12041">
      <c r="A12041" s="1" t="str">
        <f>IFERROR(__xludf.DUMMYFUNCTION("""COMPUTED_VALUE"""),"142158;INF109KC1127;-;ICICI Prudential Fixed Maturity Plan - Series 82 - 1217 Days Plan C - Half Yearly IDCW Option;12.6113;04-May-2021")</f>
        <v>142158;INF109KC1127;-;ICICI Prudential Fixed Maturity Plan - Series 82 - 1217 Days Plan C - Half Yearly IDCW Option;12.6113;04-May-2021</v>
      </c>
      <c r="B12041" s="1"/>
    </row>
    <row r="12042">
      <c r="A12042" s="1" t="str">
        <f>IFERROR(__xludf.DUMMYFUNCTION("""COMPUTED_VALUE"""),"142161;INF109KC1135;-;ICICI Prudential Fixed Maturity Plan - Series 82 - 1217 Days Plan C - Quarterly IDCW Option;12.6114;04-May-2021")</f>
        <v>142161;INF109KC1135;-;ICICI Prudential Fixed Maturity Plan - Series 82 - 1217 Days Plan C - Quarterly IDCW Option;12.6114;04-May-2021</v>
      </c>
      <c r="B12042" s="1"/>
    </row>
    <row r="12043">
      <c r="A12043" s="1" t="str">
        <f>IFERROR(__xludf.DUMMYFUNCTION("""COMPUTED_VALUE"""),"142233;INF109KC1176;-;ICICI Prudential Fixed Maturity Plan - Series 82 - 1219 Days Plan D - Cumulative Option;12.6582;14-May-2021")</f>
        <v>142233;INF109KC1176;-;ICICI Prudential Fixed Maturity Plan - Series 82 - 1219 Days Plan D - Cumulative Option;12.6582;14-May-2021</v>
      </c>
      <c r="B12043" s="1"/>
    </row>
    <row r="12044">
      <c r="A12044" s="1" t="str">
        <f>IFERROR(__xludf.DUMMYFUNCTION("""COMPUTED_VALUE"""),"142234;INF109KC1200;-;ICICI Prudential Fixed Maturity Plan - Series 82 - 1219 Days Plan D - Direct Plan Cumulative Option;12.7258;14-May-2021")</f>
        <v>142234;INF109KC1200;-;ICICI Prudential Fixed Maturity Plan - Series 82 - 1219 Days Plan D - Direct Plan Cumulative Option;12.7258;14-May-2021</v>
      </c>
      <c r="B12044" s="1"/>
    </row>
    <row r="12045">
      <c r="A12045" s="1" t="str">
        <f>IFERROR(__xludf.DUMMYFUNCTION("""COMPUTED_VALUE"""),"142237;INF109KC1226;-;ICICI Prudential Fixed Maturity Plan - Series 82 - 1219 Days Plan D - Direct Plan Quarterly IDCW Option;12.7258;14-May-2021")</f>
        <v>142237;INF109KC1226;-;ICICI Prudential Fixed Maturity Plan - Series 82 - 1219 Days Plan D - Direct Plan Quarterly IDCW Option;12.7258;14-May-2021</v>
      </c>
      <c r="B12045" s="1"/>
    </row>
    <row r="12046">
      <c r="A12046" s="1" t="str">
        <f>IFERROR(__xludf.DUMMYFUNCTION("""COMPUTED_VALUE"""),"142236;INF109KC1184;-;ICICI Prudential Fixed Maturity Plan - Series 82 - 1219 Days Plan D - Half Yearly IDCW Option;12.6499;14-May-2021")</f>
        <v>142236;INF109KC1184;-;ICICI Prudential Fixed Maturity Plan - Series 82 - 1219 Days Plan D - Half Yearly IDCW Option;12.6499;14-May-2021</v>
      </c>
      <c r="B12046" s="1"/>
    </row>
    <row r="12047">
      <c r="A12047" s="1" t="str">
        <f>IFERROR(__xludf.DUMMYFUNCTION("""COMPUTED_VALUE"""),"142238;INF109KC1192;-;ICICI Prudential Fixed Maturity Plan - Series 82 - 1219 Days Plan D - Quarterly IDCW Option;12.6582;14-May-2021")</f>
        <v>142238;INF109KC1192;-;ICICI Prudential Fixed Maturity Plan - Series 82 - 1219 Days Plan D - Quarterly IDCW Option;12.6582;14-May-2021</v>
      </c>
      <c r="B12047" s="1"/>
    </row>
    <row r="12048">
      <c r="A12048" s="1" t="str">
        <f>IFERROR(__xludf.DUMMYFUNCTION("""COMPUTED_VALUE"""),"142267;INF109KC1275;-;ICICI Prudential Fixed Maturity Plan - Series 82 - 1223 Days Plan E - Cumulative Option;12.6311;24-May-2021")</f>
        <v>142267;INF109KC1275;-;ICICI Prudential Fixed Maturity Plan - Series 82 - 1223 Days Plan E - Cumulative Option;12.6311;24-May-2021</v>
      </c>
      <c r="B12048" s="1"/>
    </row>
    <row r="12049">
      <c r="A12049" s="1" t="str">
        <f>IFERROR(__xludf.DUMMYFUNCTION("""COMPUTED_VALUE"""),"142266;INF109KC1309;-;ICICI Prudential Fixed Maturity Plan - Series 82 - 1223 Days Plan E - Direct Plan Cumulative Option;12.6987;24-May-2021")</f>
        <v>142266;INF109KC1309;-;ICICI Prudential Fixed Maturity Plan - Series 82 - 1223 Days Plan E - Direct Plan Cumulative Option;12.6987;24-May-2021</v>
      </c>
      <c r="B12049" s="1"/>
    </row>
    <row r="12050">
      <c r="A12050" s="1" t="str">
        <f>IFERROR(__xludf.DUMMYFUNCTION("""COMPUTED_VALUE"""),"142262;INF109KC1317;-;ICICI Prudential Fixed Maturity Plan - Series 82 - 1223 Days Plan E - Direct Plan Half Yearly IDCW Option;12.6988;24-May-2021")</f>
        <v>142262;INF109KC1317;-;ICICI Prudential Fixed Maturity Plan - Series 82 - 1223 Days Plan E - Direct Plan Half Yearly IDCW Option;12.6988;24-May-2021</v>
      </c>
      <c r="B12050" s="1"/>
    </row>
    <row r="12051">
      <c r="A12051" s="1" t="str">
        <f>IFERROR(__xludf.DUMMYFUNCTION("""COMPUTED_VALUE"""),"142265;INF109KC1325;-;ICICI Prudential Fixed Maturity Plan - Series 82 - 1223 Days Plan E - Direct Plan Quarterly IDCW Option;12.6987;24-May-2021")</f>
        <v>142265;INF109KC1325;-;ICICI Prudential Fixed Maturity Plan - Series 82 - 1223 Days Plan E - Direct Plan Quarterly IDCW Option;12.6987;24-May-2021</v>
      </c>
      <c r="B12051" s="1"/>
    </row>
    <row r="12052">
      <c r="A12052" s="1" t="str">
        <f>IFERROR(__xludf.DUMMYFUNCTION("""COMPUTED_VALUE"""),"142261;INF109KC1283;-;ICICI Prudential Fixed Maturity Plan - Series 82 - 1223 Days Plan E - Half Yearly IDCW Option;12.6307;24-May-2021")</f>
        <v>142261;INF109KC1283;-;ICICI Prudential Fixed Maturity Plan - Series 82 - 1223 Days Plan E - Half Yearly IDCW Option;12.6307;24-May-2021</v>
      </c>
      <c r="B12052" s="1"/>
    </row>
    <row r="12053">
      <c r="A12053" s="1" t="str">
        <f>IFERROR(__xludf.DUMMYFUNCTION("""COMPUTED_VALUE"""),"142264;INF109KC1291;-;ICICI Prudential Fixed Maturity Plan - Series 82 - 1223 Days Plan E - Quarterly IDCW Option;12.6311;24-May-2021")</f>
        <v>142264;INF109KC1291;-;ICICI Prudential Fixed Maturity Plan - Series 82 - 1223 Days Plan E - Quarterly IDCW Option;12.6311;24-May-2021</v>
      </c>
      <c r="B12053" s="1"/>
    </row>
    <row r="12054">
      <c r="A12054" s="1" t="str">
        <f>IFERROR(__xludf.DUMMYFUNCTION("""COMPUTED_VALUE"""),"142352;INF109KC1432;-;ICICI Prudential Fixed Maturity Plan - Series 82 - 1223 Days Plan G - Cumulative Option;12.6569;31-May-2021")</f>
        <v>142352;INF109KC1432;-;ICICI Prudential Fixed Maturity Plan - Series 82 - 1223 Days Plan G - Cumulative Option;12.6569;31-May-2021</v>
      </c>
      <c r="B12054" s="1"/>
    </row>
    <row r="12055">
      <c r="A12055" s="1" t="str">
        <f>IFERROR(__xludf.DUMMYFUNCTION("""COMPUTED_VALUE"""),"142357;INF109KC1465;-;ICICI Prudential Fixed Maturity Plan - Series 82 - 1223 Days Plan G - Direct Plan Cumulative Option;12.7102;31-May-2021")</f>
        <v>142357;INF109KC1465;-;ICICI Prudential Fixed Maturity Plan - Series 82 - 1223 Days Plan G - Direct Plan Cumulative Option;12.7102;31-May-2021</v>
      </c>
      <c r="B12055" s="1"/>
    </row>
    <row r="12056">
      <c r="A12056" s="1" t="str">
        <f>IFERROR(__xludf.DUMMYFUNCTION("""COMPUTED_VALUE"""),"142359;INF109KC1473;-;ICICI Prudential Fixed Maturity Plan - Series 82 - 1223 Days Plan G - Direct Plan Half Yearly IDCW Option;12.7102;31-May-2021")</f>
        <v>142359;INF109KC1473;-;ICICI Prudential Fixed Maturity Plan - Series 82 - 1223 Days Plan G - Direct Plan Half Yearly IDCW Option;12.7102;31-May-2021</v>
      </c>
      <c r="B12056" s="1"/>
    </row>
    <row r="12057">
      <c r="A12057" s="1" t="str">
        <f>IFERROR(__xludf.DUMMYFUNCTION("""COMPUTED_VALUE"""),"142358;INF109KC1440;-;ICICI Prudential Fixed Maturity Plan - Series 82 - 1223 Days Plan G - Half Yearly IDCW Option;12.6569;31-May-2021")</f>
        <v>142358;INF109KC1440;-;ICICI Prudential Fixed Maturity Plan - Series 82 - 1223 Days Plan G - Half Yearly IDCW Option;12.6569;31-May-2021</v>
      </c>
      <c r="B12057" s="1"/>
    </row>
    <row r="12058">
      <c r="A12058" s="1" t="str">
        <f>IFERROR(__xludf.DUMMYFUNCTION("""COMPUTED_VALUE"""),"142355;INF109KC1457;-;ICICI Prudential Fixed Maturity Plan - Series 82 - 1223 Days Plan G - Quarterly IDCW Option;12.6566;31-May-2021")</f>
        <v>142355;INF109KC1457;-;ICICI Prudential Fixed Maturity Plan - Series 82 - 1223 Days Plan G - Quarterly IDCW Option;12.6566;31-May-2021</v>
      </c>
      <c r="B12058" s="1"/>
    </row>
    <row r="12059">
      <c r="A12059" s="1" t="str">
        <f>IFERROR(__xludf.DUMMYFUNCTION("""COMPUTED_VALUE"""),"142125;INF109KC1010;-;ICICI Prudential Fixed Maturity Plan - Series 82 - 1225 Days Plan B - Cumulative Option;12.6337;04-May-2021")</f>
        <v>142125;INF109KC1010;-;ICICI Prudential Fixed Maturity Plan - Series 82 - 1225 Days Plan B - Cumulative Option;12.6337;04-May-2021</v>
      </c>
      <c r="B12059" s="1"/>
    </row>
    <row r="12060">
      <c r="A12060" s="1" t="str">
        <f>IFERROR(__xludf.DUMMYFUNCTION("""COMPUTED_VALUE"""),"142126;INF109KC1044;-;ICICI Prudential Fixed Maturity Plan - Series 82 - 1225 Days Plan B - Direct Plan Cumulative Option;12.7025;04-May-2021")</f>
        <v>142126;INF109KC1044;-;ICICI Prudential Fixed Maturity Plan - Series 82 - 1225 Days Plan B - Direct Plan Cumulative Option;12.7025;04-May-2021</v>
      </c>
      <c r="B12060" s="1"/>
    </row>
    <row r="12061">
      <c r="A12061" s="1" t="str">
        <f>IFERROR(__xludf.DUMMYFUNCTION("""COMPUTED_VALUE"""),"142132;INF109KC1069;-;ICICI Prudential Fixed Maturity Plan - Series 82 - 1225 Days Plan B - Direct Plan Half Yearly IDCW Option;12.7028;04-May-2021")</f>
        <v>142132;INF109KC1069;-;ICICI Prudential Fixed Maturity Plan - Series 82 - 1225 Days Plan B - Direct Plan Half Yearly IDCW Option;12.7028;04-May-2021</v>
      </c>
      <c r="B12061" s="1"/>
    </row>
    <row r="12062">
      <c r="A12062" s="1" t="str">
        <f>IFERROR(__xludf.DUMMYFUNCTION("""COMPUTED_VALUE"""),"142129;INF109KC1051;-;ICICI Prudential Fixed Maturity Plan - Series 82 - 1225 Days Plan B - Direct Plan Quarterly IDCW Option;12.7022;04-May-2021")</f>
        <v>142129;INF109KC1051;-;ICICI Prudential Fixed Maturity Plan - Series 82 - 1225 Days Plan B - Direct Plan Quarterly IDCW Option;12.7022;04-May-2021</v>
      </c>
      <c r="B12062" s="1"/>
    </row>
    <row r="12063">
      <c r="A12063" s="1" t="str">
        <f>IFERROR(__xludf.DUMMYFUNCTION("""COMPUTED_VALUE"""),"142131;INF109KC1036;-;ICICI Prudential Fixed Maturity Plan - Series 82 - 1225 Days Plan B - Half Yearly IDCW Option;12.6337;04-May-2021")</f>
        <v>142131;INF109KC1036;-;ICICI Prudential Fixed Maturity Plan - Series 82 - 1225 Days Plan B - Half Yearly IDCW Option;12.6337;04-May-2021</v>
      </c>
      <c r="B12063" s="1"/>
    </row>
    <row r="12064">
      <c r="A12064" s="1" t="str">
        <f>IFERROR(__xludf.DUMMYFUNCTION("""COMPUTED_VALUE"""),"142130;INF109KC1028;-;ICICI Prudential Fixed Maturity Plan - Series 82 - 1225 Days Plan B - Quarterly IDCW Option;12.6336;04-May-2021")</f>
        <v>142130;INF109KC1028;-;ICICI Prudential Fixed Maturity Plan - Series 82 - 1225 Days Plan B - Quarterly IDCW Option;12.6336;04-May-2021</v>
      </c>
      <c r="B12064" s="1"/>
    </row>
    <row r="12065">
      <c r="A12065" s="1" t="str">
        <f>IFERROR(__xludf.DUMMYFUNCTION("""COMPUTED_VALUE"""),"142017;INF109KB10Z5;-;ICICI Prudential Fixed Maturity Plan - Series 82 - 1236 Days Plan A - Cumulative Option;12.6338;26-Apr-2021")</f>
        <v>142017;INF109KB10Z5;-;ICICI Prudential Fixed Maturity Plan - Series 82 - 1236 Days Plan A - Cumulative Option;12.6338;26-Apr-2021</v>
      </c>
      <c r="B12065" s="1"/>
    </row>
    <row r="12066">
      <c r="A12066" s="1" t="str">
        <f>IFERROR(__xludf.DUMMYFUNCTION("""COMPUTED_VALUE"""),"142020;INF109KB13Z9;-;ICICI Prudential Fixed Maturity Plan - Series 82 - 1236 Days Plan A - Direct Plan Cumulative Option;12.6677;26-Apr-2021")</f>
        <v>142020;INF109KB13Z9;-;ICICI Prudential Fixed Maturity Plan - Series 82 - 1236 Days Plan A - Direct Plan Cumulative Option;12.6677;26-Apr-2021</v>
      </c>
      <c r="B12066" s="1"/>
    </row>
    <row r="12067">
      <c r="A12067" s="1" t="str">
        <f>IFERROR(__xludf.DUMMYFUNCTION("""COMPUTED_VALUE"""),"142070;INF109KB14Z7;-;ICICI Prudential Fixed Maturity Plan - Series 82 - 1236 Days Plan A - Direct Plan Half Yearly IDCW Option;12.6676;26-Apr-2021")</f>
        <v>142070;INF109KB14Z7;-;ICICI Prudential Fixed Maturity Plan - Series 82 - 1236 Days Plan A - Direct Plan Half Yearly IDCW Option;12.6676;26-Apr-2021</v>
      </c>
      <c r="B12067" s="1"/>
    </row>
    <row r="12068">
      <c r="A12068" s="1" t="str">
        <f>IFERROR(__xludf.DUMMYFUNCTION("""COMPUTED_VALUE"""),"142068;INF109KB15Z4;-;ICICI Prudential Fixed Maturity Plan - Series 82 - 1236 Days Plan A - Direct Plan Quarterly IDCW Option;12.6667;26-Apr-2021")</f>
        <v>142068;INF109KB15Z4;-;ICICI Prudential Fixed Maturity Plan - Series 82 - 1236 Days Plan A - Direct Plan Quarterly IDCW Option;12.6667;26-Apr-2021</v>
      </c>
      <c r="B12068" s="1"/>
    </row>
    <row r="12069">
      <c r="A12069" s="1" t="str">
        <f>IFERROR(__xludf.DUMMYFUNCTION("""COMPUTED_VALUE"""),"142069;INF109KB11Z3;-;ICICI Prudential Fixed Maturity Plan - Series 82 - 1236 Days Plan A - Half Yearly IDCW Option;12.6335;26-Apr-2021")</f>
        <v>142069;INF109KB11Z3;-;ICICI Prudential Fixed Maturity Plan - Series 82 - 1236 Days Plan A - Half Yearly IDCW Option;12.6335;26-Apr-2021</v>
      </c>
      <c r="B12069" s="1"/>
    </row>
    <row r="12070">
      <c r="A12070" s="1" t="str">
        <f>IFERROR(__xludf.DUMMYFUNCTION("""COMPUTED_VALUE"""),"142067;INF109KB12Z1;-;ICICI Prudential Fixed Maturity Plan - Series 82 - 1236 Days Plan A - Quarterly IDCW Option;12.6338;26-Apr-2021")</f>
        <v>142067;INF109KB12Z1;-;ICICI Prudential Fixed Maturity Plan - Series 82 - 1236 Days Plan A - Quarterly IDCW Option;12.6338;26-Apr-2021</v>
      </c>
      <c r="B12070" s="1"/>
    </row>
    <row r="12071">
      <c r="A12071" s="1" t="str">
        <f>IFERROR(__xludf.DUMMYFUNCTION("""COMPUTED_VALUE"""),"143386;INF109KC1DM9;-;ICICI Prudential Fixed Maturity Plan - Series 82 - 91 Days Plan Z - Cumulative Option;10.1971;23-Aug-2018")</f>
        <v>143386;INF109KC1DM9;-;ICICI Prudential Fixed Maturity Plan - Series 82 - 91 Days Plan Z - Cumulative Option;10.1971;23-Aug-2018</v>
      </c>
      <c r="B12071" s="1"/>
    </row>
    <row r="12072">
      <c r="A12072" s="1" t="str">
        <f>IFERROR(__xludf.DUMMYFUNCTION("""COMPUTED_VALUE"""),"143387;INF109KC1DO5;-;ICICI Prudential Fixed Maturity Plan - Series 82 - 91 Days Plan Z - Direct Plan Cumulative Option;10.203;23-Aug-2018")</f>
        <v>143387;INF109KC1DO5;-;ICICI Prudential Fixed Maturity Plan - Series 82 - 91 Days Plan Z - Direct Plan Cumulative Option;10.203;23-Aug-2018</v>
      </c>
      <c r="B12072" s="1"/>
    </row>
    <row r="12073">
      <c r="A12073" s="1" t="str">
        <f>IFERROR(__xludf.DUMMYFUNCTION("""COMPUTED_VALUE"""),"143384;INF109KC1DP2;-;ICICI Prudential Fixed Maturity Plan - Series 82 - 91 Days Plan Z - Direct Plan Dividend Option;10.203;23-Aug-2018")</f>
        <v>143384;INF109KC1DP2;-;ICICI Prudential Fixed Maturity Plan - Series 82 - 91 Days Plan Z - Direct Plan Dividend Option;10.203;23-Aug-2018</v>
      </c>
      <c r="B12073" s="1"/>
    </row>
    <row r="12074">
      <c r="A12074" s="1" t="str">
        <f>IFERROR(__xludf.DUMMYFUNCTION("""COMPUTED_VALUE"""),"143385;INF109KC1DN7;-;ICICI Prudential Fixed Maturity Plan - Series 82 - 91 Days Plan Z - Dividend Option;10.1971;23-Aug-2018")</f>
        <v>143385;INF109KC1DN7;-;ICICI Prudential Fixed Maturity Plan - Series 82 - 91 Days Plan Z - Dividend Option;10.1971;23-Aug-2018</v>
      </c>
      <c r="B12074" s="1"/>
    </row>
    <row r="12075">
      <c r="A12075" s="1" t="str">
        <f>IFERROR(__xludf.DUMMYFUNCTION("""COMPUTED_VALUE"""),"144072;INF109KC1HG2;-;ICICI Prudential Fixed Maturity Plan - Series 83 - 1100 Days Plan O - Cumulative Option;12.5505;08-Jul-2021")</f>
        <v>144072;INF109KC1HG2;-;ICICI Prudential Fixed Maturity Plan - Series 83 - 1100 Days Plan O - Cumulative Option;12.5505;08-Jul-2021</v>
      </c>
      <c r="B12075" s="1"/>
    </row>
    <row r="12076">
      <c r="A12076" s="1" t="str">
        <f>IFERROR(__xludf.DUMMYFUNCTION("""COMPUTED_VALUE"""),"144065;INF109KC1HJ6;-;ICICI Prudential Fixed Maturity Plan - Series 83 - 1100 Days Plan O - Direct Plan Cumulative Option;12.6641;08-Jul-2021")</f>
        <v>144065;INF109KC1HJ6;-;ICICI Prudential Fixed Maturity Plan - Series 83 - 1100 Days Plan O - Direct Plan Cumulative Option;12.6641;08-Jul-2021</v>
      </c>
      <c r="B12076" s="1"/>
    </row>
    <row r="12077">
      <c r="A12077" s="1" t="str">
        <f>IFERROR(__xludf.DUMMYFUNCTION("""COMPUTED_VALUE"""),"144301;INF109KC1HU3;-;ICICI Prudential Fixed Maturity Plan - Series 83 - 1100 Days Plan R - Cumulative Option;12.5706;22-Jul-2021")</f>
        <v>144301;INF109KC1HU3;-;ICICI Prudential Fixed Maturity Plan - Series 83 - 1100 Days Plan R - Cumulative Option;12.5706;22-Jul-2021</v>
      </c>
      <c r="B12077" s="1"/>
    </row>
    <row r="12078">
      <c r="A12078" s="1" t="str">
        <f>IFERROR(__xludf.DUMMYFUNCTION("""COMPUTED_VALUE"""),"144302;INF109KC1HX7;-;ICICI Prudential Fixed Maturity Plan - Series 83 - 1100 Days Plan R - Direct Plan Cumulative Option;12.6552;22-Jul-2021")</f>
        <v>144302;INF109KC1HX7;-;ICICI Prudential Fixed Maturity Plan - Series 83 - 1100 Days Plan R - Direct Plan Cumulative Option;12.6552;22-Jul-2021</v>
      </c>
      <c r="B12078" s="1"/>
    </row>
    <row r="12079">
      <c r="A12079" s="1" t="str">
        <f>IFERROR(__xludf.DUMMYFUNCTION("""COMPUTED_VALUE"""),"144308;INF109KC1HV1;-;ICICI Prudential Fixed Maturity Plan - Series 83 - 1100 Days Plan R - Quarterly IDCW Option;12.5732;22-Jul-2021")</f>
        <v>144308;INF109KC1HV1;-;ICICI Prudential Fixed Maturity Plan - Series 83 - 1100 Days Plan R - Quarterly IDCW Option;12.5732;22-Jul-2021</v>
      </c>
      <c r="B12079" s="1"/>
    </row>
    <row r="12080">
      <c r="A12080" s="1" t="str">
        <f>IFERROR(__xludf.DUMMYFUNCTION("""COMPUTED_VALUE"""),"144380;INF109KC1IA3;-;ICICI Prudential Fixed Maturity Plan - Series 83 - 1100 Days Plan S - Cumulative Option;12.3502;05-Aug-2021")</f>
        <v>144380;INF109KC1IA3;-;ICICI Prudential Fixed Maturity Plan - Series 83 - 1100 Days Plan S - Cumulative Option;12.3502;05-Aug-2021</v>
      </c>
      <c r="B12080" s="1"/>
    </row>
    <row r="12081">
      <c r="A12081" s="1" t="str">
        <f>IFERROR(__xludf.DUMMYFUNCTION("""COMPUTED_VALUE"""),"144376;INF109KC1ID7;-;ICICI Prudential Fixed Maturity Plan - Series 83 - 1100 Days Plan S - Direct Plan Cumulative Option;12.4403;05-Aug-2021")</f>
        <v>144376;INF109KC1ID7;-;ICICI Prudential Fixed Maturity Plan - Series 83 - 1100 Days Plan S - Direct Plan Cumulative Option;12.4403;05-Aug-2021</v>
      </c>
      <c r="B12081" s="1"/>
    </row>
    <row r="12082">
      <c r="A12082" s="1" t="str">
        <f>IFERROR(__xludf.DUMMYFUNCTION("""COMPUTED_VALUE"""),"144378;INF109KC1IE5;-;ICICI Prudential Fixed Maturity Plan - Series 83 - 1100 Days Plan S - Direct Plan Quarterly IDCW Option;12.4361;05-Aug-2021")</f>
        <v>144378;INF109KC1IE5;-;ICICI Prudential Fixed Maturity Plan - Series 83 - 1100 Days Plan S - Direct Plan Quarterly IDCW Option;12.4361;05-Aug-2021</v>
      </c>
      <c r="B12082" s="1"/>
    </row>
    <row r="12083">
      <c r="A12083" s="1" t="str">
        <f>IFERROR(__xludf.DUMMYFUNCTION("""COMPUTED_VALUE"""),"144379;INF109KC1IC9;-;ICICI Prudential Fixed Maturity Plan - Series 83 - 1100 Days Plan S - Half Yearly IDCW Option;12.3502;05-Aug-2021")</f>
        <v>144379;INF109KC1IC9;-;ICICI Prudential Fixed Maturity Plan - Series 83 - 1100 Days Plan S - Half Yearly IDCW Option;12.3502;05-Aug-2021</v>
      </c>
      <c r="B12083" s="1"/>
    </row>
    <row r="12084">
      <c r="A12084" s="1" t="str">
        <f>IFERROR(__xludf.DUMMYFUNCTION("""COMPUTED_VALUE"""),"144377;INF109KC1IB1;-;ICICI Prudential Fixed Maturity Plan - Series 83 - 1100 Days Plan S - Quarterly IDCW Option;12.3502;05-Aug-2021")</f>
        <v>144377;INF109KC1IB1;-;ICICI Prudential Fixed Maturity Plan - Series 83 - 1100 Days Plan S - Quarterly IDCW Option;12.3502;05-Aug-2021</v>
      </c>
      <c r="B12084" s="1"/>
    </row>
    <row r="12085">
      <c r="A12085" s="1" t="str">
        <f>IFERROR(__xludf.DUMMYFUNCTION("""COMPUTED_VALUE"""),"144602;INF109KC1JL8;-;ICICI Prudential Fixed Maturity Plan - Series 83 - 1100 Days Plan X - Cumulative Option;12.5918;03-Sep-2021")</f>
        <v>144602;INF109KC1JL8;-;ICICI Prudential Fixed Maturity Plan - Series 83 - 1100 Days Plan X - Cumulative Option;12.5918;03-Sep-2021</v>
      </c>
      <c r="B12085" s="1"/>
    </row>
    <row r="12086">
      <c r="A12086" s="1" t="str">
        <f>IFERROR(__xludf.DUMMYFUNCTION("""COMPUTED_VALUE"""),"144603;INF109KC1JO2;-;ICICI Prudential Fixed Maturity Plan - Series 83 - 1100 Days Plan X - Direct Plan Cumulative Option;12.7088;03-Sep-2021")</f>
        <v>144603;INF109KC1JO2;-;ICICI Prudential Fixed Maturity Plan - Series 83 - 1100 Days Plan X - Direct Plan Cumulative Option;12.7088;03-Sep-2021</v>
      </c>
      <c r="B12086" s="1"/>
    </row>
    <row r="12087">
      <c r="A12087" s="1" t="str">
        <f>IFERROR(__xludf.DUMMYFUNCTION("""COMPUTED_VALUE"""),"144605;INF109KC1JQ7;-;ICICI Prudential Fixed Maturity Plan - Series 83 - 1100 Days Plan X - Direct Plan Half Yearly IDCW Option;12.7088;03-Sep-2021")</f>
        <v>144605;INF109KC1JQ7;-;ICICI Prudential Fixed Maturity Plan - Series 83 - 1100 Days Plan X - Direct Plan Half Yearly IDCW Option;12.7088;03-Sep-2021</v>
      </c>
      <c r="B12087" s="1"/>
    </row>
    <row r="12088">
      <c r="A12088" s="1" t="str">
        <f>IFERROR(__xludf.DUMMYFUNCTION("""COMPUTED_VALUE"""),"144606;INF109KC1JP9;-;ICICI Prudential Fixed Maturity Plan - Series 83 - 1100 Days Plan X - Direct Plan Quarterly IDCW Option;12.7088;03-Sep-2021")</f>
        <v>144606;INF109KC1JP9;-;ICICI Prudential Fixed Maturity Plan - Series 83 - 1100 Days Plan X - Direct Plan Quarterly IDCW Option;12.7088;03-Sep-2021</v>
      </c>
      <c r="B12088" s="1"/>
    </row>
    <row r="12089">
      <c r="A12089" s="1" t="str">
        <f>IFERROR(__xludf.DUMMYFUNCTION("""COMPUTED_VALUE"""),"144607;INF109KC1JN4;-;ICICI Prudential Fixed Maturity Plan - Series 83 - 1100 Days Plan X - Half Yearly IDCW Option;12.5918;03-Sep-2021")</f>
        <v>144607;INF109KC1JN4;-;ICICI Prudential Fixed Maturity Plan - Series 83 - 1100 Days Plan X - Half Yearly IDCW Option;12.5918;03-Sep-2021</v>
      </c>
      <c r="B12089" s="1"/>
    </row>
    <row r="12090">
      <c r="A12090" s="1" t="str">
        <f>IFERROR(__xludf.DUMMYFUNCTION("""COMPUTED_VALUE"""),"144604;INF109KC1JM6;-;ICICI Prudential Fixed Maturity Plan - Series 83 - 1100 Days Plan X - Quarterly IDCW Option;12.5918;03-Sep-2021")</f>
        <v>144604;INF109KC1JM6;-;ICICI Prudential Fixed Maturity Plan - Series 83 - 1100 Days Plan X - Quarterly IDCW Option;12.5918;03-Sep-2021</v>
      </c>
      <c r="B12090" s="1"/>
    </row>
    <row r="12091">
      <c r="A12091" s="1" t="str">
        <f>IFERROR(__xludf.DUMMYFUNCTION("""COMPUTED_VALUE"""),"144696;INF109KC1JX3;-;ICICI Prudential Fixed Maturity Plan - Series 83 - 1101 Days Plan Z - Cumulative Option;12.6190;15-Sep-2021")</f>
        <v>144696;INF109KC1JX3;-;ICICI Prudential Fixed Maturity Plan - Series 83 - 1101 Days Plan Z - Cumulative Option;12.6190;15-Sep-2021</v>
      </c>
      <c r="B12091" s="1"/>
    </row>
    <row r="12092">
      <c r="A12092" s="1" t="str">
        <f>IFERROR(__xludf.DUMMYFUNCTION("""COMPUTED_VALUE"""),"144697;INF109KC1KA9;-;ICICI Prudential Fixed Maturity Plan - Series 83 - 1101 Days Plan Z - Direct Plan Cumulative Option;12.7019;15-Sep-2021")</f>
        <v>144697;INF109KC1KA9;-;ICICI Prudential Fixed Maturity Plan - Series 83 - 1101 Days Plan Z - Direct Plan Cumulative Option;12.7019;15-Sep-2021</v>
      </c>
      <c r="B12092" s="1"/>
    </row>
    <row r="12093">
      <c r="A12093" s="1" t="str">
        <f>IFERROR(__xludf.DUMMYFUNCTION("""COMPUTED_VALUE"""),"144700;INF109KC1KC5;-;ICICI Prudential Fixed Maturity Plan - Series 83 - 1101 Days Plan Z - Direct Plan Half Yearly IDCW Option;12.7019;15-Sep-2021")</f>
        <v>144700;INF109KC1KC5;-;ICICI Prudential Fixed Maturity Plan - Series 83 - 1101 Days Plan Z - Direct Plan Half Yearly IDCW Option;12.7019;15-Sep-2021</v>
      </c>
      <c r="B12093" s="1"/>
    </row>
    <row r="12094">
      <c r="A12094" s="1" t="str">
        <f>IFERROR(__xludf.DUMMYFUNCTION("""COMPUTED_VALUE"""),"144701;INF109KC1KB7;-;ICICI Prudential Fixed Maturity Plan - Series 83 - 1101 Days Plan Z - Direct Plan Quarterly IDCW Option;12.7032;15-Sep-2021")</f>
        <v>144701;INF109KC1KB7;-;ICICI Prudential Fixed Maturity Plan - Series 83 - 1101 Days Plan Z - Direct Plan Quarterly IDCW Option;12.7032;15-Sep-2021</v>
      </c>
      <c r="B12094" s="1"/>
    </row>
    <row r="12095">
      <c r="A12095" s="1" t="str">
        <f>IFERROR(__xludf.DUMMYFUNCTION("""COMPUTED_VALUE"""),"144699;INF109KC1JZ8;-;ICICI Prudential Fixed Maturity Plan - Series 83 - 1101 Days Plan Z - Half Yearly IDCW Option;12.6188;15-Sep-2021")</f>
        <v>144699;INF109KC1JZ8;-;ICICI Prudential Fixed Maturity Plan - Series 83 - 1101 Days Plan Z - Half Yearly IDCW Option;12.6188;15-Sep-2021</v>
      </c>
      <c r="B12095" s="1"/>
    </row>
    <row r="12096">
      <c r="A12096" s="1" t="str">
        <f>IFERROR(__xludf.DUMMYFUNCTION("""COMPUTED_VALUE"""),"144698;INF109KC1JY1;-;ICICI Prudential Fixed Maturity Plan - Series 83 - 1101 Days Plan Z - Quarterly IDCW Option;12.6190;15-Sep-2021")</f>
        <v>144698;INF109KC1JY1;-;ICICI Prudential Fixed Maturity Plan - Series 83 - 1101 Days Plan Z - Quarterly IDCW Option;12.6190;15-Sep-2021</v>
      </c>
      <c r="B12096" s="1"/>
    </row>
    <row r="12097">
      <c r="A12097" s="1" t="str">
        <f>IFERROR(__xludf.DUMMYFUNCTION("""COMPUTED_VALUE"""),"143877;INF109KC1FY9;-;ICICI Prudential Fixed Maturity Plan - Series 83 - 1103 Days Plan L - Cumulative Option;12.6852;28-Jun-2021")</f>
        <v>143877;INF109KC1FY9;-;ICICI Prudential Fixed Maturity Plan - Series 83 - 1103 Days Plan L - Cumulative Option;12.6852;28-Jun-2021</v>
      </c>
      <c r="B12097" s="1"/>
    </row>
    <row r="12098">
      <c r="A12098" s="1" t="str">
        <f>IFERROR(__xludf.DUMMYFUNCTION("""COMPUTED_VALUE"""),"143878;INF109KC1GB5;-;ICICI Prudential Fixed Maturity Plan - Series 83 - 1103 Days Plan L - Direct Plan Cumulative Option;12.6971;28-Jun-2021")</f>
        <v>143878;INF109KC1GB5;-;ICICI Prudential Fixed Maturity Plan - Series 83 - 1103 Days Plan L - Direct Plan Cumulative Option;12.6971;28-Jun-2021</v>
      </c>
      <c r="B12098" s="1"/>
    </row>
    <row r="12099">
      <c r="A12099" s="1" t="str">
        <f>IFERROR(__xludf.DUMMYFUNCTION("""COMPUTED_VALUE"""),"143376;INF109KC1DA4;-;ICICI Prudential Fixed Maturity Plan - Series 83 - 1105 Days Plan A - Cumulative Option;12.5336;02-Jun-2021")</f>
        <v>143376;INF109KC1DA4;-;ICICI Prudential Fixed Maturity Plan - Series 83 - 1105 Days Plan A - Cumulative Option;12.5336;02-Jun-2021</v>
      </c>
      <c r="B12099" s="1"/>
    </row>
    <row r="12100">
      <c r="A12100" s="1" t="str">
        <f>IFERROR(__xludf.DUMMYFUNCTION("""COMPUTED_VALUE"""),"143380;INF109KC1DD8;-;ICICI Prudential Fixed Maturity Plan - Series 83 - 1105 Days Plan A - Direct Plan Cumulative Option;12.6481;02-Jun-2021")</f>
        <v>143380;INF109KC1DD8;-;ICICI Prudential Fixed Maturity Plan - Series 83 - 1105 Days Plan A - Direct Plan Cumulative Option;12.6481;02-Jun-2021</v>
      </c>
      <c r="B12100" s="1"/>
    </row>
    <row r="12101">
      <c r="A12101" s="1" t="str">
        <f>IFERROR(__xludf.DUMMYFUNCTION("""COMPUTED_VALUE"""),"143379;INF109KC1DF3;-;ICICI Prudential Fixed Maturity Plan - Series 83 - 1105 Days Plan A - Direct Plan Half Yearly IDCW Option;12.6481;02-Jun-2021")</f>
        <v>143379;INF109KC1DF3;-;ICICI Prudential Fixed Maturity Plan - Series 83 - 1105 Days Plan A - Direct Plan Half Yearly IDCW Option;12.6481;02-Jun-2021</v>
      </c>
      <c r="B12101" s="1"/>
    </row>
    <row r="12102">
      <c r="A12102" s="1" t="str">
        <f>IFERROR(__xludf.DUMMYFUNCTION("""COMPUTED_VALUE"""),"143381;INF109KC1DE6;-;ICICI Prudential Fixed Maturity Plan - Series 83 - 1105 Days Plan A - Direct Plan Quarterly IDCW Option;12.6481;02-Jun-2021")</f>
        <v>143381;INF109KC1DE6;-;ICICI Prudential Fixed Maturity Plan - Series 83 - 1105 Days Plan A - Direct Plan Quarterly IDCW Option;12.6481;02-Jun-2021</v>
      </c>
      <c r="B12102" s="1"/>
    </row>
    <row r="12103">
      <c r="A12103" s="1" t="str">
        <f>IFERROR(__xludf.DUMMYFUNCTION("""COMPUTED_VALUE"""),"143377;INF109KC1DC0;-;ICICI Prudential Fixed Maturity Plan - Series 83 - 1105 Days Plan A - Half Yearly IDCW Option;12.5339;02-Jun-2021")</f>
        <v>143377;INF109KC1DC0;-;ICICI Prudential Fixed Maturity Plan - Series 83 - 1105 Days Plan A - Half Yearly IDCW Option;12.5339;02-Jun-2021</v>
      </c>
      <c r="B12103" s="1"/>
    </row>
    <row r="12104">
      <c r="A12104" s="1" t="str">
        <f>IFERROR(__xludf.DUMMYFUNCTION("""COMPUTED_VALUE"""),"143382;INF109KC1DB2;-;ICICI Prudential Fixed Maturity Plan - Series 83 - 1105 Days Plan A - Quarterly IDCW Option;12.5336;02-Jun-2021")</f>
        <v>143382;INF109KC1DB2;-;ICICI Prudential Fixed Maturity Plan - Series 83 - 1105 Days Plan A - Quarterly IDCW Option;12.5336;02-Jun-2021</v>
      </c>
      <c r="B12104" s="1"/>
    </row>
    <row r="12105">
      <c r="A12105" s="1" t="str">
        <f>IFERROR(__xludf.DUMMYFUNCTION("""COMPUTED_VALUE"""),"143524;INF109KC1EO3;-;ICICI Prudential Fixed Maturity Plan - Series 83 - 1105 Days Plan F - Cumulative Option;12.5639;16-Jun-2021")</f>
        <v>143524;INF109KC1EO3;-;ICICI Prudential Fixed Maturity Plan - Series 83 - 1105 Days Plan F - Cumulative Option;12.5639;16-Jun-2021</v>
      </c>
      <c r="B12105" s="1"/>
    </row>
    <row r="12106">
      <c r="A12106" s="1" t="str">
        <f>IFERROR(__xludf.DUMMYFUNCTION("""COMPUTED_VALUE"""),"143520;INF109KC1ER6;-;ICICI Prudential Fixed Maturity Plan - Series 83 - 1105 Days Plan F - Direct Plan Cumulative Option;12.6774;16-Jun-2021")</f>
        <v>143520;INF109KC1ER6;-;ICICI Prudential Fixed Maturity Plan - Series 83 - 1105 Days Plan F - Direct Plan Cumulative Option;12.6774;16-Jun-2021</v>
      </c>
      <c r="B12106" s="1"/>
    </row>
    <row r="12107">
      <c r="A12107" s="1" t="str">
        <f>IFERROR(__xludf.DUMMYFUNCTION("""COMPUTED_VALUE"""),"143521;INF109KC1ET2;-;ICICI Prudential Fixed Maturity Plan - Series 83 - 1105 Days Plan F - Direct Plan Half Yearly IDCW Option;12.6774;16-Jun-2021")</f>
        <v>143521;INF109KC1ET2;-;ICICI Prudential Fixed Maturity Plan - Series 83 - 1105 Days Plan F - Direct Plan Half Yearly IDCW Option;12.6774;16-Jun-2021</v>
      </c>
      <c r="B12107" s="1"/>
    </row>
    <row r="12108">
      <c r="A12108" s="1" t="str">
        <f>IFERROR(__xludf.DUMMYFUNCTION("""COMPUTED_VALUE"""),"143527;INF109KC1EQ8;-;ICICI Prudential Fixed Maturity Plan - Series 83 - 1105 Days Plan F - Half Yearly IDCW Option;12.5580;16-Jun-2021")</f>
        <v>143527;INF109KC1EQ8;-;ICICI Prudential Fixed Maturity Plan - Series 83 - 1105 Days Plan F - Half Yearly IDCW Option;12.5580;16-Jun-2021</v>
      </c>
      <c r="B12108" s="1"/>
    </row>
    <row r="12109">
      <c r="A12109" s="1" t="str">
        <f>IFERROR(__xludf.DUMMYFUNCTION("""COMPUTED_VALUE"""),"143523;INF109KC1EP0;-;ICICI Prudential Fixed Maturity Plan - Series 83 - 1105 Days Plan F - Quarterly IDCW Option;12.5639;16-Jun-2021")</f>
        <v>143523;INF109KC1EP0;-;ICICI Prudential Fixed Maturity Plan - Series 83 - 1105 Days Plan F - Quarterly IDCW Option;12.5639;16-Jun-2021</v>
      </c>
      <c r="B12109" s="1"/>
    </row>
    <row r="12110">
      <c r="A12110" s="1" t="str">
        <f>IFERROR(__xludf.DUMMYFUNCTION("""COMPUTED_VALUE"""),"143953;INF109KC1GK6;-;ICICI Prudential Fixed Maturity Plan - Series 83 - 1105 Days Plan M - Cumulative Option;12.5684;22-Jul-2021")</f>
        <v>143953;INF109KC1GK6;-;ICICI Prudential Fixed Maturity Plan - Series 83 - 1105 Days Plan M - Cumulative Option;12.5684;22-Jul-2021</v>
      </c>
      <c r="B12110" s="1"/>
    </row>
    <row r="12111">
      <c r="A12111" s="1" t="str">
        <f>IFERROR(__xludf.DUMMYFUNCTION("""COMPUTED_VALUE"""),"143954;INF109KC1GN0;-;ICICI Prudential Fixed Maturity Plan - Series 83 - 1105 Days Plan M - Direct Plan Cumulative Option;12.6725;22-Jul-2021")</f>
        <v>143954;INF109KC1GN0;-;ICICI Prudential Fixed Maturity Plan - Series 83 - 1105 Days Plan M - Direct Plan Cumulative Option;12.6725;22-Jul-2021</v>
      </c>
      <c r="B12111" s="1"/>
    </row>
    <row r="12112">
      <c r="A12112" s="1" t="str">
        <f>IFERROR(__xludf.DUMMYFUNCTION("""COMPUTED_VALUE"""),"143956;INF109KC1GM2;-;ICICI Prudential Fixed Maturity Plan - Series 83 - 1105 Days Plan M - Half Yearly IDCW Option;12.5684;22-Jul-2021")</f>
        <v>143956;INF109KC1GM2;-;ICICI Prudential Fixed Maturity Plan - Series 83 - 1105 Days Plan M - Half Yearly IDCW Option;12.5684;22-Jul-2021</v>
      </c>
      <c r="B12112" s="1"/>
    </row>
    <row r="12113">
      <c r="A12113" s="1" t="str">
        <f>IFERROR(__xludf.DUMMYFUNCTION("""COMPUTED_VALUE"""),"143960;INF109KC1GL4;-;ICICI Prudential Fixed Maturity Plan - Series 83 - 1105 Days Plan M - Quarterly IDCW Option;12.5684;22-Jul-2021")</f>
        <v>143960;INF109KC1GL4;-;ICICI Prudential Fixed Maturity Plan - Series 83 - 1105 Days Plan M - Quarterly IDCW Option;12.5684;22-Jul-2021</v>
      </c>
      <c r="B12113" s="1"/>
    </row>
    <row r="12114">
      <c r="A12114" s="1" t="str">
        <f>IFERROR(__xludf.DUMMYFUNCTION("""COMPUTED_VALUE"""),"144163;INF109KC1HM0;-;ICICI Prudential Fixed Maturity Plan - Series 83 - 1107 Days Plan Q - Cumulative Option;12.6011;22-Jul-2021")</f>
        <v>144163;INF109KC1HM0;-;ICICI Prudential Fixed Maturity Plan - Series 83 - 1107 Days Plan Q - Cumulative Option;12.6011;22-Jul-2021</v>
      </c>
      <c r="B12114" s="1"/>
    </row>
    <row r="12115">
      <c r="A12115" s="1" t="str">
        <f>IFERROR(__xludf.DUMMYFUNCTION("""COMPUTED_VALUE"""),"144164;INF109KC1HP3;-;ICICI Prudential Fixed Maturity Plan - Series 83 - 1107 Days Plan Q - Direct Plan Cumulative Option;12.6766;22-Jul-2021")</f>
        <v>144164;INF109KC1HP3;-;ICICI Prudential Fixed Maturity Plan - Series 83 - 1107 Days Plan Q - Direct Plan Cumulative Option;12.6766;22-Jul-2021</v>
      </c>
      <c r="B12115" s="1"/>
    </row>
    <row r="12116">
      <c r="A12116" s="1" t="str">
        <f>IFERROR(__xludf.DUMMYFUNCTION("""COMPUTED_VALUE"""),"143718;INF109KC1FM4;-;ICICI Prudential Fixed Maturity Plan - Series 83 - 1108 Days Plan H - Cumulative Option;12.6444;23-Jun-2021")</f>
        <v>143718;INF109KC1FM4;-;ICICI Prudential Fixed Maturity Plan - Series 83 - 1108 Days Plan H - Cumulative Option;12.6444;23-Jun-2021</v>
      </c>
      <c r="B12116" s="1"/>
    </row>
    <row r="12117">
      <c r="A12117" s="1" t="str">
        <f>IFERROR(__xludf.DUMMYFUNCTION("""COMPUTED_VALUE"""),"143717;INF109KC1FP7;-;ICICI Prudential Fixed Maturity Plan - Series 83 - 1108 Days Plan H - Direct Plan Cumulative Option;12.7586;23-Jun-2021")</f>
        <v>143717;INF109KC1FP7;-;ICICI Prudential Fixed Maturity Plan - Series 83 - 1108 Days Plan H - Direct Plan Cumulative Option;12.7586;23-Jun-2021</v>
      </c>
      <c r="B12117" s="1"/>
    </row>
    <row r="12118">
      <c r="A12118" s="1" t="str">
        <f>IFERROR(__xludf.DUMMYFUNCTION("""COMPUTED_VALUE"""),"143716;INF109KC1FR3;-;ICICI Prudential Fixed Maturity Plan - Series 83 - 1108 Days Plan H - Direct Plan Half Yearly IDCW Option;12.7585;23-Jun-2021")</f>
        <v>143716;INF109KC1FR3;-;ICICI Prudential Fixed Maturity Plan - Series 83 - 1108 Days Plan H - Direct Plan Half Yearly IDCW Option;12.7585;23-Jun-2021</v>
      </c>
      <c r="B12118" s="1"/>
    </row>
    <row r="12119">
      <c r="A12119" s="1" t="str">
        <f>IFERROR(__xludf.DUMMYFUNCTION("""COMPUTED_VALUE"""),"143714;INF109KC1FQ5;-;ICICI Prudential Fixed Maturity Plan - Series 83 - 1108 Days Plan H - Direct Plan Quarterly IDCW Option;12.7583;23-Jun-2021")</f>
        <v>143714;INF109KC1FQ5;-;ICICI Prudential Fixed Maturity Plan - Series 83 - 1108 Days Plan H - Direct Plan Quarterly IDCW Option;12.7583;23-Jun-2021</v>
      </c>
      <c r="B12119" s="1"/>
    </row>
    <row r="12120">
      <c r="A12120" s="1" t="str">
        <f>IFERROR(__xludf.DUMMYFUNCTION("""COMPUTED_VALUE"""),"143715;INF109KC1FO0;-;ICICI Prudential Fixed Maturity Plan - Series 83 - 1108 Days Plan H - Half Yearly IDCW Option;12.6444;23-Jun-2021")</f>
        <v>143715;INF109KC1FO0;-;ICICI Prudential Fixed Maturity Plan - Series 83 - 1108 Days Plan H - Half Yearly IDCW Option;12.6444;23-Jun-2021</v>
      </c>
      <c r="B12120" s="1"/>
    </row>
    <row r="12121">
      <c r="A12121" s="1" t="str">
        <f>IFERROR(__xludf.DUMMYFUNCTION("""COMPUTED_VALUE"""),"144387;INF109KC1II6;-;ICICI Prudential Fixed Maturity Plan - Series 83 - 1110 Days Plan T - Cumulative Option;12.5573;26-Aug-2021")</f>
        <v>144387;INF109KC1II6;-;ICICI Prudential Fixed Maturity Plan - Series 83 - 1110 Days Plan T - Cumulative Option;12.5573;26-Aug-2021</v>
      </c>
      <c r="B12121" s="1"/>
    </row>
    <row r="12122">
      <c r="A12122" s="1" t="str">
        <f>IFERROR(__xludf.DUMMYFUNCTION("""COMPUTED_VALUE"""),"144388;INF109KC1IL0;-;ICICI Prudential Fixed Maturity Plan - Series 83 - 1110 Days Plan T - Direct Plan Cumulative Option;12.6627;26-Aug-2021")</f>
        <v>144388;INF109KC1IL0;-;ICICI Prudential Fixed Maturity Plan - Series 83 - 1110 Days Plan T - Direct Plan Cumulative Option;12.6627;26-Aug-2021</v>
      </c>
      <c r="B12122" s="1"/>
    </row>
    <row r="12123">
      <c r="A12123" s="1" t="str">
        <f>IFERROR(__xludf.DUMMYFUNCTION("""COMPUTED_VALUE"""),"144389;INF109KC1IJ4;-;ICICI Prudential Fixed Maturity Plan - Series 83 - 1110 Days Plan T - Quarterly IDCW Option;12.5573;26-Aug-2021")</f>
        <v>144389;INF109KC1IJ4;-;ICICI Prudential Fixed Maturity Plan - Series 83 - 1110 Days Plan T - Quarterly IDCW Option;12.5573;26-Aug-2021</v>
      </c>
      <c r="B12123" s="1"/>
    </row>
    <row r="12124">
      <c r="A12124" s="1" t="str">
        <f>IFERROR(__xludf.DUMMYFUNCTION("""COMPUTED_VALUE"""),"144596;INF109KC1JR5;-;ICICI Prudential Fixed Maturity Plan - Series 83 - 1111 Days Plan Y - Cumulative Option;12.6248;06-Sep-2021")</f>
        <v>144596;INF109KC1JR5;-;ICICI Prudential Fixed Maturity Plan - Series 83 - 1111 Days Plan Y - Cumulative Option;12.6248;06-Sep-2021</v>
      </c>
      <c r="B12124" s="1"/>
    </row>
    <row r="12125">
      <c r="A12125" s="1" t="str">
        <f>IFERROR(__xludf.DUMMYFUNCTION("""COMPUTED_VALUE"""),"144599;INF109KC1JU9;-;ICICI Prudential Fixed Maturity Plan - Series 83 - 1111 Days Plan Y - Direct Plan Cumulative Option;12.7041;06-Sep-2021")</f>
        <v>144599;INF109KC1JU9;-;ICICI Prudential Fixed Maturity Plan - Series 83 - 1111 Days Plan Y - Direct Plan Cumulative Option;12.7041;06-Sep-2021</v>
      </c>
      <c r="B12125" s="1"/>
    </row>
    <row r="12126">
      <c r="A12126" s="1" t="str">
        <f>IFERROR(__xludf.DUMMYFUNCTION("""COMPUTED_VALUE"""),"144598;INF109KC1JT1;-;ICICI Prudential Fixed Maturity Plan - Series 83 - 1111 Days Plan Y - Half Yearly IDCW Option;12.6248;06-Sep-2021")</f>
        <v>144598;INF109KC1JT1;-;ICICI Prudential Fixed Maturity Plan - Series 83 - 1111 Days Plan Y - Half Yearly IDCW Option;12.6248;06-Sep-2021</v>
      </c>
      <c r="B12126" s="1"/>
    </row>
    <row r="12127">
      <c r="A12127" s="1" t="str">
        <f>IFERROR(__xludf.DUMMYFUNCTION("""COMPUTED_VALUE"""),"144601;INF109KC1JS3;-;ICICI Prudential Fixed Maturity Plan - Series 83 - 1111 Days Plan Y - Quarterly IDCW Option;12.6248;06-Sep-2021")</f>
        <v>144601;INF109KC1JS3;-;ICICI Prudential Fixed Maturity Plan - Series 83 - 1111 Days Plan Y - Quarterly IDCW Option;12.6248;06-Sep-2021</v>
      </c>
      <c r="B12127" s="1"/>
    </row>
    <row r="12128">
      <c r="A12128" s="1" t="str">
        <f>IFERROR(__xludf.DUMMYFUNCTION("""COMPUTED_VALUE"""),"143516;INF109KC1EI5;-;ICICI Prudential Fixed Maturity Plan - Series 83 - 1113 Days Plan E - Cumulative Option;12.6245;30-Jun-2021")</f>
        <v>143516;INF109KC1EI5;-;ICICI Prudential Fixed Maturity Plan - Series 83 - 1113 Days Plan E - Cumulative Option;12.6245;30-Jun-2021</v>
      </c>
      <c r="B12128" s="1"/>
    </row>
    <row r="12129">
      <c r="A12129" s="1" t="str">
        <f>IFERROR(__xludf.DUMMYFUNCTION("""COMPUTED_VALUE"""),"143512;INF109KC1EL9;-;ICICI Prudential Fixed Maturity Plan - Series 83 - 1113 Days Plan E - Direct Plan Cumulative Option;12.7323;30-Jun-2021")</f>
        <v>143512;INF109KC1EL9;-;ICICI Prudential Fixed Maturity Plan - Series 83 - 1113 Days Plan E - Direct Plan Cumulative Option;12.7323;30-Jun-2021</v>
      </c>
      <c r="B12129" s="1"/>
    </row>
    <row r="12130">
      <c r="A12130" s="1" t="str">
        <f>IFERROR(__xludf.DUMMYFUNCTION("""COMPUTED_VALUE"""),"143515;INF109KC1EN5;-;ICICI Prudential Fixed Maturity Plan - Series 83 - 1113 Days Plan E - Direct Plan Half Yearly IDCW Option;12.7321;30-Jun-2021")</f>
        <v>143515;INF109KC1EN5;-;ICICI Prudential Fixed Maturity Plan - Series 83 - 1113 Days Plan E - Direct Plan Half Yearly IDCW Option;12.7321;30-Jun-2021</v>
      </c>
      <c r="B12130" s="1"/>
    </row>
    <row r="12131">
      <c r="A12131" s="1" t="str">
        <f>IFERROR(__xludf.DUMMYFUNCTION("""COMPUTED_VALUE"""),"143513;INF109KC1EM7;-;ICICI Prudential Fixed Maturity Plan - Series 83 - 1113 Days Plan E - Direct Plan Quarterly IDCW Option;12.7322;30-Jun-2021")</f>
        <v>143513;INF109KC1EM7;-;ICICI Prudential Fixed Maturity Plan - Series 83 - 1113 Days Plan E - Direct Plan Quarterly IDCW Option;12.7322;30-Jun-2021</v>
      </c>
      <c r="B12131" s="1"/>
    </row>
    <row r="12132">
      <c r="A12132" s="1" t="str">
        <f>IFERROR(__xludf.DUMMYFUNCTION("""COMPUTED_VALUE"""),"143514;INF109KC1EK1;-;ICICI Prudential Fixed Maturity Plan - Series 83 - 1113 Days Plan E - Half Yearly IDCW Option;12.6260;30-Jun-2021")</f>
        <v>143514;INF109KC1EK1;-;ICICI Prudential Fixed Maturity Plan - Series 83 - 1113 Days Plan E - Half Yearly IDCW Option;12.6260;30-Jun-2021</v>
      </c>
      <c r="B12132" s="1"/>
    </row>
    <row r="12133">
      <c r="A12133" s="1" t="str">
        <f>IFERROR(__xludf.DUMMYFUNCTION("""COMPUTED_VALUE"""),"143519;INF109KC1EJ3;-;ICICI Prudential Fixed Maturity Plan - Series 83 - 1113 Days Plan E - Quarterly IDCW Option;12.6245;30-Jun-2021")</f>
        <v>143519;INF109KC1EJ3;-;ICICI Prudential Fixed Maturity Plan - Series 83 - 1113 Days Plan E - Quarterly IDCW Option;12.6245;30-Jun-2021</v>
      </c>
      <c r="B12133" s="1"/>
    </row>
    <row r="12134">
      <c r="A12134" s="1" t="str">
        <f>IFERROR(__xludf.DUMMYFUNCTION("""COMPUTED_VALUE"""),"143734;INF109KC1FG6;-;ICICI Prudential Fixed Maturity Plan - Series 83 - 1392 Days Plan J - Cumulative Option;13.3758;11-Apr-2022")</f>
        <v>143734;INF109KC1FG6;-;ICICI Prudential Fixed Maturity Plan - Series 83 - 1392 Days Plan J - Cumulative Option;13.3758;11-Apr-2022</v>
      </c>
      <c r="B12134" s="1"/>
    </row>
    <row r="12135">
      <c r="A12135" s="1" t="str">
        <f>IFERROR(__xludf.DUMMYFUNCTION("""COMPUTED_VALUE"""),"143735;INF109KC1FJ0;-;ICICI Prudential Fixed Maturity Plan - Series 83 - 1392 Days Plan J - Direct Plan Cumulative Option;13.4934;11-Apr-2022")</f>
        <v>143735;INF109KC1FJ0;-;ICICI Prudential Fixed Maturity Plan - Series 83 - 1392 Days Plan J - Direct Plan Cumulative Option;13.4934;11-Apr-2022</v>
      </c>
      <c r="B12135" s="1"/>
    </row>
    <row r="12136">
      <c r="A12136" s="1" t="str">
        <f>IFERROR(__xludf.DUMMYFUNCTION("""COMPUTED_VALUE"""),"143733;INF109KC1FL6;-;ICICI Prudential Fixed Maturity Plan - Series 83 - 1392 Days Plan J - Direct Plan Half Yearly IDCW Option;13.4934;11-Apr-2022")</f>
        <v>143733;INF109KC1FL6;-;ICICI Prudential Fixed Maturity Plan - Series 83 - 1392 Days Plan J - Direct Plan Half Yearly IDCW Option;13.4934;11-Apr-2022</v>
      </c>
      <c r="B12136" s="1"/>
    </row>
    <row r="12137">
      <c r="A12137" s="1" t="str">
        <f>IFERROR(__xludf.DUMMYFUNCTION("""COMPUTED_VALUE"""),"143731;INF109KC1FK8;-;ICICI Prudential Fixed Maturity Plan - Series 83 - 1392 Days Plan J - Direct Plan Quarterly IDCW Option;13.4932;11-Apr-2022")</f>
        <v>143731;INF109KC1FK8;-;ICICI Prudential Fixed Maturity Plan - Series 83 - 1392 Days Plan J - Direct Plan Quarterly IDCW Option;13.4932;11-Apr-2022</v>
      </c>
      <c r="B12137" s="1"/>
    </row>
    <row r="12138">
      <c r="A12138" s="1" t="str">
        <f>IFERROR(__xludf.DUMMYFUNCTION("""COMPUTED_VALUE"""),"143732;INF109KC1FI2;-;ICICI Prudential Fixed Maturity Plan - Series 83 - 1392 Days Plan J - Half Yearly IDCW Option;13.3757;11-Apr-2022")</f>
        <v>143732;INF109KC1FI2;-;ICICI Prudential Fixed Maturity Plan - Series 83 - 1392 Days Plan J - Half Yearly IDCW Option;13.3757;11-Apr-2022</v>
      </c>
      <c r="B12138" s="1"/>
    </row>
    <row r="12139">
      <c r="A12139" s="1" t="str">
        <f>IFERROR(__xludf.DUMMYFUNCTION("""COMPUTED_VALUE"""),"143730;INF109KC1FH4;-;ICICI Prudential Fixed Maturity Plan - Series 83 - 1392 Days Plan J - Quarterly IDCW Option;13.3758;11-Apr-2022")</f>
        <v>143730;INF109KC1FH4;-;ICICI Prudential Fixed Maturity Plan - Series 83 - 1392 Days Plan J - Quarterly IDCW Option;13.3758;11-Apr-2022</v>
      </c>
      <c r="B12139" s="1"/>
    </row>
    <row r="12140">
      <c r="A12140" s="1" t="str">
        <f>IFERROR(__xludf.DUMMYFUNCTION("""COMPUTED_VALUE"""),"143442;INF109KC1DU2;-;ICICI Prudential Fixed Maturity Plan - Series 83 - 1406 Days Plan D - Cumulative Option;13.4088;05-Apr-2022")</f>
        <v>143442;INF109KC1DU2;-;ICICI Prudential Fixed Maturity Plan - Series 83 - 1406 Days Plan D - Cumulative Option;13.4088;05-Apr-2022</v>
      </c>
      <c r="B12140" s="1"/>
    </row>
    <row r="12141">
      <c r="A12141" s="1" t="str">
        <f>IFERROR(__xludf.DUMMYFUNCTION("""COMPUTED_VALUE"""),"143443;INF109KC1DX6;-;ICICI Prudential Fixed Maturity Plan - Series 83 - 1406 Days Plan D - Direct Plan Cumulative Option;13.5466;05-Apr-2022")</f>
        <v>143443;INF109KC1DX6;-;ICICI Prudential Fixed Maturity Plan - Series 83 - 1406 Days Plan D - Direct Plan Cumulative Option;13.5466;05-Apr-2022</v>
      </c>
      <c r="B12141" s="1"/>
    </row>
    <row r="12142">
      <c r="A12142" s="1" t="str">
        <f>IFERROR(__xludf.DUMMYFUNCTION("""COMPUTED_VALUE"""),"143447;INF109KC1DV0;-;ICICI Prudential Fixed Maturity Plan - Series 83 - 1406 Days Plan D - Half Yearly IDCW Option;13.4083;05-Apr-2022")</f>
        <v>143447;INF109KC1DV0;-;ICICI Prudential Fixed Maturity Plan - Series 83 - 1406 Days Plan D - Half Yearly IDCW Option;13.4083;05-Apr-2022</v>
      </c>
      <c r="B12142" s="1"/>
    </row>
    <row r="12143">
      <c r="A12143" s="1" t="str">
        <f>IFERROR(__xludf.DUMMYFUNCTION("""COMPUTED_VALUE"""),"143445;INF109KC1DW8;-;ICICI Prudential Fixed Maturity Plan - Series 83 - 1406 Days Plan D - Quarterly IDCW Option;13.4088;05-Apr-2022")</f>
        <v>143445;INF109KC1DW8;-;ICICI Prudential Fixed Maturity Plan - Series 83 - 1406 Days Plan D - Quarterly IDCW Option;13.4088;05-Apr-2022</v>
      </c>
      <c r="B12143" s="1"/>
    </row>
    <row r="12144">
      <c r="A12144" s="1" t="str">
        <f>IFERROR(__xludf.DUMMYFUNCTION("""COMPUTED_VALUE"""),"143393;INF109KC1DG1;-;ICICI Prudential Fixed Maturity Plan - Series 83 - 1412 Days Plan B - Cumulative Option;13.4189;05-Apr-2022")</f>
        <v>143393;INF109KC1DG1;-;ICICI Prudential Fixed Maturity Plan - Series 83 - 1412 Days Plan B - Cumulative Option;13.4189;05-Apr-2022</v>
      </c>
      <c r="B12144" s="1"/>
    </row>
    <row r="12145">
      <c r="A12145" s="1" t="str">
        <f>IFERROR(__xludf.DUMMYFUNCTION("""COMPUTED_VALUE"""),"143392;INF109KC1DJ5;-;ICICI Prudential Fixed Maturity Plan - Series 83 - 1412 Days Plan B - Direct Plan Cumulative Option;13.5438;05-Apr-2022")</f>
        <v>143392;INF109KC1DJ5;-;ICICI Prudential Fixed Maturity Plan - Series 83 - 1412 Days Plan B - Direct Plan Cumulative Option;13.5438;05-Apr-2022</v>
      </c>
      <c r="B12145" s="1"/>
    </row>
    <row r="12146">
      <c r="A12146" s="1" t="str">
        <f>IFERROR(__xludf.DUMMYFUNCTION("""COMPUTED_VALUE"""),"143395;INF109KC1DL1;-;ICICI Prudential Fixed Maturity Plan - Series 83 - 1412 Days Plan B - Direct Plan Half Yearly IDCW Option;13.5438;05-Apr-2022")</f>
        <v>143395;INF109KC1DL1;-;ICICI Prudential Fixed Maturity Plan - Series 83 - 1412 Days Plan B - Direct Plan Half Yearly IDCW Option;13.5438;05-Apr-2022</v>
      </c>
      <c r="B12146" s="1"/>
    </row>
    <row r="12147">
      <c r="A12147" s="1" t="str">
        <f>IFERROR(__xludf.DUMMYFUNCTION("""COMPUTED_VALUE"""),"143394;INF109KC1DK3;-;ICICI Prudential Fixed Maturity Plan - Series 83 - 1412 Days Plan B - Direct Plan Quarterly IDCW Option;13.5438;05-Apr-2022")</f>
        <v>143394;INF109KC1DK3;-;ICICI Prudential Fixed Maturity Plan - Series 83 - 1412 Days Plan B - Direct Plan Quarterly IDCW Option;13.5438;05-Apr-2022</v>
      </c>
      <c r="B12147" s="1"/>
    </row>
    <row r="12148">
      <c r="A12148" s="1" t="str">
        <f>IFERROR(__xludf.DUMMYFUNCTION("""COMPUTED_VALUE"""),"143389;INF109KC1DH9;-;ICICI Prudential Fixed Maturity Plan - Series 83 - 1412 Days Plan B - Quarterly IDCW Option;13.4189;05-Apr-2022")</f>
        <v>143389;INF109KC1DH9;-;ICICI Prudential Fixed Maturity Plan - Series 83 - 1412 Days Plan B - Quarterly IDCW Option;13.4189;05-Apr-2022</v>
      </c>
      <c r="B12148" s="1"/>
    </row>
    <row r="12149">
      <c r="A12149" s="1" t="str">
        <f>IFERROR(__xludf.DUMMYFUNCTION("""COMPUTED_VALUE"""),"144077;INF109KC1HA5;-;ICICI Prudential Fixed Maturity Plan - Series 83 - 1735 Days Plan P - Cumulative Option;14.3685;18-Apr-2023")</f>
        <v>144077;INF109KC1HA5;-;ICICI Prudential Fixed Maturity Plan - Series 83 - 1735 Days Plan P - Cumulative Option;14.3685;18-Apr-2023</v>
      </c>
      <c r="B12149" s="1"/>
    </row>
    <row r="12150">
      <c r="A12150" s="1" t="str">
        <f>IFERROR(__xludf.DUMMYFUNCTION("""COMPUTED_VALUE"""),"144078;INF109KC1HD9;-;ICICI Prudential Fixed Maturity Plan - Series 83 - 1735 Days Plan P - Direct Plan Cumulative Option;14.4885;18-Apr-2023")</f>
        <v>144078;INF109KC1HD9;-;ICICI Prudential Fixed Maturity Plan - Series 83 - 1735 Days Plan P - Direct Plan Cumulative Option;14.4885;18-Apr-2023</v>
      </c>
      <c r="B12150" s="1"/>
    </row>
    <row r="12151">
      <c r="A12151" s="1" t="str">
        <f>IFERROR(__xludf.DUMMYFUNCTION("""COMPUTED_VALUE"""),"144080;INF109KC1HE7;-;ICICI Prudential Fixed Maturity Plan - Series 83 - 1735 Days Plan P - Direct Plan Quarterly IDCW Option;14.4884;18-Apr-2023")</f>
        <v>144080;INF109KC1HE7;-;ICICI Prudential Fixed Maturity Plan - Series 83 - 1735 Days Plan P - Direct Plan Quarterly IDCW Option;14.4884;18-Apr-2023</v>
      </c>
      <c r="B12151" s="1"/>
    </row>
    <row r="12152">
      <c r="A12152" s="1" t="str">
        <f>IFERROR(__xludf.DUMMYFUNCTION("""COMPUTED_VALUE"""),"144075;INF109KC1HC1;-;ICICI Prudential Fixed Maturity Plan - Series 83 - 1735 Days Plan P - Half Yearly IDCW Option;14.3685;18-Apr-2023")</f>
        <v>144075;INF109KC1HC1;-;ICICI Prudential Fixed Maturity Plan - Series 83 - 1735 Days Plan P - Half Yearly IDCW Option;14.3685;18-Apr-2023</v>
      </c>
      <c r="B12152" s="1"/>
    </row>
    <row r="12153">
      <c r="A12153" s="1" t="str">
        <f>IFERROR(__xludf.DUMMYFUNCTION("""COMPUTED_VALUE"""),"144079;INF109KC1HB3;-;ICICI Prudential Fixed Maturity Plan - Series 83 - 1735 Days Plan P - Quarterly IDCW Option;14.3685;18-Apr-2023")</f>
        <v>144079;INF109KC1HB3;-;ICICI Prudential Fixed Maturity Plan - Series 83 - 1735 Days Plan P - Quarterly IDCW Option;14.3685;18-Apr-2023</v>
      </c>
      <c r="B12153" s="1"/>
    </row>
    <row r="12154">
      <c r="A12154" s="1" t="str">
        <f>IFERROR(__xludf.DUMMYFUNCTION("""COMPUTED_VALUE"""),"143727;INF109KC1EY2;-;ICICI Prudential Fixed Maturity Plan - Series 83 - 193 Days Plan G - Cumulative Option;10.4051;17-Dec-2018")</f>
        <v>143727;INF109KC1EY2;-;ICICI Prudential Fixed Maturity Plan - Series 83 - 193 Days Plan G - Cumulative Option;10.4051;17-Dec-2018</v>
      </c>
      <c r="B12154" s="1"/>
    </row>
    <row r="12155">
      <c r="A12155" s="1" t="str">
        <f>IFERROR(__xludf.DUMMYFUNCTION("""COMPUTED_VALUE"""),"143726;INF109KC1FA9;-;ICICI Prudential Fixed Maturity Plan - Series 83 - 193 Days Plan G - Direct Plan Cumulative Option;10.4177;17-Dec-2018")</f>
        <v>143726;INF109KC1FA9;-;ICICI Prudential Fixed Maturity Plan - Series 83 - 193 Days Plan G - Direct Plan Cumulative Option;10.4177;17-Dec-2018</v>
      </c>
      <c r="B12155" s="1"/>
    </row>
    <row r="12156">
      <c r="A12156" s="1" t="str">
        <f>IFERROR(__xludf.DUMMYFUNCTION("""COMPUTED_VALUE"""),"143725;INF109KC1FB7;-;ICICI Prudential Fixed Maturity Plan - Series 83 - 193 Days Plan G - Direct Plan Dividend Option;10.4177;17-Dec-2018")</f>
        <v>143725;INF109KC1FB7;-;ICICI Prudential Fixed Maturity Plan - Series 83 - 193 Days Plan G - Direct Plan Dividend Option;10.4177;17-Dec-2018</v>
      </c>
      <c r="B12156" s="1"/>
    </row>
    <row r="12157">
      <c r="A12157" s="1" t="str">
        <f>IFERROR(__xludf.DUMMYFUNCTION("""COMPUTED_VALUE"""),"143439;INF109KC1DQ0;-;ICICI Prudential Fixed Maturity Plan - Series 83 - 91 Days Plan C - Cumulative Option;10.1807;27-Aug-2018")</f>
        <v>143439;INF109KC1DQ0;-;ICICI Prudential Fixed Maturity Plan - Series 83 - 91 Days Plan C - Cumulative Option;10.1807;27-Aug-2018</v>
      </c>
      <c r="B12157" s="1"/>
    </row>
    <row r="12158">
      <c r="A12158" s="1" t="str">
        <f>IFERROR(__xludf.DUMMYFUNCTION("""COMPUTED_VALUE"""),"143440;INF109KC1DS6;-;ICICI Prudential Fixed Maturity Plan - Series 83 - 91 Days Plan C - Direct Plan Cumulative Option;10.1865;27-Aug-2018")</f>
        <v>143440;INF109KC1DS6;-;ICICI Prudential Fixed Maturity Plan - Series 83 - 91 Days Plan C - Direct Plan Cumulative Option;10.1865;27-Aug-2018</v>
      </c>
      <c r="B12158" s="1"/>
    </row>
    <row r="12159">
      <c r="A12159" s="1" t="str">
        <f>IFERROR(__xludf.DUMMYFUNCTION("""COMPUTED_VALUE"""),"143441;INF109KC1DT4;-;ICICI Prudential Fixed Maturity Plan - Series 83 - 91 Days Plan C - Direct Plan Dividend Option;10.1865;27-Aug-2018")</f>
        <v>143441;INF109KC1DT4;-;ICICI Prudential Fixed Maturity Plan - Series 83 - 91 Days Plan C - Direct Plan Dividend Option;10.1865;27-Aug-2018</v>
      </c>
      <c r="B12159" s="1"/>
    </row>
    <row r="12160">
      <c r="A12160" s="1" t="str">
        <f>IFERROR(__xludf.DUMMYFUNCTION("""COMPUTED_VALUE"""),"143438;INF109KC1DR8;-;ICICI Prudential Fixed Maturity Plan - Series 83 - 91 Days Plan C - Dividend Option;10.1807;27-Aug-2018")</f>
        <v>143438;INF109KC1DR8;-;ICICI Prudential Fixed Maturity Plan - Series 83 - 91 Days Plan C - Dividend Option;10.1807;27-Aug-2018</v>
      </c>
      <c r="B12160" s="1"/>
    </row>
    <row r="12161">
      <c r="A12161" s="1" t="str">
        <f>IFERROR(__xludf.DUMMYFUNCTION("""COMPUTED_VALUE"""),"144817;INF109KC1KD3;-;ICICI Prudential Fixed Maturity Plan - Series 84 - 1101 Days Plan A - Cumulative Option;12.5495;13-Sep-2021")</f>
        <v>144817;INF109KC1KD3;-;ICICI Prudential Fixed Maturity Plan - Series 84 - 1101 Days Plan A - Cumulative Option;12.5495;13-Sep-2021</v>
      </c>
      <c r="B12161" s="1"/>
    </row>
    <row r="12162">
      <c r="A12162" s="1" t="str">
        <f>IFERROR(__xludf.DUMMYFUNCTION("""COMPUTED_VALUE"""),"144819;INF109KC1KG6;-;ICICI Prudential Fixed Maturity Plan - Series 84 - 1101 Days Plan A - Direct Plan Cumulative Option;12.6372;13-Sep-2021")</f>
        <v>144819;INF109KC1KG6;-;ICICI Prudential Fixed Maturity Plan - Series 84 - 1101 Days Plan A - Direct Plan Cumulative Option;12.6372;13-Sep-2021</v>
      </c>
      <c r="B12162" s="1"/>
    </row>
    <row r="12163">
      <c r="A12163" s="1" t="str">
        <f>IFERROR(__xludf.DUMMYFUNCTION("""COMPUTED_VALUE"""),"144816;INF109KC1KI2;-;ICICI Prudential Fixed Maturity Plan - Series 84 - 1101 Days Plan A - Direct Plan Half Yearly IDCW Option;12.6371;13-Sep-2021")</f>
        <v>144816;INF109KC1KI2;-;ICICI Prudential Fixed Maturity Plan - Series 84 - 1101 Days Plan A - Direct Plan Half Yearly IDCW Option;12.6371;13-Sep-2021</v>
      </c>
      <c r="B12163" s="1"/>
    </row>
    <row r="12164">
      <c r="A12164" s="1" t="str">
        <f>IFERROR(__xludf.DUMMYFUNCTION("""COMPUTED_VALUE"""),"144815;INF109KC1KH4;-;ICICI Prudential Fixed Maturity Plan - Series 84 - 1101 Days Plan A - Direct Plan Quarterly IDCW Option;12.6376;13-Sep-2021")</f>
        <v>144815;INF109KC1KH4;-;ICICI Prudential Fixed Maturity Plan - Series 84 - 1101 Days Plan A - Direct Plan Quarterly IDCW Option;12.6376;13-Sep-2021</v>
      </c>
      <c r="B12164" s="1"/>
    </row>
    <row r="12165">
      <c r="A12165" s="1" t="str">
        <f>IFERROR(__xludf.DUMMYFUNCTION("""COMPUTED_VALUE"""),"144814;INF109KC1KE1;-;ICICI Prudential Fixed Maturity Plan - Series 84 - 1101 Days Plan A - Quarterly IDCW Option;12.5495;13-Sep-2021")</f>
        <v>144814;INF109KC1KE1;-;ICICI Prudential Fixed Maturity Plan - Series 84 - 1101 Days Plan A - Quarterly IDCW Option;12.5495;13-Sep-2021</v>
      </c>
      <c r="B12165" s="1"/>
    </row>
    <row r="12166">
      <c r="A12166" s="1" t="str">
        <f>IFERROR(__xludf.DUMMYFUNCTION("""COMPUTED_VALUE"""),"144941;INF109KC1KN2;-;ICICI Prudential Fixed Maturity Plan - Series 84 - 1103 Days Plan C - Cumulative Option;12.8258;04-Oct-2021")</f>
        <v>144941;INF109KC1KN2;-;ICICI Prudential Fixed Maturity Plan - Series 84 - 1103 Days Plan C - Cumulative Option;12.8258;04-Oct-2021</v>
      </c>
      <c r="B12166" s="1"/>
    </row>
    <row r="12167">
      <c r="A12167" s="1" t="str">
        <f>IFERROR(__xludf.DUMMYFUNCTION("""COMPUTED_VALUE"""),"144944;INF109KC1KQ5;-;ICICI Prudential Fixed Maturity Plan - Series 84 - 1103 Days Plan C - Direct Plan Cumulative Option;12.9371;04-Oct-2021")</f>
        <v>144944;INF109KC1KQ5;-;ICICI Prudential Fixed Maturity Plan - Series 84 - 1103 Days Plan C - Direct Plan Cumulative Option;12.9371;04-Oct-2021</v>
      </c>
      <c r="B12167" s="1"/>
    </row>
    <row r="12168">
      <c r="A12168" s="1" t="str">
        <f>IFERROR(__xludf.DUMMYFUNCTION("""COMPUTED_VALUE"""),"144945;INF109KC1KS1;-;ICICI Prudential Fixed Maturity Plan - Series 84 - 1103 Days Plan C - Direct Plan Quarterly IDCW Option;12.9371;04-Oct-2021")</f>
        <v>144945;INF109KC1KS1;-;ICICI Prudential Fixed Maturity Plan - Series 84 - 1103 Days Plan C - Direct Plan Quarterly IDCW Option;12.9371;04-Oct-2021</v>
      </c>
      <c r="B12168" s="1"/>
    </row>
    <row r="12169">
      <c r="A12169" s="1" t="str">
        <f>IFERROR(__xludf.DUMMYFUNCTION("""COMPUTED_VALUE"""),"144946;INF109KC1KO0;-;ICICI Prudential Fixed Maturity Plan - Series 84 - 1103 Days Plan C - Half Yearly IDCW Option;12.8258;04-Oct-2021")</f>
        <v>144946;INF109KC1KO0;-;ICICI Prudential Fixed Maturity Plan - Series 84 - 1103 Days Plan C - Half Yearly IDCW Option;12.8258;04-Oct-2021</v>
      </c>
      <c r="B12169" s="1"/>
    </row>
    <row r="12170">
      <c r="A12170" s="1" t="str">
        <f>IFERROR(__xludf.DUMMYFUNCTION("""COMPUTED_VALUE"""),"144942;INF109KC1KP7;-;ICICI Prudential Fixed Maturity Plan - Series 84 - 1103 Days Plan C - Quarterly IDCW Option;12.8258;04-Oct-2021")</f>
        <v>144942;INF109KC1KP7;-;ICICI Prudential Fixed Maturity Plan - Series 84 - 1103 Days Plan C - Quarterly IDCW Option;12.8258;04-Oct-2021</v>
      </c>
      <c r="B12170" s="1"/>
    </row>
    <row r="12171">
      <c r="A12171" s="1" t="str">
        <f>IFERROR(__xludf.DUMMYFUNCTION("""COMPUTED_VALUE"""),"146112;INF109KC1SC8;-;ICICI Prudential Fixed Maturity Plan - Series 84 - 1188 Days Plan Z - Cumulative Option;12.7708;18-Apr-2022")</f>
        <v>146112;INF109KC1SC8;-;ICICI Prudential Fixed Maturity Plan - Series 84 - 1188 Days Plan Z - Cumulative Option;12.7708;18-Apr-2022</v>
      </c>
      <c r="B12171" s="1"/>
    </row>
    <row r="12172">
      <c r="A12172" s="1" t="str">
        <f>IFERROR(__xludf.DUMMYFUNCTION("""COMPUTED_VALUE"""),"146113;INF109KC1SH7;-;ICICI Prudential Fixed Maturity Plan - Series 84 - 1188 Days Plan Z - Direct Plan Cumulative Option;12.9063;18-Apr-2022")</f>
        <v>146113;INF109KC1SH7;-;ICICI Prudential Fixed Maturity Plan - Series 84 - 1188 Days Plan Z - Direct Plan Cumulative Option;12.9063;18-Apr-2022</v>
      </c>
      <c r="B12172" s="1"/>
    </row>
    <row r="12173">
      <c r="A12173" s="1" t="str">
        <f>IFERROR(__xludf.DUMMYFUNCTION("""COMPUTED_VALUE"""),"146110;INF109KC1SE4;-;ICICI Prudential Fixed Maturity Plan - Series 84 - 1188 Days Plan Z - Half Yearly IDCW Option;12.7711;18-Apr-2022")</f>
        <v>146110;INF109KC1SE4;-;ICICI Prudential Fixed Maturity Plan - Series 84 - 1188 Days Plan Z - Half Yearly IDCW Option;12.7711;18-Apr-2022</v>
      </c>
      <c r="B12173" s="1"/>
    </row>
    <row r="12174">
      <c r="A12174" s="1" t="str">
        <f>IFERROR(__xludf.DUMMYFUNCTION("""COMPUTED_VALUE"""),"146111;INF109KC1SD6;-;ICICI Prudential Fixed Maturity Plan - Series 84 - 1188 Days Plan Z - Quarterly IDCW Option;12.7711;18-Apr-2022")</f>
        <v>146111;INF109KC1SD6;-;ICICI Prudential Fixed Maturity Plan - Series 84 - 1188 Days Plan Z - Quarterly IDCW Option;12.7711;18-Apr-2022</v>
      </c>
      <c r="B12174" s="1"/>
    </row>
    <row r="12175">
      <c r="A12175" s="1" t="str">
        <f>IFERROR(__xludf.DUMMYFUNCTION("""COMPUTED_VALUE"""),"146017;INF109KC1RW8;-;ICICI Prudential Fixed Maturity Plan - Series 84 - 1204 Days Plan Y - Cumulative Option;12.7879;04-May-2022")</f>
        <v>146017;INF109KC1RW8;-;ICICI Prudential Fixed Maturity Plan - Series 84 - 1204 Days Plan Y - Cumulative Option;12.7879;04-May-2022</v>
      </c>
      <c r="B12175" s="1"/>
    </row>
    <row r="12176">
      <c r="A12176" s="1" t="str">
        <f>IFERROR(__xludf.DUMMYFUNCTION("""COMPUTED_VALUE"""),"146018;INF109KC1SB0;-;ICICI Prudential Fixed Maturity Plan - Series 84 - 1204 Days Plan Y - Direct Plan Cumulative Option;12.8837;04-May-2022")</f>
        <v>146018;INF109KC1SB0;-;ICICI Prudential Fixed Maturity Plan - Series 84 - 1204 Days Plan Y - Direct Plan Cumulative Option;12.8837;04-May-2022</v>
      </c>
      <c r="B12176" s="1"/>
    </row>
    <row r="12177">
      <c r="A12177" s="1" t="str">
        <f>IFERROR(__xludf.DUMMYFUNCTION("""COMPUTED_VALUE"""),"146022;INF109KC1RY4;-;ICICI Prudential Fixed Maturity Plan - Series 84 - 1204 Days Plan Y - Half Yearly IDCW Option;12.7874;04-May-2022")</f>
        <v>146022;INF109KC1RY4;-;ICICI Prudential Fixed Maturity Plan - Series 84 - 1204 Days Plan Y - Half Yearly IDCW Option;12.7874;04-May-2022</v>
      </c>
      <c r="B12177" s="1"/>
    </row>
    <row r="12178">
      <c r="A12178" s="1" t="str">
        <f>IFERROR(__xludf.DUMMYFUNCTION("""COMPUTED_VALUE"""),"146019;INF109KC1RX6;-;ICICI Prudential Fixed Maturity Plan - Series 84 - 1204 Days Plan Y - Quarterly IDCW Option;12.7880;04-May-2022")</f>
        <v>146019;INF109KC1RX6;-;ICICI Prudential Fixed Maturity Plan - Series 84 - 1204 Days Plan Y - Quarterly IDCW Option;12.7880;04-May-2022</v>
      </c>
      <c r="B12178" s="1"/>
    </row>
    <row r="12179">
      <c r="A12179" s="1" t="str">
        <f>IFERROR(__xludf.DUMMYFUNCTION("""COMPUTED_VALUE"""),"145756;INF109KC1PY8;-;ICICI Prudential Fixed Maturity Plan - Series 84 - 1224 Days Plan S - Cumulative Option;12.8569;19-Apr-2022")</f>
        <v>145756;INF109KC1PY8;-;ICICI Prudential Fixed Maturity Plan - Series 84 - 1224 Days Plan S - Cumulative Option;12.8569;19-Apr-2022</v>
      </c>
      <c r="B12179" s="1"/>
    </row>
    <row r="12180">
      <c r="A12180" s="1" t="str">
        <f>IFERROR(__xludf.DUMMYFUNCTION("""COMPUTED_VALUE"""),"145751;INF109KC1QB4;-;ICICI Prudential Fixed Maturity Plan - Series 84 - 1224 Days Plan S - Direct Plan Cumulative Option;12.9598;19-Apr-2022")</f>
        <v>145751;INF109KC1QB4;-;ICICI Prudential Fixed Maturity Plan - Series 84 - 1224 Days Plan S - Direct Plan Cumulative Option;12.9598;19-Apr-2022</v>
      </c>
      <c r="B12180" s="1"/>
    </row>
    <row r="12181">
      <c r="A12181" s="1" t="str">
        <f>IFERROR(__xludf.DUMMYFUNCTION("""COMPUTED_VALUE"""),"145754;INF109KC1QA6;-;ICICI Prudential Fixed Maturity Plan - Series 84 - 1224 Days Plan S - Half Yearly IDCW Option;12.8566;19-Apr-2022")</f>
        <v>145754;INF109KC1QA6;-;ICICI Prudential Fixed Maturity Plan - Series 84 - 1224 Days Plan S - Half Yearly IDCW Option;12.8566;19-Apr-2022</v>
      </c>
      <c r="B12181" s="1"/>
    </row>
    <row r="12182">
      <c r="A12182" s="1" t="str">
        <f>IFERROR(__xludf.DUMMYFUNCTION("""COMPUTED_VALUE"""),"145752;INF109KC1PZ5;-;ICICI Prudential Fixed Maturity Plan - Series 84 - 1224 Days Plan S - Quarterly IDCW Option;12.8568;19-Apr-2022")</f>
        <v>145752;INF109KC1PZ5;-;ICICI Prudential Fixed Maturity Plan - Series 84 - 1224 Days Plan S - Quarterly IDCW Option;12.8568;19-Apr-2022</v>
      </c>
      <c r="B12182" s="1"/>
    </row>
    <row r="12183">
      <c r="A12183" s="1" t="str">
        <f>IFERROR(__xludf.DUMMYFUNCTION("""COMPUTED_VALUE"""),"145707;INF109KC1QE8;-;ICICI Prudential Fixed Maturity Plan - Series 84 - 1235 Days Plan R - Cumulative Option;12.9695;11-May-2022")</f>
        <v>145707;INF109KC1QE8;-;ICICI Prudential Fixed Maturity Plan - Series 84 - 1235 Days Plan R - Cumulative Option;12.9695;11-May-2022</v>
      </c>
      <c r="B12183" s="1"/>
    </row>
    <row r="12184">
      <c r="A12184" s="1" t="str">
        <f>IFERROR(__xludf.DUMMYFUNCTION("""COMPUTED_VALUE"""),"145709;INF109KC1QH1;-;ICICI Prudential Fixed Maturity Plan - Series 84 - 1235 Days Plan R - Direct Plan Cumulative Option;13.1046;11-May-2022")</f>
        <v>145709;INF109KC1QH1;-;ICICI Prudential Fixed Maturity Plan - Series 84 - 1235 Days Plan R - Direct Plan Cumulative Option;13.1046;11-May-2022</v>
      </c>
      <c r="B12184" s="1"/>
    </row>
    <row r="12185">
      <c r="A12185" s="1" t="str">
        <f>IFERROR(__xludf.DUMMYFUNCTION("""COMPUTED_VALUE"""),"145712;INF109KC1QJ7;-;ICICI Prudential Fixed Maturity Plan - Series 84 - 1235 Days Plan R - Direct Plan Half Yearly IDCW Option;13.0987;11-May-2022")</f>
        <v>145712;INF109KC1QJ7;-;ICICI Prudential Fixed Maturity Plan - Series 84 - 1235 Days Plan R - Direct Plan Half Yearly IDCW Option;13.0987;11-May-2022</v>
      </c>
      <c r="B12185" s="1"/>
    </row>
    <row r="12186">
      <c r="A12186" s="1" t="str">
        <f>IFERROR(__xludf.DUMMYFUNCTION("""COMPUTED_VALUE"""),"145711;INF109KC1QI9;-;ICICI Prudential Fixed Maturity Plan - Series 84 - 1235 Days Plan R - Direct Plan Quarterly IDCW Option;13.1038;11-May-2022")</f>
        <v>145711;INF109KC1QI9;-;ICICI Prudential Fixed Maturity Plan - Series 84 - 1235 Days Plan R - Direct Plan Quarterly IDCW Option;13.1038;11-May-2022</v>
      </c>
      <c r="B12186" s="1"/>
    </row>
    <row r="12187">
      <c r="A12187" s="1" t="str">
        <f>IFERROR(__xludf.DUMMYFUNCTION("""COMPUTED_VALUE"""),"145708;INF109KC1QG3;-;ICICI Prudential Fixed Maturity Plan - Series 84 - 1235 Days Plan R - Half Yearly IDCW Option;12.9691;11-May-2022")</f>
        <v>145708;INF109KC1QG3;-;ICICI Prudential Fixed Maturity Plan - Series 84 - 1235 Days Plan R - Half Yearly IDCW Option;12.9691;11-May-2022</v>
      </c>
      <c r="B12187" s="1"/>
    </row>
    <row r="12188">
      <c r="A12188" s="1" t="str">
        <f>IFERROR(__xludf.DUMMYFUNCTION("""COMPUTED_VALUE"""),"145710;INF109KC1QF5;-;ICICI Prudential Fixed Maturity Plan - Series 84 - 1235 Days Plan R - Quarterly IDCW Option;12.9695;11-May-2022")</f>
        <v>145710;INF109KC1QF5;-;ICICI Prudential Fixed Maturity Plan - Series 84 - 1235 Days Plan R - Quarterly IDCW Option;12.9695;11-May-2022</v>
      </c>
      <c r="B12188" s="1"/>
    </row>
    <row r="12189">
      <c r="A12189" s="1" t="str">
        <f>IFERROR(__xludf.DUMMYFUNCTION("""COMPUTED_VALUE"""),"145520;INF109KC1NU1;-;ICICI Prudential Fixed Maturity Plan - Series 84 - 1245 Days Plan N - Cumulative Option;13.0267;12-Apr-2022")</f>
        <v>145520;INF109KC1NU1;-;ICICI Prudential Fixed Maturity Plan - Series 84 - 1245 Days Plan N - Cumulative Option;13.0267;12-Apr-2022</v>
      </c>
      <c r="B12189" s="1"/>
    </row>
    <row r="12190">
      <c r="A12190" s="1" t="str">
        <f>IFERROR(__xludf.DUMMYFUNCTION("""COMPUTED_VALUE"""),"145515;INF109KC1NX5;-;ICICI Prudential Fixed Maturity Plan - Series 84 - 1245 Days Plan N - Direct Plan Cumulative Option;13.1353;12-Apr-2022")</f>
        <v>145515;INF109KC1NX5;-;ICICI Prudential Fixed Maturity Plan - Series 84 - 1245 Days Plan N - Direct Plan Cumulative Option;13.1353;12-Apr-2022</v>
      </c>
      <c r="B12190" s="1"/>
    </row>
    <row r="12191">
      <c r="A12191" s="1" t="str">
        <f>IFERROR(__xludf.DUMMYFUNCTION("""COMPUTED_VALUE"""),"145517;INF109KC1NY3;-;ICICI Prudential Fixed Maturity Plan - Series 84 - 1245 Days Plan N - Direct Plan Quarterly IDCW Option;13.1353;12-Apr-2022")</f>
        <v>145517;INF109KC1NY3;-;ICICI Prudential Fixed Maturity Plan - Series 84 - 1245 Days Plan N - Direct Plan Quarterly IDCW Option;13.1353;12-Apr-2022</v>
      </c>
      <c r="B12191" s="1"/>
    </row>
    <row r="12192">
      <c r="A12192" s="1" t="str">
        <f>IFERROR(__xludf.DUMMYFUNCTION("""COMPUTED_VALUE"""),"145516;INF109KC1NV9;-;ICICI Prudential Fixed Maturity Plan - Series 84 - 1245 Days Plan N - Quarterly IDCW Option;13.0267;12-Apr-2022")</f>
        <v>145516;INF109KC1NV9;-;ICICI Prudential Fixed Maturity Plan - Series 84 - 1245 Days Plan N - Quarterly IDCW Option;13.0267;12-Apr-2022</v>
      </c>
      <c r="B12192" s="1"/>
    </row>
    <row r="12193">
      <c r="A12193" s="1" t="str">
        <f>IFERROR(__xludf.DUMMYFUNCTION("""COMPUTED_VALUE"""),"145436;INF109KC1NI6;-;ICICI Prudential Fixed Maturity Plan - Series 84 - 1247 Days Plan M - Cumulative Option;12.8757;05-Apr-2022")</f>
        <v>145436;INF109KC1NI6;-;ICICI Prudential Fixed Maturity Plan - Series 84 - 1247 Days Plan M - Cumulative Option;12.8757;05-Apr-2022</v>
      </c>
      <c r="B12193" s="1"/>
    </row>
    <row r="12194">
      <c r="A12194" s="1" t="str">
        <f>IFERROR(__xludf.DUMMYFUNCTION("""COMPUTED_VALUE"""),"145431;INF109KC1NL0;-;ICICI Prudential Fixed Maturity Plan - Series 84 - 1247 Days Plan M - Direct Plan Cumulative Option;12.9756;05-Apr-2022")</f>
        <v>145431;INF109KC1NL0;-;ICICI Prudential Fixed Maturity Plan - Series 84 - 1247 Days Plan M - Direct Plan Cumulative Option;12.9756;05-Apr-2022</v>
      </c>
      <c r="B12194" s="1"/>
    </row>
    <row r="12195">
      <c r="A12195" s="1" t="str">
        <f>IFERROR(__xludf.DUMMYFUNCTION("""COMPUTED_VALUE"""),"145434;INF109KC1NK2;-;ICICI Prudential Fixed Maturity Plan - Series 84 - 1247 Days Plan M - Half Yearly IDCW Option;12.8755;05-Apr-2022")</f>
        <v>145434;INF109KC1NK2;-;ICICI Prudential Fixed Maturity Plan - Series 84 - 1247 Days Plan M - Half Yearly IDCW Option;12.8755;05-Apr-2022</v>
      </c>
      <c r="B12195" s="1"/>
    </row>
    <row r="12196">
      <c r="A12196" s="1" t="str">
        <f>IFERROR(__xludf.DUMMYFUNCTION("""COMPUTED_VALUE"""),"145432;INF109KC1NJ4;-;ICICI Prudential Fixed Maturity Plan - Series 84 - 1247 Days Plan M - Quarterly IDCW Option;12.8756;05-Apr-2022")</f>
        <v>145432;INF109KC1NJ4;-;ICICI Prudential Fixed Maturity Plan - Series 84 - 1247 Days Plan M - Quarterly IDCW Option;12.8756;05-Apr-2022</v>
      </c>
      <c r="B12196" s="1"/>
    </row>
    <row r="12197">
      <c r="A12197" s="1" t="str">
        <f>IFERROR(__xludf.DUMMYFUNCTION("""COMPUTED_VALUE"""),"145996;INF109KC1RK3;-;ICICI Prudential Fixed Maturity Plan - Series 84 - 1247 Days Plan W - Cumulative Option;12.8525;09-Jun-2022")</f>
        <v>145996;INF109KC1RK3;-;ICICI Prudential Fixed Maturity Plan - Series 84 - 1247 Days Plan W - Cumulative Option;12.8525;09-Jun-2022</v>
      </c>
      <c r="B12197" s="1"/>
    </row>
    <row r="12198">
      <c r="A12198" s="1" t="str">
        <f>IFERROR(__xludf.DUMMYFUNCTION("""COMPUTED_VALUE"""),"145997;INF109KC1RP2;-;ICICI Prudential Fixed Maturity Plan - Series 84 - 1247 Days Plan W - Direct Plan Cumulative Option;12.9539;09-Jun-2022")</f>
        <v>145997;INF109KC1RP2;-;ICICI Prudential Fixed Maturity Plan - Series 84 - 1247 Days Plan W - Direct Plan Cumulative Option;12.9539;09-Jun-2022</v>
      </c>
      <c r="B12198" s="1"/>
    </row>
    <row r="12199">
      <c r="A12199" s="1" t="str">
        <f>IFERROR(__xludf.DUMMYFUNCTION("""COMPUTED_VALUE"""),"145999;INF109KC1RO5;-;ICICI Prudential Fixed Maturity Plan - Series 84 - 1247 Days Plan W - Direct Plan Half Yearly IDCW Option;12.9539;09-Jun-2022")</f>
        <v>145999;INF109KC1RO5;-;ICICI Prudential Fixed Maturity Plan - Series 84 - 1247 Days Plan W - Direct Plan Half Yearly IDCW Option;12.9539;09-Jun-2022</v>
      </c>
      <c r="B12199" s="1"/>
    </row>
    <row r="12200">
      <c r="A12200" s="1" t="str">
        <f>IFERROR(__xludf.DUMMYFUNCTION("""COMPUTED_VALUE"""),"145998;INF109KC1RN7;-;ICICI Prudential Fixed Maturity Plan - Series 84 - 1247 Days Plan W - Direct Plan Quarterly IDCW Option;12.9539;09-Jun-2022")</f>
        <v>145998;INF109KC1RN7;-;ICICI Prudential Fixed Maturity Plan - Series 84 - 1247 Days Plan W - Direct Plan Quarterly IDCW Option;12.9539;09-Jun-2022</v>
      </c>
      <c r="B12200" s="1"/>
    </row>
    <row r="12201">
      <c r="A12201" s="1" t="str">
        <f>IFERROR(__xludf.DUMMYFUNCTION("""COMPUTED_VALUE"""),"146000;INF109KC1RM9;-;ICICI Prudential Fixed Maturity Plan - Series 84 - 1247 Days Plan W - Half Yearly IDCW Option;12.8524;09-Jun-2022")</f>
        <v>146000;INF109KC1RM9;-;ICICI Prudential Fixed Maturity Plan - Series 84 - 1247 Days Plan W - Half Yearly IDCW Option;12.8524;09-Jun-2022</v>
      </c>
      <c r="B12201" s="1"/>
    </row>
    <row r="12202">
      <c r="A12202" s="1" t="str">
        <f>IFERROR(__xludf.DUMMYFUNCTION("""COMPUTED_VALUE"""),"145995;INF109KC1RL1;-;ICICI Prudential Fixed Maturity Plan - Series 84 - 1247 Days Plan W - Quarterly IDCW Option;12.8524;09-Jun-2022")</f>
        <v>145995;INF109KC1RL1;-;ICICI Prudential Fixed Maturity Plan - Series 84 - 1247 Days Plan W - Quarterly IDCW Option;12.8524;09-Jun-2022</v>
      </c>
      <c r="B12202" s="1"/>
    </row>
    <row r="12203">
      <c r="A12203" s="1" t="str">
        <f>IFERROR(__xludf.DUMMYFUNCTION("""COMPUTED_VALUE"""),"145904;INF109KC1QU4;-;ICICI Prudential Fixed Maturity Plan - Series 84 - 1254 Days Plan U - Cumulative Option;12.8252;02-Jun-2022")</f>
        <v>145904;INF109KC1QU4;-;ICICI Prudential Fixed Maturity Plan - Series 84 - 1254 Days Plan U - Cumulative Option;12.8252;02-Jun-2022</v>
      </c>
      <c r="B12203" s="1"/>
    </row>
    <row r="12204">
      <c r="A12204" s="1" t="str">
        <f>IFERROR(__xludf.DUMMYFUNCTION("""COMPUTED_VALUE"""),"145905;INF109KC1QZ3;-;ICICI Prudential Fixed Maturity Plan - Series 84 - 1254 Days Plan U - Direct Plan Cumulative Option;12.9359;02-Jun-2022")</f>
        <v>145905;INF109KC1QZ3;-;ICICI Prudential Fixed Maturity Plan - Series 84 - 1254 Days Plan U - Direct Plan Cumulative Option;12.9359;02-Jun-2022</v>
      </c>
      <c r="B12204" s="1"/>
    </row>
    <row r="12205">
      <c r="A12205" s="1" t="str">
        <f>IFERROR(__xludf.DUMMYFUNCTION("""COMPUTED_VALUE"""),"145909;INF109KC1QY6;-;ICICI Prudential Fixed Maturity Plan - Series 84 - 1254 Days Plan U - Direct Plan Half Yearly IDCW Option;12.9359;02-Jun-2022")</f>
        <v>145909;INF109KC1QY6;-;ICICI Prudential Fixed Maturity Plan - Series 84 - 1254 Days Plan U - Direct Plan Half Yearly IDCW Option;12.9359;02-Jun-2022</v>
      </c>
      <c r="B12205" s="1"/>
    </row>
    <row r="12206">
      <c r="A12206" s="1" t="str">
        <f>IFERROR(__xludf.DUMMYFUNCTION("""COMPUTED_VALUE"""),"145907;INF109KC1QW0;-;ICICI Prudential Fixed Maturity Plan - Series 84 - 1254 Days Plan U - Half Yearly IDCW Option;12.8209;02-Jun-2022")</f>
        <v>145907;INF109KC1QW0;-;ICICI Prudential Fixed Maturity Plan - Series 84 - 1254 Days Plan U - Half Yearly IDCW Option;12.8209;02-Jun-2022</v>
      </c>
      <c r="B12206" s="1"/>
    </row>
    <row r="12207">
      <c r="A12207" s="1" t="str">
        <f>IFERROR(__xludf.DUMMYFUNCTION("""COMPUTED_VALUE"""),"145906;INF109KC1QV2;-;ICICI Prudential Fixed Maturity Plan - Series 84 - 1254 Days Plan U - Quarterly IDCW Option;12.8253;02-Jun-2022")</f>
        <v>145906;INF109KC1QV2;-;ICICI Prudential Fixed Maturity Plan - Series 84 - 1254 Days Plan U - Quarterly IDCW Option;12.8253;02-Jun-2022</v>
      </c>
      <c r="B12207" s="1"/>
    </row>
    <row r="12208">
      <c r="A12208" s="1" t="str">
        <f>IFERROR(__xludf.DUMMYFUNCTION("""COMPUTED_VALUE"""),"145705;INF109KC1PS0;-;ICICI Prudential Fixed Maturity Plan - Series 84 - 1272 Days Plan Q - Cumulative Option;12.9970;30-May-2022")</f>
        <v>145705;INF109KC1PS0;-;ICICI Prudential Fixed Maturity Plan - Series 84 - 1272 Days Plan Q - Cumulative Option;12.9970;30-May-2022</v>
      </c>
      <c r="B12208" s="1"/>
    </row>
    <row r="12209">
      <c r="A12209" s="1" t="str">
        <f>IFERROR(__xludf.DUMMYFUNCTION("""COMPUTED_VALUE"""),"145701;INF109KC1PV4;-;ICICI Prudential Fixed Maturity Plan - Series 84 - 1272 Days Plan Q - Direct Plan Cumulative Option;13.1022;30-May-2022")</f>
        <v>145701;INF109KC1PV4;-;ICICI Prudential Fixed Maturity Plan - Series 84 - 1272 Days Plan Q - Direct Plan Cumulative Option;13.1022;30-May-2022</v>
      </c>
      <c r="B12209" s="1"/>
    </row>
    <row r="12210">
      <c r="A12210" s="1" t="str">
        <f>IFERROR(__xludf.DUMMYFUNCTION("""COMPUTED_VALUE"""),"145706;INF109KC1PU6;-;ICICI Prudential Fixed Maturity Plan - Series 84 - 1272 Days Plan Q - Half Yearly IDCW Option;12.9969;30-May-2022")</f>
        <v>145706;INF109KC1PU6;-;ICICI Prudential Fixed Maturity Plan - Series 84 - 1272 Days Plan Q - Half Yearly IDCW Option;12.9969;30-May-2022</v>
      </c>
      <c r="B12210" s="1"/>
    </row>
    <row r="12211">
      <c r="A12211" s="1" t="str">
        <f>IFERROR(__xludf.DUMMYFUNCTION("""COMPUTED_VALUE"""),"145702;INF109KC1PT8;-;ICICI Prudential Fixed Maturity Plan - Series 84 - 1272 Days Plan Q - Quarterly IDCW Option;12.9970;30-May-2022")</f>
        <v>145702;INF109KC1PT8;-;ICICI Prudential Fixed Maturity Plan - Series 84 - 1272 Days Plan Q - Quarterly IDCW Option;12.9970;30-May-2022</v>
      </c>
      <c r="B12211" s="1"/>
    </row>
    <row r="12212">
      <c r="A12212" s="1" t="str">
        <f>IFERROR(__xludf.DUMMYFUNCTION("""COMPUTED_VALUE"""),"145312;INF109KC1MO6;-;ICICI Prudential Fixed Maturity Plan - Series 84 - 1275 Days Plan K - Cumulative Option;13.0900;21-Apr-2022")</f>
        <v>145312;INF109KC1MO6;-;ICICI Prudential Fixed Maturity Plan - Series 84 - 1275 Days Plan K - Cumulative Option;13.0900;21-Apr-2022</v>
      </c>
      <c r="B12212" s="1"/>
    </row>
    <row r="12213">
      <c r="A12213" s="1" t="str">
        <f>IFERROR(__xludf.DUMMYFUNCTION("""COMPUTED_VALUE"""),"145307;INF109KC1MR9;-;ICICI Prudential Fixed Maturity Plan - Series 84 - 1275 Days Plan K - Direct Plan Cumulative Option;13.2257;21-Apr-2022")</f>
        <v>145307;INF109KC1MR9;-;ICICI Prudential Fixed Maturity Plan - Series 84 - 1275 Days Plan K - Direct Plan Cumulative Option;13.2257;21-Apr-2022</v>
      </c>
      <c r="B12213" s="1"/>
    </row>
    <row r="12214">
      <c r="A12214" s="1" t="str">
        <f>IFERROR(__xludf.DUMMYFUNCTION("""COMPUTED_VALUE"""),"145310;INF109KC1MT5;-;ICICI Prudential Fixed Maturity Plan - Series 84 - 1275 Days Plan K - Direct Plan Half Yearly IDCW Option;13.2257;21-Apr-2022")</f>
        <v>145310;INF109KC1MT5;-;ICICI Prudential Fixed Maturity Plan - Series 84 - 1275 Days Plan K - Direct Plan Half Yearly IDCW Option;13.2257;21-Apr-2022</v>
      </c>
      <c r="B12214" s="1"/>
    </row>
    <row r="12215">
      <c r="A12215" s="1" t="str">
        <f>IFERROR(__xludf.DUMMYFUNCTION("""COMPUTED_VALUE"""),"145309;INF109KC1MQ1;-;ICICI Prudential Fixed Maturity Plan - Series 84 - 1275 Days Plan K - Half Yearly IDCW Option;13.0900;21-Apr-2022")</f>
        <v>145309;INF109KC1MQ1;-;ICICI Prudential Fixed Maturity Plan - Series 84 - 1275 Days Plan K - Half Yearly IDCW Option;13.0900;21-Apr-2022</v>
      </c>
      <c r="B12215" s="1"/>
    </row>
    <row r="12216">
      <c r="A12216" s="1" t="str">
        <f>IFERROR(__xludf.DUMMYFUNCTION("""COMPUTED_VALUE"""),"145308;INF109KC1MP3;-;ICICI Prudential Fixed Maturity Plan - Series 84 - 1275 Days Plan K - Quarterly IDCW Option;13.0900;21-Apr-2022")</f>
        <v>145308;INF109KC1MP3;-;ICICI Prudential Fixed Maturity Plan - Series 84 - 1275 Days Plan K - Quarterly IDCW Option;13.0900;21-Apr-2022</v>
      </c>
      <c r="B12216" s="1"/>
    </row>
    <row r="12217">
      <c r="A12217" s="1" t="str">
        <f>IFERROR(__xludf.DUMMYFUNCTION("""COMPUTED_VALUE"""),"145627;INF109KC1PM3;-;ICICI Prudential Fixed Maturity Plan - Series 84 - 1279 Days Plan P - Cumulative Option;13.0059;30-May-2022")</f>
        <v>145627;INF109KC1PM3;-;ICICI Prudential Fixed Maturity Plan - Series 84 - 1279 Days Plan P - Cumulative Option;13.0059;30-May-2022</v>
      </c>
      <c r="B12217" s="1"/>
    </row>
    <row r="12218">
      <c r="A12218" s="1" t="str">
        <f>IFERROR(__xludf.DUMMYFUNCTION("""COMPUTED_VALUE"""),"145628;INF109KC1PP6;-;ICICI Prudential Fixed Maturity Plan - Series 84 - 1279 Days Plan P - Direct Plan Cumulative Option;13.1184;30-May-2022")</f>
        <v>145628;INF109KC1PP6;-;ICICI Prudential Fixed Maturity Plan - Series 84 - 1279 Days Plan P - Direct Plan Cumulative Option;13.1184;30-May-2022</v>
      </c>
      <c r="B12218" s="1"/>
    </row>
    <row r="12219">
      <c r="A12219" s="1" t="str">
        <f>IFERROR(__xludf.DUMMYFUNCTION("""COMPUTED_VALUE"""),"145630;INF109KC1PO9;-;ICICI Prudential Fixed Maturity Plan - Series 84 - 1279 Days Plan P - Half Yearly IDCW Option;13.0103;30-May-2022")</f>
        <v>145630;INF109KC1PO9;-;ICICI Prudential Fixed Maturity Plan - Series 84 - 1279 Days Plan P - Half Yearly IDCW Option;13.0103;30-May-2022</v>
      </c>
      <c r="B12219" s="1"/>
    </row>
    <row r="12220">
      <c r="A12220" s="1" t="str">
        <f>IFERROR(__xludf.DUMMYFUNCTION("""COMPUTED_VALUE"""),"145632;INF109KC1PN1;-;ICICI Prudential Fixed Maturity Plan - Series 84 - 1279 Days Plan P - Quarterly IDCW Option;13.0058;30-May-2022")</f>
        <v>145632;INF109KC1PN1;-;ICICI Prudential Fixed Maturity Plan - Series 84 - 1279 Days Plan P - Quarterly IDCW Option;13.0058;30-May-2022</v>
      </c>
      <c r="B12220" s="1"/>
    </row>
    <row r="12221">
      <c r="A12221" s="1" t="str">
        <f>IFERROR(__xludf.DUMMYFUNCTION("""COMPUTED_VALUE"""),"145119;INF109KC1LM2;-;ICICI Prudential Fixed Maturity Plan - Series 84 - 1286 Days Plan F - Cumulative Option;13.1485;18-Apr-2022")</f>
        <v>145119;INF109KC1LM2;-;ICICI Prudential Fixed Maturity Plan - Series 84 - 1286 Days Plan F - Cumulative Option;13.1485;18-Apr-2022</v>
      </c>
      <c r="B12221" s="1"/>
    </row>
    <row r="12222">
      <c r="A12222" s="1" t="str">
        <f>IFERROR(__xludf.DUMMYFUNCTION("""COMPUTED_VALUE"""),"145122;INF109KC1LP5;-;ICICI Prudential Fixed Maturity Plan - Series 84 - 1286 Days Plan F - Direct Plan Cumulative Option;13.2506;18-Apr-2022")</f>
        <v>145122;INF109KC1LP5;-;ICICI Prudential Fixed Maturity Plan - Series 84 - 1286 Days Plan F - Direct Plan Cumulative Option;13.2506;18-Apr-2022</v>
      </c>
      <c r="B12222" s="1"/>
    </row>
    <row r="12223">
      <c r="A12223" s="1" t="str">
        <f>IFERROR(__xludf.DUMMYFUNCTION("""COMPUTED_VALUE"""),"145124;INF109KC1LQ3;-;ICICI Prudential Fixed Maturity Plan - Series 84 - 1286 Days Plan F - Direct Plan Quarterly IDCW Option;13.2506;18-Apr-2022")</f>
        <v>145124;INF109KC1LQ3;-;ICICI Prudential Fixed Maturity Plan - Series 84 - 1286 Days Plan F - Direct Plan Quarterly IDCW Option;13.2506;18-Apr-2022</v>
      </c>
      <c r="B12223" s="1"/>
    </row>
    <row r="12224">
      <c r="A12224" s="1" t="str">
        <f>IFERROR(__xludf.DUMMYFUNCTION("""COMPUTED_VALUE"""),"145123;INF109KC1LN0;-;ICICI Prudential Fixed Maturity Plan - Series 84 - 1286 Days Plan F - Quarterly IDCW Option;13.1485;18-Apr-2022")</f>
        <v>145123;INF109KC1LN0;-;ICICI Prudential Fixed Maturity Plan - Series 84 - 1286 Days Plan F - Quarterly IDCW Option;13.1485;18-Apr-2022</v>
      </c>
      <c r="B12224" s="1"/>
    </row>
    <row r="12225">
      <c r="A12225" s="1" t="str">
        <f>IFERROR(__xludf.DUMMYFUNCTION("""COMPUTED_VALUE"""),"145184;INF109KC1MI8;-;ICICI Prudential Fixed Maturity Plan - Series 84 - 1287 Days Plan I - Cumulative Option;13.2041;02-May-2022")</f>
        <v>145184;INF109KC1MI8;-;ICICI Prudential Fixed Maturity Plan - Series 84 - 1287 Days Plan I - Cumulative Option;13.2041;02-May-2022</v>
      </c>
      <c r="B12225" s="1"/>
    </row>
    <row r="12226">
      <c r="A12226" s="1" t="str">
        <f>IFERROR(__xludf.DUMMYFUNCTION("""COMPUTED_VALUE"""),"145185;INF109KC1ML2;-;ICICI Prudential Fixed Maturity Plan - Series 84 - 1287 Days Plan I - Direct Plan Cumulative Option;13.3454;02-May-2022")</f>
        <v>145185;INF109KC1ML2;-;ICICI Prudential Fixed Maturity Plan - Series 84 - 1287 Days Plan I - Direct Plan Cumulative Option;13.3454;02-May-2022</v>
      </c>
      <c r="B12226" s="1"/>
    </row>
    <row r="12227">
      <c r="A12227" s="1" t="str">
        <f>IFERROR(__xludf.DUMMYFUNCTION("""COMPUTED_VALUE"""),"145183;INF109KC1MK4;-;ICICI Prudential Fixed Maturity Plan - Series 84 - 1287 Days Plan I - Half Yearly IDCW Option;13.2030;02-May-2022")</f>
        <v>145183;INF109KC1MK4;-;ICICI Prudential Fixed Maturity Plan - Series 84 - 1287 Days Plan I - Half Yearly IDCW Option;13.2030;02-May-2022</v>
      </c>
      <c r="B12227" s="1"/>
    </row>
    <row r="12228">
      <c r="A12228" s="1" t="str">
        <f>IFERROR(__xludf.DUMMYFUNCTION("""COMPUTED_VALUE"""),"145186;INF109KC1MJ6;-;ICICI Prudential Fixed Maturity Plan - Series 84 - 1287 Days Plan I - Quarterly IDCW Option;13.2039;02-May-2022")</f>
        <v>145186;INF109KC1MJ6;-;ICICI Prudential Fixed Maturity Plan - Series 84 - 1287 Days Plan I - Quarterly IDCW Option;13.2039;02-May-2022</v>
      </c>
      <c r="B12228" s="1"/>
    </row>
    <row r="12229">
      <c r="A12229" s="1" t="str">
        <f>IFERROR(__xludf.DUMMYFUNCTION("""COMPUTED_VALUE"""),"145024;INF109KC1LA7;-;ICICI Prudential Fixed Maturity Plan - Series 84 - 1288 Days Plan E - Cumulative Option;13.1455;13-Apr-2022")</f>
        <v>145024;INF109KC1LA7;-;ICICI Prudential Fixed Maturity Plan - Series 84 - 1288 Days Plan E - Cumulative Option;13.1455;13-Apr-2022</v>
      </c>
      <c r="B12229" s="1"/>
    </row>
    <row r="12230">
      <c r="A12230" s="1" t="str">
        <f>IFERROR(__xludf.DUMMYFUNCTION("""COMPUTED_VALUE"""),"145028;INF109KC1LD1;-;ICICI Prudential Fixed Maturity Plan - Series 84 - 1288 Days Plan E - Direct Plan Cumulative Option;13.2587;13-Apr-2022")</f>
        <v>145028;INF109KC1LD1;-;ICICI Prudential Fixed Maturity Plan - Series 84 - 1288 Days Plan E - Direct Plan Cumulative Option;13.2587;13-Apr-2022</v>
      </c>
      <c r="B12230" s="1"/>
    </row>
    <row r="12231">
      <c r="A12231" s="1" t="str">
        <f>IFERROR(__xludf.DUMMYFUNCTION("""COMPUTED_VALUE"""),"145026;INF109KC1LC3;-;ICICI Prudential Fixed Maturity Plan - Series 84 - 1288 Days Plan E - Half Yearly IDCW Option;13.1454;13-Apr-2022")</f>
        <v>145026;INF109KC1LC3;-;ICICI Prudential Fixed Maturity Plan - Series 84 - 1288 Days Plan E - Half Yearly IDCW Option;13.1454;13-Apr-2022</v>
      </c>
      <c r="B12231" s="1"/>
    </row>
    <row r="12232">
      <c r="A12232" s="1" t="str">
        <f>IFERROR(__xludf.DUMMYFUNCTION("""COMPUTED_VALUE"""),"145025;INF109KC1LB5;-;ICICI Prudential Fixed Maturity Plan - Series 84 - 1288 Days Plan E - Quarterly IDCW Option;13.1453;13-Apr-2022")</f>
        <v>145025;INF109KC1LB5;-;ICICI Prudential Fixed Maturity Plan - Series 84 - 1288 Days Plan E - Quarterly IDCW Option;13.1453;13-Apr-2022</v>
      </c>
      <c r="B12232" s="1"/>
    </row>
    <row r="12233">
      <c r="A12233" s="1" t="str">
        <f>IFERROR(__xludf.DUMMYFUNCTION("""COMPUTED_VALUE"""),"145623;INF109KC1PG5;-;ICICI Prudential Fixed Maturity Plan - Series 84 - 1288 Days Plan O - Cumulative Option;13.1572;30-May-2022")</f>
        <v>145623;INF109KC1PG5;-;ICICI Prudential Fixed Maturity Plan - Series 84 - 1288 Days Plan O - Cumulative Option;13.1572;30-May-2022</v>
      </c>
      <c r="B12233" s="1"/>
    </row>
    <row r="12234">
      <c r="A12234" s="1" t="str">
        <f>IFERROR(__xludf.DUMMYFUNCTION("""COMPUTED_VALUE"""),"145625;INF109KC1PJ9;-;ICICI Prudential Fixed Maturity Plan - Series 84 - 1288 Days Plan O - Direct Plan Cumulative Option;13.2039;30-May-2022")</f>
        <v>145625;INF109KC1PJ9;-;ICICI Prudential Fixed Maturity Plan - Series 84 - 1288 Days Plan O - Direct Plan Cumulative Option;13.2039;30-May-2022</v>
      </c>
      <c r="B12234" s="1"/>
    </row>
    <row r="12235">
      <c r="A12235" s="1" t="str">
        <f>IFERROR(__xludf.DUMMYFUNCTION("""COMPUTED_VALUE"""),"145626;INF109KC1PK7;-;ICICI Prudential Fixed Maturity Plan - Series 84 - 1288 Days Plan O - Direct Plan Quarterly IDCW Option;13.2039;30-May-2022")</f>
        <v>145626;INF109KC1PK7;-;ICICI Prudential Fixed Maturity Plan - Series 84 - 1288 Days Plan O - Direct Plan Quarterly IDCW Option;13.2039;30-May-2022</v>
      </c>
      <c r="B12235" s="1"/>
    </row>
    <row r="12236">
      <c r="A12236" s="1" t="str">
        <f>IFERROR(__xludf.DUMMYFUNCTION("""COMPUTED_VALUE"""),"145023;INF109KC1KU7;-;ICICI Prudential Fixed Maturity Plan - Series 84 - 1293 Days Plan D - Cumulative Option;13.2388;11-Apr-2022")</f>
        <v>145023;INF109KC1KU7;-;ICICI Prudential Fixed Maturity Plan - Series 84 - 1293 Days Plan D - Cumulative Option;13.2388;11-Apr-2022</v>
      </c>
      <c r="B12236" s="1"/>
    </row>
    <row r="12237">
      <c r="A12237" s="1" t="str">
        <f>IFERROR(__xludf.DUMMYFUNCTION("""COMPUTED_VALUE"""),"145018;INF109KC1KX1;-;ICICI Prudential Fixed Maturity Plan - Series 84 - 1293 Days Plan D - Direct Plan Cumulative Option;13.3589;11-Apr-2022")</f>
        <v>145018;INF109KC1KX1;-;ICICI Prudential Fixed Maturity Plan - Series 84 - 1293 Days Plan D - Direct Plan Cumulative Option;13.3589;11-Apr-2022</v>
      </c>
      <c r="B12237" s="1"/>
    </row>
    <row r="12238">
      <c r="A12238" s="1" t="str">
        <f>IFERROR(__xludf.DUMMYFUNCTION("""COMPUTED_VALUE"""),"145021;INF109KC1KW3;-;ICICI Prudential Fixed Maturity Plan - Series 84 - 1293 Days Plan D - Half Yearly IDCW Option;13.2414;11-Apr-2022")</f>
        <v>145021;INF109KC1KW3;-;ICICI Prudential Fixed Maturity Plan - Series 84 - 1293 Days Plan D - Half Yearly IDCW Option;13.2414;11-Apr-2022</v>
      </c>
      <c r="B12238" s="1"/>
    </row>
    <row r="12239">
      <c r="A12239" s="1" t="str">
        <f>IFERROR(__xludf.DUMMYFUNCTION("""COMPUTED_VALUE"""),"145019;INF109KC1KV5;-;ICICI Prudential Fixed Maturity Plan - Series 84 - 1293 Days Plan D - Quarterly IDCW Option;13.2388;11-Apr-2022")</f>
        <v>145019;INF109KC1KV5;-;ICICI Prudential Fixed Maturity Plan - Series 84 - 1293 Days Plan D - Quarterly IDCW Option;13.2388;11-Apr-2022</v>
      </c>
      <c r="B12239" s="1"/>
    </row>
    <row r="12240">
      <c r="A12240" s="1" t="str">
        <f>IFERROR(__xludf.DUMMYFUNCTION("""COMPUTED_VALUE"""),"145132;INF109KC1LS9;-;ICICI Prudential Fixed Maturity Plan - Series 84 - 168 Days Plan G - Cumulative Option;10.3545;13-Mar-2019")</f>
        <v>145132;INF109KC1LS9;-;ICICI Prudential Fixed Maturity Plan - Series 84 - 168 Days Plan G - Cumulative Option;10.3545;13-Mar-2019</v>
      </c>
      <c r="B12240" s="1"/>
    </row>
    <row r="12241">
      <c r="A12241" s="1" t="str">
        <f>IFERROR(__xludf.DUMMYFUNCTION("""COMPUTED_VALUE"""),"145129;INF109KC1LU5;-;ICICI Prudential Fixed Maturity Plan - Series 84 - 168 Days Plan G - Direct Plan Cumulative Option;10.3638;13-Mar-2019")</f>
        <v>145129;INF109KC1LU5;-;ICICI Prudential Fixed Maturity Plan - Series 84 - 168 Days Plan G - Direct Plan Cumulative Option;10.3638;13-Mar-2019</v>
      </c>
      <c r="B12241" s="1"/>
    </row>
    <row r="12242">
      <c r="A12242" s="1" t="str">
        <f>IFERROR(__xludf.DUMMYFUNCTION("""COMPUTED_VALUE"""),"145131;INF109KC1LT7;-;ICICI Prudential Fixed Maturity Plan - Series 84 - 168 Days Plan G - Dividend Option;10.3545;13-Mar-2019")</f>
        <v>145131;INF109KC1LT7;-;ICICI Prudential Fixed Maturity Plan - Series 84 - 168 Days Plan G - Dividend Option;10.3545;13-Mar-2019</v>
      </c>
      <c r="B12242" s="1"/>
    </row>
    <row r="12243">
      <c r="A12243" s="1" t="str">
        <f>IFERROR(__xludf.DUMMYFUNCTION("""COMPUTED_VALUE"""),"146797;INF109KC1VQ2;-;ICICI Prudential Fixed Maturity Plan - Series 85 - 10 Years Plan I - Cumulative Option;14.3067;25-Aug-2023")</f>
        <v>146797;INF109KC1VQ2;-;ICICI Prudential Fixed Maturity Plan - Series 85 - 10 Years Plan I - Cumulative Option;14.3067;25-Aug-2023</v>
      </c>
      <c r="B12243" s="1"/>
    </row>
    <row r="12244">
      <c r="A12244" s="1" t="str">
        <f>IFERROR(__xludf.DUMMYFUNCTION("""COMPUTED_VALUE"""),"146795;INF109KC1VT6;-;ICICI Prudential Fixed Maturity Plan - Series 85 - 10 Years Plan I - Direct Plan Cumulative Option;14.4691;25-Aug-2023")</f>
        <v>146795;INF109KC1VT6;-;ICICI Prudential Fixed Maturity Plan - Series 85 - 10 Years Plan I - Direct Plan Cumulative Option;14.4691;25-Aug-2023</v>
      </c>
      <c r="B12244" s="1"/>
    </row>
    <row r="12245">
      <c r="A12245" s="1" t="str">
        <f>IFERROR(__xludf.DUMMYFUNCTION("""COMPUTED_VALUE"""),"146800;INF109KC1VR0;-;ICICI Prudential Fixed Maturity Plan - Series 85 - 10 Years Plan I - Quarterly IDCW Option;14.3066;25-Aug-2023")</f>
        <v>146800;INF109KC1VR0;-;ICICI Prudential Fixed Maturity Plan - Series 85 - 10 Years Plan I - Quarterly IDCW Option;14.3066;25-Aug-2023</v>
      </c>
      <c r="B12245" s="1"/>
    </row>
    <row r="12246">
      <c r="A12246" s="1" t="str">
        <f>IFERROR(__xludf.DUMMYFUNCTION("""COMPUTED_VALUE"""),"146911;INF109KC1WY4;-;ICICI Prudential Fixed Maturity Plan - Series 85 - 1127 Days Plan O - Cumulative Option;12.3725;25-Apr-2022")</f>
        <v>146911;INF109KC1WY4;-;ICICI Prudential Fixed Maturity Plan - Series 85 - 1127 Days Plan O - Cumulative Option;12.3725;25-Apr-2022</v>
      </c>
      <c r="B12246" s="1"/>
    </row>
    <row r="12247">
      <c r="A12247" s="1" t="str">
        <f>IFERROR(__xludf.DUMMYFUNCTION("""COMPUTED_VALUE"""),"146912;INF109KC1XB0;-;ICICI Prudential Fixed Maturity Plan - Series 85 - 1127 Days Plan O - Direct Plan Cumulative Option;12.4682;25-Apr-2022")</f>
        <v>146912;INF109KC1XB0;-;ICICI Prudential Fixed Maturity Plan - Series 85 - 1127 Days Plan O - Direct Plan Cumulative Option;12.4682;25-Apr-2022</v>
      </c>
      <c r="B12247" s="1"/>
    </row>
    <row r="12248">
      <c r="A12248" s="1" t="str">
        <f>IFERROR(__xludf.DUMMYFUNCTION("""COMPUTED_VALUE"""),"146915;INF109KC1XA2;-;ICICI Prudential Fixed Maturity Plan - Series 85 - 1127 Days Plan O - Half Yearly IDCW Option;12.3725;25-Apr-2022")</f>
        <v>146915;INF109KC1XA2;-;ICICI Prudential Fixed Maturity Plan - Series 85 - 1127 Days Plan O - Half Yearly IDCW Option;12.3725;25-Apr-2022</v>
      </c>
      <c r="B12248" s="1"/>
    </row>
    <row r="12249">
      <c r="A12249" s="1" t="str">
        <f>IFERROR(__xludf.DUMMYFUNCTION("""COMPUTED_VALUE"""),"146935;INF109KC1XO3;-;ICICI Prudential Fixed Maturity Plan - Series 85 - 1127 Days Plan Q - Cumulative Option;12.3984;28-Apr-2022")</f>
        <v>146935;INF109KC1XO3;-;ICICI Prudential Fixed Maturity Plan - Series 85 - 1127 Days Plan Q - Cumulative Option;12.3984;28-Apr-2022</v>
      </c>
      <c r="B12249" s="1"/>
    </row>
    <row r="12250">
      <c r="A12250" s="1" t="str">
        <f>IFERROR(__xludf.DUMMYFUNCTION("""COMPUTED_VALUE"""),"146931;INF109KC1XR6;-;ICICI Prudential Fixed Maturity Plan - Series 85 - 1127 Days Plan Q - Direct Plan Cumulative Option;12.4738;28-Apr-2022")</f>
        <v>146931;INF109KC1XR6;-;ICICI Prudential Fixed Maturity Plan - Series 85 - 1127 Days Plan Q - Direct Plan Cumulative Option;12.4738;28-Apr-2022</v>
      </c>
      <c r="B12250" s="1"/>
    </row>
    <row r="12251">
      <c r="A12251" s="1" t="str">
        <f>IFERROR(__xludf.DUMMYFUNCTION("""COMPUTED_VALUE"""),"146932;INF109KC1XQ8;-;ICICI Prudential Fixed Maturity Plan - Series 85 - 1127 Days Plan Q - Half Yearly IDCW Option;12.3976;28-Apr-2022")</f>
        <v>146932;INF109KC1XQ8;-;ICICI Prudential Fixed Maturity Plan - Series 85 - 1127 Days Plan Q - Half Yearly IDCW Option;12.3976;28-Apr-2022</v>
      </c>
      <c r="B12251" s="1"/>
    </row>
    <row r="12252">
      <c r="A12252" s="1" t="str">
        <f>IFERROR(__xludf.DUMMYFUNCTION("""COMPUTED_VALUE"""),"146933;INF109KC1XP0;-;ICICI Prudential Fixed Maturity Plan - Series 85 - 1127 Days Plan Q - Quarterly IDCW Option;12.3984;28-Apr-2022")</f>
        <v>146933;INF109KC1XP0;-;ICICI Prudential Fixed Maturity Plan - Series 85 - 1127 Days Plan Q - Quarterly IDCW Option;12.3984;28-Apr-2022</v>
      </c>
      <c r="B12252" s="1"/>
    </row>
    <row r="12253">
      <c r="A12253" s="1" t="str">
        <f>IFERROR(__xludf.DUMMYFUNCTION("""COMPUTED_VALUE"""),"146926;INF109KC1XI5;-;ICICI Prudential Fixed Maturity Plan - Series 85 - 1129 Days Plan P - Cumulative Option;12.4567;28-Apr-2022")</f>
        <v>146926;INF109KC1XI5;-;ICICI Prudential Fixed Maturity Plan - Series 85 - 1129 Days Plan P - Cumulative Option;12.4567;28-Apr-2022</v>
      </c>
      <c r="B12253" s="1"/>
    </row>
    <row r="12254">
      <c r="A12254" s="1" t="str">
        <f>IFERROR(__xludf.DUMMYFUNCTION("""COMPUTED_VALUE"""),"146924;INF109KC1XL9;-;ICICI Prudential Fixed Maturity Plan - Series 85 - 1129 Days Plan P - Direct Plan Cumulative Option;12.4952;28-Apr-2022")</f>
        <v>146924;INF109KC1XL9;-;ICICI Prudential Fixed Maturity Plan - Series 85 - 1129 Days Plan P - Direct Plan Cumulative Option;12.4952;28-Apr-2022</v>
      </c>
      <c r="B12254" s="1"/>
    </row>
    <row r="12255">
      <c r="A12255" s="1" t="str">
        <f>IFERROR(__xludf.DUMMYFUNCTION("""COMPUTED_VALUE"""),"146925;INF109KC1XJ3;-;ICICI Prudential Fixed Maturity Plan - Series 85 - 1129 Days Plan P - Quarterly IDCW Option;12.4567;28-Apr-2022")</f>
        <v>146925;INF109KC1XJ3;-;ICICI Prudential Fixed Maturity Plan - Series 85 - 1129 Days Plan P - Quarterly IDCW Option;12.4567;28-Apr-2022</v>
      </c>
      <c r="B12255" s="1"/>
    </row>
    <row r="12256">
      <c r="A12256" s="1" t="str">
        <f>IFERROR(__xludf.DUMMYFUNCTION("""COMPUTED_VALUE"""),"146981;INF109KC1XU0;-;ICICI Prudential Fixed Maturity Plan - Series 85 - 1140 Days Plan R - Cumulative Option;12.6078;10-May-2022")</f>
        <v>146981;INF109KC1XU0;-;ICICI Prudential Fixed Maturity Plan - Series 85 - 1140 Days Plan R - Cumulative Option;12.6078;10-May-2022</v>
      </c>
      <c r="B12256" s="1"/>
    </row>
    <row r="12257">
      <c r="A12257" s="1" t="str">
        <f>IFERROR(__xludf.DUMMYFUNCTION("""COMPUTED_VALUE"""),"146982;INF109KC1XX4;-;ICICI Prudential Fixed Maturity Plan - Series 85 - 1140 Days Plan R - Direct Plan Cumulative Option;12.6843;10-May-2022")</f>
        <v>146982;INF109KC1XX4;-;ICICI Prudential Fixed Maturity Plan - Series 85 - 1140 Days Plan R - Direct Plan Cumulative Option;12.6843;10-May-2022</v>
      </c>
      <c r="B12257" s="1"/>
    </row>
    <row r="12258">
      <c r="A12258" s="1" t="str">
        <f>IFERROR(__xludf.DUMMYFUNCTION("""COMPUTED_VALUE"""),"146983;INF109KC1XV8;-;ICICI Prudential Fixed Maturity Plan - Series 85 - 1140 Days Plan R - Quarterly IDCW Option;12.6078;10-May-2022")</f>
        <v>146983;INF109KC1XV8;-;ICICI Prudential Fixed Maturity Plan - Series 85 - 1140 Days Plan R - Quarterly IDCW Option;12.6078;10-May-2022</v>
      </c>
      <c r="B12258" s="1"/>
    </row>
    <row r="12259">
      <c r="A12259" s="1" t="str">
        <f>IFERROR(__xludf.DUMMYFUNCTION("""COMPUTED_VALUE"""),"146810;INF109KC1VK5;-;ICICI Prudential Fixed Maturity Plan - Series 85 - 1143 Days Plan J - Cumulative Option;12.4678;02-May-2022")</f>
        <v>146810;INF109KC1VK5;-;ICICI Prudential Fixed Maturity Plan - Series 85 - 1143 Days Plan J - Cumulative Option;12.4678;02-May-2022</v>
      </c>
      <c r="B12259" s="1"/>
    </row>
    <row r="12260">
      <c r="A12260" s="1" t="str">
        <f>IFERROR(__xludf.DUMMYFUNCTION("""COMPUTED_VALUE"""),"146811;INF109KC1VN9;-;ICICI Prudential Fixed Maturity Plan - Series 85 - 1143 Days Plan J - Direct Plan Cumulative Option;12.5069;02-May-2022")</f>
        <v>146811;INF109KC1VN9;-;ICICI Prudential Fixed Maturity Plan - Series 85 - 1143 Days Plan J - Direct Plan Cumulative Option;12.5069;02-May-2022</v>
      </c>
      <c r="B12260" s="1"/>
    </row>
    <row r="12261">
      <c r="A12261" s="1" t="str">
        <f>IFERROR(__xludf.DUMMYFUNCTION("""COMPUTED_VALUE"""),"146809;INF109KC1VO7;-;ICICI Prudential Fixed Maturity Plan - Series 85 - 1143 Days Plan J - Direct Plan Quarterly IDCW Option;12.5069;02-May-2022")</f>
        <v>146809;INF109KC1VO7;-;ICICI Prudential Fixed Maturity Plan - Series 85 - 1143 Days Plan J - Direct Plan Quarterly IDCW Option;12.5069;02-May-2022</v>
      </c>
      <c r="B12261" s="1"/>
    </row>
    <row r="12262">
      <c r="A12262" s="1" t="str">
        <f>IFERROR(__xludf.DUMMYFUNCTION("""COMPUTED_VALUE"""),"146807;INF109KC1VM1;-;ICICI Prudential Fixed Maturity Plan - Series 85 - 1143 Days Plan J - Half Yearly IDCW Option;12.4678;02-May-2022")</f>
        <v>146807;INF109KC1VM1;-;ICICI Prudential Fixed Maturity Plan - Series 85 - 1143 Days Plan J - Half Yearly IDCW Option;12.4678;02-May-2022</v>
      </c>
      <c r="B12262" s="1"/>
    </row>
    <row r="12263">
      <c r="A12263" s="1" t="str">
        <f>IFERROR(__xludf.DUMMYFUNCTION("""COMPUTED_VALUE"""),"146531;INF109KC1UK7;-;ICICI Prudential Fixed Maturity Plan - Series 85 - 1156 Days Plan F - Cumulative Option;12.5627;27-Apr-2022")</f>
        <v>146531;INF109KC1UK7;-;ICICI Prudential Fixed Maturity Plan - Series 85 - 1156 Days Plan F - Cumulative Option;12.5627;27-Apr-2022</v>
      </c>
      <c r="B12263" s="1"/>
    </row>
    <row r="12264">
      <c r="A12264" s="1" t="str">
        <f>IFERROR(__xludf.DUMMYFUNCTION("""COMPUTED_VALUE"""),"146532;INF109KC1UN1;-;ICICI Prudential Fixed Maturity Plan - Series 85 - 1156 Days Plan F - Direct Plan Cumulative Option;12.6837;27-Apr-2022")</f>
        <v>146532;INF109KC1UN1;-;ICICI Prudential Fixed Maturity Plan - Series 85 - 1156 Days Plan F - Direct Plan Cumulative Option;12.6837;27-Apr-2022</v>
      </c>
      <c r="B12264" s="1"/>
    </row>
    <row r="12265">
      <c r="A12265" s="1" t="str">
        <f>IFERROR(__xludf.DUMMYFUNCTION("""COMPUTED_VALUE"""),"146530;INF109KC1UP6;-;ICICI Prudential Fixed Maturity Plan - Series 85 - 1156 Days Plan F - Direct Plan Half Yearly IDCW Option;12.6837;27-Apr-2022")</f>
        <v>146530;INF109KC1UP6;-;ICICI Prudential Fixed Maturity Plan - Series 85 - 1156 Days Plan F - Direct Plan Half Yearly IDCW Option;12.6837;27-Apr-2022</v>
      </c>
      <c r="B12265" s="1"/>
    </row>
    <row r="12266">
      <c r="A12266" s="1" t="str">
        <f>IFERROR(__xludf.DUMMYFUNCTION("""COMPUTED_VALUE"""),"146535;INF109KC1UM3;-;ICICI Prudential Fixed Maturity Plan - Series 85 - 1156 Days Plan F - Half Yearly IDCW Option;12.5627;27-Apr-2022")</f>
        <v>146535;INF109KC1UM3;-;ICICI Prudential Fixed Maturity Plan - Series 85 - 1156 Days Plan F - Half Yearly IDCW Option;12.5627;27-Apr-2022</v>
      </c>
      <c r="B12266" s="1"/>
    </row>
    <row r="12267">
      <c r="A12267" s="1" t="str">
        <f>IFERROR(__xludf.DUMMYFUNCTION("""COMPUTED_VALUE"""),"146533;INF109KC1UL5;-;ICICI Prudential Fixed Maturity Plan - Series 85 - 1156 Days Plan F - Quarterly IDCW Option;12.5627;27-Apr-2022")</f>
        <v>146533;INF109KC1UL5;-;ICICI Prudential Fixed Maturity Plan - Series 85 - 1156 Days Plan F - Quarterly IDCW Option;12.5627;27-Apr-2022</v>
      </c>
      <c r="B12267" s="1"/>
    </row>
    <row r="12268">
      <c r="A12268" s="1" t="str">
        <f>IFERROR(__xludf.DUMMYFUNCTION("""COMPUTED_VALUE"""),"146662;INF109KC1UQ4;-;ICICI Prudential Fixed Maturity Plan - Series 85 - 1156 Days Plan G - Cumulative Option;12.6476;05-May-2022")</f>
        <v>146662;INF109KC1UQ4;-;ICICI Prudential Fixed Maturity Plan - Series 85 - 1156 Days Plan G - Cumulative Option;12.6476;05-May-2022</v>
      </c>
      <c r="B12268" s="1"/>
    </row>
    <row r="12269">
      <c r="A12269" s="1" t="str">
        <f>IFERROR(__xludf.DUMMYFUNCTION("""COMPUTED_VALUE"""),"146663;INF109KC1UT8;-;ICICI Prudential Fixed Maturity Plan - Series 85 - 1156 Days Plan G - Direct Plan Cumulative Option;12.6877;05-May-2022")</f>
        <v>146663;INF109KC1UT8;-;ICICI Prudential Fixed Maturity Plan - Series 85 - 1156 Days Plan G - Direct Plan Cumulative Option;12.6877;05-May-2022</v>
      </c>
      <c r="B12269" s="1"/>
    </row>
    <row r="12270">
      <c r="A12270" s="1" t="str">
        <f>IFERROR(__xludf.DUMMYFUNCTION("""COMPUTED_VALUE"""),"146664;INF109KC1US0;-;ICICI Prudential Fixed Maturity Plan - Series 85 - 1156 Days Plan G - Half Yearly IDCW Option;12.6476;05-May-2022")</f>
        <v>146664;INF109KC1US0;-;ICICI Prudential Fixed Maturity Plan - Series 85 - 1156 Days Plan G - Half Yearly IDCW Option;12.6476;05-May-2022</v>
      </c>
      <c r="B12270" s="1"/>
    </row>
    <row r="12271">
      <c r="A12271" s="1" t="str">
        <f>IFERROR(__xludf.DUMMYFUNCTION("""COMPUTED_VALUE"""),"146659;INF109KC1UR2;-;ICICI Prudential Fixed Maturity Plan - Series 85 - 1156 Days Plan G - Quarterly IDCW Option;12.6476;05-May-2022")</f>
        <v>146659;INF109KC1UR2;-;ICICI Prudential Fixed Maturity Plan - Series 85 - 1156 Days Plan G - Quarterly IDCW Option;12.6476;05-May-2022</v>
      </c>
      <c r="B12271" s="1"/>
    </row>
    <row r="12272">
      <c r="A12272" s="1" t="str">
        <f>IFERROR(__xludf.DUMMYFUNCTION("""COMPUTED_VALUE"""),"146448;INF109KC1TK9;-;ICICI Prudential Fixed Maturity Plan - Series 85 - 1168 Days Plan E - Cumulative Option;12.6871;04-May-2022")</f>
        <v>146448;INF109KC1TK9;-;ICICI Prudential Fixed Maturity Plan - Series 85 - 1168 Days Plan E - Cumulative Option;12.6871;04-May-2022</v>
      </c>
      <c r="B12272" s="1"/>
    </row>
    <row r="12273">
      <c r="A12273" s="1" t="str">
        <f>IFERROR(__xludf.DUMMYFUNCTION("""COMPUTED_VALUE"""),"146450;INF109KC1TN3;-;ICICI Prudential Fixed Maturity Plan - Series 85 - 1168 Days Plan E - Direct Plan Cumulative Option;12.7072;04-May-2022")</f>
        <v>146450;INF109KC1TN3;-;ICICI Prudential Fixed Maturity Plan - Series 85 - 1168 Days Plan E - Direct Plan Cumulative Option;12.7072;04-May-2022</v>
      </c>
      <c r="B12273" s="1"/>
    </row>
    <row r="12274">
      <c r="A12274" s="1" t="str">
        <f>IFERROR(__xludf.DUMMYFUNCTION("""COMPUTED_VALUE"""),"146446;INF109KC1TO1;-;ICICI Prudential Fixed Maturity Plan - Series 85 - 1168 Days Plan E - Direct Plan Quarterly IDCW Option;12.7072;04-May-2022")</f>
        <v>146446;INF109KC1TO1;-;ICICI Prudential Fixed Maturity Plan - Series 85 - 1168 Days Plan E - Direct Plan Quarterly IDCW Option;12.7072;04-May-2022</v>
      </c>
      <c r="B12274" s="1"/>
    </row>
    <row r="12275">
      <c r="A12275" s="1" t="str">
        <f>IFERROR(__xludf.DUMMYFUNCTION("""COMPUTED_VALUE"""),"146445;INF109KC1TL7;-;ICICI Prudential Fixed Maturity Plan - Series 85 - 1168 Days Plan E - Quarterly IDCW Option;12.6871;04-May-2022")</f>
        <v>146445;INF109KC1TL7;-;ICICI Prudential Fixed Maturity Plan - Series 85 - 1168 Days Plan E - Quarterly IDCW Option;12.6871;04-May-2022</v>
      </c>
      <c r="B12275" s="1"/>
    </row>
    <row r="12276">
      <c r="A12276" s="1" t="str">
        <f>IFERROR(__xludf.DUMMYFUNCTION("""COMPUTED_VALUE"""),"146306;INF109KC1TA0;-;ICICI Prudential Fixed Maturity Plan - Series 85 - 1175 Days Plan D - Cumulative Option;12.6542;02-May-2022")</f>
        <v>146306;INF109KC1TA0;-;ICICI Prudential Fixed Maturity Plan - Series 85 - 1175 Days Plan D - Cumulative Option;12.6542;02-May-2022</v>
      </c>
      <c r="B12276" s="1"/>
    </row>
    <row r="12277">
      <c r="A12277" s="1" t="str">
        <f>IFERROR(__xludf.DUMMYFUNCTION("""COMPUTED_VALUE"""),"146309;INF109KC1TD4;-;ICICI Prudential Fixed Maturity Plan - Series 85 - 1175 Days Plan D - Direct Plan Cumulative Option;12.7516;02-May-2022")</f>
        <v>146309;INF109KC1TD4;-;ICICI Prudential Fixed Maturity Plan - Series 85 - 1175 Days Plan D - Direct Plan Cumulative Option;12.7516;02-May-2022</v>
      </c>
      <c r="B12277" s="1"/>
    </row>
    <row r="12278">
      <c r="A12278" s="1" t="str">
        <f>IFERROR(__xludf.DUMMYFUNCTION("""COMPUTED_VALUE"""),"146308;INF109KC1TE2;-;ICICI Prudential Fixed Maturity Plan - Series 85 - 1175 Days Plan D - Direct Plan Quarterly IDCW Option;12.7522;02-May-2022")</f>
        <v>146308;INF109KC1TE2;-;ICICI Prudential Fixed Maturity Plan - Series 85 - 1175 Days Plan D - Direct Plan Quarterly IDCW Option;12.7522;02-May-2022</v>
      </c>
      <c r="B12278" s="1"/>
    </row>
    <row r="12279">
      <c r="A12279" s="1" t="str">
        <f>IFERROR(__xludf.DUMMYFUNCTION("""COMPUTED_VALUE"""),"146310;INF109KC1TC6;-;ICICI Prudential Fixed Maturity Plan - Series 85 - 1175 Days Plan D - Half Yearly IDCW Option;12.6539;02-May-2022")</f>
        <v>146310;INF109KC1TC6;-;ICICI Prudential Fixed Maturity Plan - Series 85 - 1175 Days Plan D - Half Yearly IDCW Option;12.6539;02-May-2022</v>
      </c>
      <c r="B12279" s="1"/>
    </row>
    <row r="12280">
      <c r="A12280" s="1" t="str">
        <f>IFERROR(__xludf.DUMMYFUNCTION("""COMPUTED_VALUE"""),"146307;INF109KC1TB8;-;ICICI Prudential Fixed Maturity Plan - Series 85 - 1175 Days Plan D - Quarterly IDCW Option;12.6542;02-May-2022")</f>
        <v>146307;INF109KC1TB8;-;ICICI Prudential Fixed Maturity Plan - Series 85 - 1175 Days Plan D - Quarterly IDCW Option;12.6542;02-May-2022</v>
      </c>
      <c r="B12280" s="1"/>
    </row>
    <row r="12281">
      <c r="A12281" s="1" t="str">
        <f>IFERROR(__xludf.DUMMYFUNCTION("""COMPUTED_VALUE"""),"146255;INF109KC1SO3;-;ICICI Prudential Fixed Maturity Plan - Series 85 - 1178 Days Plan B - Cumulative Option;12.6902;21-Apr-2022")</f>
        <v>146255;INF109KC1SO3;-;ICICI Prudential Fixed Maturity Plan - Series 85 - 1178 Days Plan B - Cumulative Option;12.6902;21-Apr-2022</v>
      </c>
      <c r="B12281" s="1"/>
    </row>
    <row r="12282">
      <c r="A12282" s="1" t="str">
        <f>IFERROR(__xludf.DUMMYFUNCTION("""COMPUTED_VALUE"""),"146256;INF109KC1SR6;-;ICICI Prudential Fixed Maturity Plan - Series 85 - 1178 Days Plan B - Direct Plan Cumulative Option;12.8237;21-Apr-2022")</f>
        <v>146256;INF109KC1SR6;-;ICICI Prudential Fixed Maturity Plan - Series 85 - 1178 Days Plan B - Direct Plan Cumulative Option;12.8237;21-Apr-2022</v>
      </c>
      <c r="B12282" s="1"/>
    </row>
    <row r="12283">
      <c r="A12283" s="1" t="str">
        <f>IFERROR(__xludf.DUMMYFUNCTION("""COMPUTED_VALUE"""),"146258;INF109KC1ST2;-;ICICI Prudential Fixed Maturity Plan - Series 85 - 1178 Days Plan B - Direct Plan Half Yearly IDCW Option;12.8237;21-Apr-2022")</f>
        <v>146258;INF109KC1ST2;-;ICICI Prudential Fixed Maturity Plan - Series 85 - 1178 Days Plan B - Direct Plan Half Yearly IDCW Option;12.8237;21-Apr-2022</v>
      </c>
      <c r="B12283" s="1"/>
    </row>
    <row r="12284">
      <c r="A12284" s="1" t="str">
        <f>IFERROR(__xludf.DUMMYFUNCTION("""COMPUTED_VALUE"""),"146259;INF109KC1SS4;-;ICICI Prudential Fixed Maturity Plan - Series 85 - 1178 Days Plan B - Direct Plan Quarterly IDCW Option;12.8215;21-Apr-2022")</f>
        <v>146259;INF109KC1SS4;-;ICICI Prudential Fixed Maturity Plan - Series 85 - 1178 Days Plan B - Direct Plan Quarterly IDCW Option;12.8215;21-Apr-2022</v>
      </c>
      <c r="B12284" s="1"/>
    </row>
    <row r="12285">
      <c r="A12285" s="1" t="str">
        <f>IFERROR(__xludf.DUMMYFUNCTION("""COMPUTED_VALUE"""),"146260;INF109KC1SQ8;-;ICICI Prudential Fixed Maturity Plan - Series 85 - 1178 Days Plan B - Half Yearly IDCW Option;12.6902;21-Apr-2022")</f>
        <v>146260;INF109KC1SQ8;-;ICICI Prudential Fixed Maturity Plan - Series 85 - 1178 Days Plan B - Half Yearly IDCW Option;12.6902;21-Apr-2022</v>
      </c>
      <c r="B12285" s="1"/>
    </row>
    <row r="12286">
      <c r="A12286" s="1" t="str">
        <f>IFERROR(__xludf.DUMMYFUNCTION("""COMPUTED_VALUE"""),"146257;INF109KC1SP0;-;ICICI Prudential Fixed Maturity Plan - Series 85 - 1178 Days Plan B - Quarterly IDCW Option;12.6894;21-Apr-2022")</f>
        <v>146257;INF109KC1SP0;-;ICICI Prudential Fixed Maturity Plan - Series 85 - 1178 Days Plan B - Quarterly IDCW Option;12.6894;21-Apr-2022</v>
      </c>
      <c r="B12286" s="1"/>
    </row>
    <row r="12287">
      <c r="A12287" s="1" t="str">
        <f>IFERROR(__xludf.DUMMYFUNCTION("""COMPUTED_VALUE"""),"146340;INF109KC1SU0;-;ICICI Prudential Fixed Maturity Plan - Series 85 - 1185 Days Plan C - Cumulative Option;12.8642;17-May-2022")</f>
        <v>146340;INF109KC1SU0;-;ICICI Prudential Fixed Maturity Plan - Series 85 - 1185 Days Plan C - Cumulative Option;12.8642;17-May-2022</v>
      </c>
      <c r="B12287" s="1"/>
    </row>
    <row r="12288">
      <c r="A12288" s="1" t="str">
        <f>IFERROR(__xludf.DUMMYFUNCTION("""COMPUTED_VALUE"""),"146344;INF109KC1SX4;-;ICICI Prudential Fixed Maturity Plan - Series 85 - 1185 Days Plan C - Direct Plan Cumulative Option;12.9876;17-May-2022")</f>
        <v>146344;INF109KC1SX4;-;ICICI Prudential Fixed Maturity Plan - Series 85 - 1185 Days Plan C - Direct Plan Cumulative Option;12.9876;17-May-2022</v>
      </c>
      <c r="B12288" s="1"/>
    </row>
    <row r="12289">
      <c r="A12289" s="1" t="str">
        <f>IFERROR(__xludf.DUMMYFUNCTION("""COMPUTED_VALUE"""),"146343;INF109KC1SZ9;-;ICICI Prudential Fixed Maturity Plan - Series 85 - 1185 Days Plan C - Direct Plan Half Yearly IDCW Option;12.9876;17-May-2022")</f>
        <v>146343;INF109KC1SZ9;-;ICICI Prudential Fixed Maturity Plan - Series 85 - 1185 Days Plan C - Direct Plan Half Yearly IDCW Option;12.9876;17-May-2022</v>
      </c>
      <c r="B12289" s="1"/>
    </row>
    <row r="12290">
      <c r="A12290" s="1" t="str">
        <f>IFERROR(__xludf.DUMMYFUNCTION("""COMPUTED_VALUE"""),"146342;INF109KC1SW6;-;ICICI Prudential Fixed Maturity Plan - Series 85 - 1185 Days Plan C - Half Yearly IDCW Option;12.8639;17-May-2022")</f>
        <v>146342;INF109KC1SW6;-;ICICI Prudential Fixed Maturity Plan - Series 85 - 1185 Days Plan C - Half Yearly IDCW Option;12.8639;17-May-2022</v>
      </c>
      <c r="B12290" s="1"/>
    </row>
    <row r="12291">
      <c r="A12291" s="1" t="str">
        <f>IFERROR(__xludf.DUMMYFUNCTION("""COMPUTED_VALUE"""),"146345;INF109KC1SV8;-;ICICI Prudential Fixed Maturity Plan - Series 85 - 1185 Days Plan C - Quarterly IDCW Option;12.8642;17-May-2022")</f>
        <v>146345;INF109KC1SV8;-;ICICI Prudential Fixed Maturity Plan - Series 85 - 1185 Days Plan C - Quarterly IDCW Option;12.8642;17-May-2022</v>
      </c>
      <c r="B12291" s="1"/>
    </row>
    <row r="12292">
      <c r="A12292" s="1" t="str">
        <f>IFERROR(__xludf.DUMMYFUNCTION("""COMPUTED_VALUE"""),"146115;INF109KC1SI5;-;ICICI Prudential Fixed Maturity Plan - Series 85 - 1197 Days Plan A - Cumulative Option;12.7541;05-May-2022")</f>
        <v>146115;INF109KC1SI5;-;ICICI Prudential Fixed Maturity Plan - Series 85 - 1197 Days Plan A - Cumulative Option;12.7541;05-May-2022</v>
      </c>
      <c r="B12292" s="1"/>
    </row>
    <row r="12293">
      <c r="A12293" s="1" t="str">
        <f>IFERROR(__xludf.DUMMYFUNCTION("""COMPUTED_VALUE"""),"146117;INF109KC1SL9;-;ICICI Prudential Fixed Maturity Plan - Series 85 - 1197 Days Plan A - Direct Plan Cumulative Option;12.8620;05-May-2022")</f>
        <v>146117;INF109KC1SL9;-;ICICI Prudential Fixed Maturity Plan - Series 85 - 1197 Days Plan A - Direct Plan Cumulative Option;12.8620;05-May-2022</v>
      </c>
      <c r="B12293" s="1"/>
    </row>
    <row r="12294">
      <c r="A12294" s="1" t="str">
        <f>IFERROR(__xludf.DUMMYFUNCTION("""COMPUTED_VALUE"""),"146116;INF109KC1SM7;-;ICICI Prudential Fixed Maturity Plan - Series 85 - 1197 Days Plan A - Direct Plan Quarterly IDCW Option;12.8620;05-May-2022")</f>
        <v>146116;INF109KC1SM7;-;ICICI Prudential Fixed Maturity Plan - Series 85 - 1197 Days Plan A - Direct Plan Quarterly IDCW Option;12.8620;05-May-2022</v>
      </c>
      <c r="B12294" s="1"/>
    </row>
    <row r="12295">
      <c r="A12295" s="1" t="str">
        <f>IFERROR(__xludf.DUMMYFUNCTION("""COMPUTED_VALUE"""),"146118;INF109KC1SK1;-;ICICI Prudential Fixed Maturity Plan - Series 85 - 1197 Days Plan A - Half Yearly IDCW Option;12.7540;05-May-2022")</f>
        <v>146118;INF109KC1SK1;-;ICICI Prudential Fixed Maturity Plan - Series 85 - 1197 Days Plan A - Half Yearly IDCW Option;12.7540;05-May-2022</v>
      </c>
      <c r="B12295" s="1"/>
    </row>
    <row r="12296">
      <c r="A12296" s="1" t="str">
        <f>IFERROR(__xludf.DUMMYFUNCTION("""COMPUTED_VALUE"""),"146119;INF109KC1SJ3;-;ICICI Prudential Fixed Maturity Plan - Series 85 - 1197 Days Plan A - Quarterly IDCW Option;12.7541;05-May-2022")</f>
        <v>146119;INF109KC1SJ3;-;ICICI Prudential Fixed Maturity Plan - Series 85 - 1197 Days Plan A - Quarterly IDCW Option;12.7541;05-May-2022</v>
      </c>
      <c r="B12296" s="1"/>
    </row>
    <row r="12297">
      <c r="A12297" s="1" t="str">
        <f>IFERROR(__xludf.DUMMYFUNCTION("""COMPUTED_VALUE"""),"147137;INF109KC1A21;-;ICICI Prudential Fixed Maturity Plan - Series 86 - 1099 Days Plan A - Cumulative Option;12.3914;28-Apr-2022")</f>
        <v>147137;INF109KC1A21;-;ICICI Prudential Fixed Maturity Plan - Series 86 - 1099 Days Plan A - Cumulative Option;12.3914;28-Apr-2022</v>
      </c>
      <c r="B12297" s="1"/>
    </row>
    <row r="12298">
      <c r="A12298" s="1" t="str">
        <f>IFERROR(__xludf.DUMMYFUNCTION("""COMPUTED_VALUE"""),"147138;INF109KC1A54;-;ICICI Prudential Fixed Maturity Plan - Series 86 - 1099 Days Plan A - Direct Plan Cumulative Option;12.4857;28-Apr-2022")</f>
        <v>147138;INF109KC1A54;-;ICICI Prudential Fixed Maturity Plan - Series 86 - 1099 Days Plan A - Direct Plan Cumulative Option;12.4857;28-Apr-2022</v>
      </c>
      <c r="B12298" s="1"/>
    </row>
    <row r="12299">
      <c r="A12299" s="1" t="str">
        <f>IFERROR(__xludf.DUMMYFUNCTION("""COMPUTED_VALUE"""),"147141;INF109KC1A70;-;ICICI Prudential Fixed Maturity Plan - Series 86 - 1099 Days Plan A - Direct Plan Half Yearly IDCW Option;12.4856;28-Apr-2022")</f>
        <v>147141;INF109KC1A70;-;ICICI Prudential Fixed Maturity Plan - Series 86 - 1099 Days Plan A - Direct Plan Half Yearly IDCW Option;12.4856;28-Apr-2022</v>
      </c>
      <c r="B12299" s="1"/>
    </row>
    <row r="12300">
      <c r="A12300" s="1" t="str">
        <f>IFERROR(__xludf.DUMMYFUNCTION("""COMPUTED_VALUE"""),"147142;INF109KC1A47;-;ICICI Prudential Fixed Maturity Plan - Series 86 - 1099 Days Plan A - Half Yearly IDCW Option;12.3811;28-Apr-2022")</f>
        <v>147142;INF109KC1A47;-;ICICI Prudential Fixed Maturity Plan - Series 86 - 1099 Days Plan A - Half Yearly IDCW Option;12.3811;28-Apr-2022</v>
      </c>
      <c r="B12300" s="1"/>
    </row>
    <row r="12301">
      <c r="A12301" s="1" t="str">
        <f>IFERROR(__xludf.DUMMYFUNCTION("""COMPUTED_VALUE"""),"147139;INF109KC1A39;-;ICICI Prudential Fixed Maturity Plan - Series 86 - 1099 Days Plan A - Quarterly IDCW Option;12.3913;28-Apr-2022")</f>
        <v>147139;INF109KC1A39;-;ICICI Prudential Fixed Maturity Plan - Series 86 - 1099 Days Plan A - Quarterly IDCW Option;12.3913;28-Apr-2022</v>
      </c>
      <c r="B12301" s="1"/>
    </row>
    <row r="12302">
      <c r="A12302" s="1" t="str">
        <f>IFERROR(__xludf.DUMMYFUNCTION("""COMPUTED_VALUE"""),"148185;INF109KC1K52;-;ICICI Prudential Fixed Maturity Plan - Series 87 - 1141 Days Plan G - Cumulative Option;12.1897;27-Apr-2023")</f>
        <v>148185;INF109KC1K52;-;ICICI Prudential Fixed Maturity Plan - Series 87 - 1141 Days Plan G - Cumulative Option;12.1897;27-Apr-2023</v>
      </c>
      <c r="B12302" s="1"/>
    </row>
    <row r="12303">
      <c r="A12303" s="1" t="str">
        <f>IFERROR(__xludf.DUMMYFUNCTION("""COMPUTED_VALUE"""),"148186;INF109KC1K86;-;ICICI Prudential Fixed Maturity Plan - Series 87 - 1141 Days Plan G - Direct Plan Cumulative Option;12.2109;27-Apr-2023")</f>
        <v>148186;INF109KC1K86;-;ICICI Prudential Fixed Maturity Plan - Series 87 - 1141 Days Plan G - Direct Plan Cumulative Option;12.2109;27-Apr-2023</v>
      </c>
      <c r="B12303" s="1"/>
    </row>
    <row r="12304">
      <c r="A12304" s="1" t="str">
        <f>IFERROR(__xludf.DUMMYFUNCTION("""COMPUTED_VALUE"""),"148187;INF109KC1K78;-;ICICI Prudential Fixed Maturity Plan - Series 87 - 1141 Days Plan G - Half Yearly IDCW Option;12.1894;27-Apr-2023")</f>
        <v>148187;INF109KC1K78;-;ICICI Prudential Fixed Maturity Plan - Series 87 - 1141 Days Plan G - Half Yearly IDCW Option;12.1894;27-Apr-2023</v>
      </c>
      <c r="B12304" s="1"/>
    </row>
    <row r="12305">
      <c r="A12305" s="1" t="str">
        <f>IFERROR(__xludf.DUMMYFUNCTION("""COMPUTED_VALUE"""),"148182;INF109KC1K60;-;ICICI Prudential Fixed Maturity Plan - Series 87 - 1141 Days Plan G - Quarterly IDCW Option;12.1896;27-Apr-2023")</f>
        <v>148182;INF109KC1K60;-;ICICI Prudential Fixed Maturity Plan - Series 87 - 1141 Days Plan G - Quarterly IDCW Option;12.1896;27-Apr-2023</v>
      </c>
      <c r="B12305" s="1"/>
    </row>
    <row r="12306">
      <c r="A12306" s="1" t="str">
        <f>IFERROR(__xludf.DUMMYFUNCTION("""COMPUTED_VALUE"""),"147899;INF109KC1G90;-;ICICI Prudential Fixed Maturity Plan - Series 87 - 1174 Days Plan B - Cumulative Option;12.2371;17-Apr-2023")</f>
        <v>147899;INF109KC1G90;-;ICICI Prudential Fixed Maturity Plan - Series 87 - 1174 Days Plan B - Cumulative Option;12.2371;17-Apr-2023</v>
      </c>
      <c r="B12306" s="1"/>
    </row>
    <row r="12307">
      <c r="A12307" s="1" t="str">
        <f>IFERROR(__xludf.DUMMYFUNCTION("""COMPUTED_VALUE"""),"147900;INF109KC1H24;-;ICICI Prudential Fixed Maturity Plan - Series 87 - 1174 Days Plan B - Direct Plan Cumulative Option;12.2900;17-Apr-2023")</f>
        <v>147900;INF109KC1H24;-;ICICI Prudential Fixed Maturity Plan - Series 87 - 1174 Days Plan B - Direct Plan Cumulative Option;12.2900;17-Apr-2023</v>
      </c>
      <c r="B12307" s="1"/>
    </row>
    <row r="12308">
      <c r="A12308" s="1" t="str">
        <f>IFERROR(__xludf.DUMMYFUNCTION("""COMPUTED_VALUE"""),"147902;INF109KC1H40;-;ICICI Prudential Fixed Maturity Plan - Series 87 - 1174 Days Plan B - Direct Plan Half Yearly IDCW Option;12.2899;17-Apr-2023")</f>
        <v>147902;INF109KC1H40;-;ICICI Prudential Fixed Maturity Plan - Series 87 - 1174 Days Plan B - Direct Plan Half Yearly IDCW Option;12.2899;17-Apr-2023</v>
      </c>
      <c r="B12308" s="1"/>
    </row>
    <row r="12309">
      <c r="A12309" s="1" t="str">
        <f>IFERROR(__xludf.DUMMYFUNCTION("""COMPUTED_VALUE"""),"147904;INF109KC1H32;-;ICICI Prudential Fixed Maturity Plan - Series 87 - 1174 Days Plan B - Direct Plan Quarterly IDCW Option;12.2899;17-Apr-2023")</f>
        <v>147904;INF109KC1H32;-;ICICI Prudential Fixed Maturity Plan - Series 87 - 1174 Days Plan B - Direct Plan Quarterly IDCW Option;12.2899;17-Apr-2023</v>
      </c>
      <c r="B12309" s="1"/>
    </row>
    <row r="12310">
      <c r="A12310" s="1" t="str">
        <f>IFERROR(__xludf.DUMMYFUNCTION("""COMPUTED_VALUE"""),"147901;INF109KC1H16;-;ICICI Prudential Fixed Maturity Plan - Series 87 - 1174 Days Plan B - Half Yearly IDCW Option;12.2371;17-Apr-2023")</f>
        <v>147901;INF109KC1H16;-;ICICI Prudential Fixed Maturity Plan - Series 87 - 1174 Days Plan B - Half Yearly IDCW Option;12.2371;17-Apr-2023</v>
      </c>
      <c r="B12310" s="1"/>
    </row>
    <row r="12311">
      <c r="A12311" s="1" t="str">
        <f>IFERROR(__xludf.DUMMYFUNCTION("""COMPUTED_VALUE"""),"147903;INF109KC1H08;-;ICICI Prudential Fixed Maturity Plan - Series 87 - 1174 Days Plan B - Quarterly IDCW Option;12.2371;17-Apr-2023")</f>
        <v>147903;INF109KC1H08;-;ICICI Prudential Fixed Maturity Plan - Series 87 - 1174 Days Plan B - Quarterly IDCW Option;12.2371;17-Apr-2023</v>
      </c>
      <c r="B12311" s="1"/>
    </row>
    <row r="12312">
      <c r="A12312" s="1" t="str">
        <f>IFERROR(__xludf.DUMMYFUNCTION("""COMPUTED_VALUE"""),"147858;INF109KC1G25;-;ICICI Prudential Fixed Maturity Plan - Series 87 - 1214 Days Plan A - Cumulative Option;12.4498;27-Apr-2023")</f>
        <v>147858;INF109KC1G25;-;ICICI Prudential Fixed Maturity Plan - Series 87 - 1214 Days Plan A - Cumulative Option;12.4498;27-Apr-2023</v>
      </c>
      <c r="B12312" s="1"/>
    </row>
    <row r="12313">
      <c r="A12313" s="1" t="str">
        <f>IFERROR(__xludf.DUMMYFUNCTION("""COMPUTED_VALUE"""),"147859;INF109KC1G58;-;ICICI Prudential Fixed Maturity Plan - Series 87 - 1214 Days Plan A - Direct Plan Cumulative Option;12.4947;27-Apr-2023")</f>
        <v>147859;INF109KC1G58;-;ICICI Prudential Fixed Maturity Plan - Series 87 - 1214 Days Plan A - Direct Plan Cumulative Option;12.4947;27-Apr-2023</v>
      </c>
      <c r="B12313" s="1"/>
    </row>
    <row r="12314">
      <c r="A12314" s="1" t="str">
        <f>IFERROR(__xludf.DUMMYFUNCTION("""COMPUTED_VALUE"""),"147862;INF109KC1G74;-;ICICI Prudential Fixed Maturity Plan - Series 87 - 1214 Days Plan A - Direct Plan Half Yearly IDCW Option;12.4946;27-Apr-2023")</f>
        <v>147862;INF109KC1G74;-;ICICI Prudential Fixed Maturity Plan - Series 87 - 1214 Days Plan A - Direct Plan Half Yearly IDCW Option;12.4946;27-Apr-2023</v>
      </c>
      <c r="B12314" s="1"/>
    </row>
    <row r="12315">
      <c r="A12315" s="1" t="str">
        <f>IFERROR(__xludf.DUMMYFUNCTION("""COMPUTED_VALUE"""),"147860;INF109KC1G66;-;ICICI Prudential Fixed Maturity Plan - Series 87 - 1214 Days Plan A - Direct Plan Quarterly IDCW Option;12.4946;27-Apr-2023")</f>
        <v>147860;INF109KC1G66;-;ICICI Prudential Fixed Maturity Plan - Series 87 - 1214 Days Plan A - Direct Plan Quarterly IDCW Option;12.4946;27-Apr-2023</v>
      </c>
      <c r="B12315" s="1"/>
    </row>
    <row r="12316">
      <c r="A12316" s="1" t="str">
        <f>IFERROR(__xludf.DUMMYFUNCTION("""COMPUTED_VALUE"""),"147861;INF109KC1G41;-;ICICI Prudential Fixed Maturity Plan - Series 87 - 1214 Days Plan A - Half Yearly IDCW Option;12.4498;27-Apr-2023")</f>
        <v>147861;INF109KC1G41;-;ICICI Prudential Fixed Maturity Plan - Series 87 - 1214 Days Plan A - Half Yearly IDCW Option;12.4498;27-Apr-2023</v>
      </c>
      <c r="B12316" s="1"/>
    </row>
    <row r="12317">
      <c r="A12317" s="1" t="str">
        <f>IFERROR(__xludf.DUMMYFUNCTION("""COMPUTED_VALUE"""),"147863;INF109KC1G33;-;ICICI Prudential Fixed Maturity Plan - Series 87 - 1214 Days Plan A - Quarterly IDCW Option;12.4498;27-Apr-2023")</f>
        <v>147863;INF109KC1G33;-;ICICI Prudential Fixed Maturity Plan - Series 87 - 1214 Days Plan A - Quarterly IDCW Option;12.4498;27-Apr-2023</v>
      </c>
      <c r="B12317" s="1"/>
    </row>
    <row r="12318">
      <c r="A12318" s="1" t="str">
        <f>IFERROR(__xludf.DUMMYFUNCTION("""COMPUTED_VALUE"""),"150950;INF109KC17M6;-;ICICI Prudential Fixed Maturity Plan - Series 88 - 1226 Days Plan F - Direct Plan - Growth;10.4614;25-Aug-2023")</f>
        <v>150950;INF109KC17M6;-;ICICI Prudential Fixed Maturity Plan - Series 88 - 1226 Days Plan F - Direct Plan - Growth;10.4614;25-Aug-2023</v>
      </c>
      <c r="B12318" s="1"/>
    </row>
    <row r="12319">
      <c r="A12319" s="1" t="str">
        <f>IFERROR(__xludf.DUMMYFUNCTION("""COMPUTED_VALUE"""),"150953;INF109KC19M2;-;ICICI Prudential Fixed Maturity Plan - Series 88 - 1226 Days Plan F - Direct Plan - Half Yearly IDCW;10.4614;25-Aug-2023")</f>
        <v>150953;INF109KC19M2;-;ICICI Prudential Fixed Maturity Plan - Series 88 - 1226 Days Plan F - Direct Plan - Half Yearly IDCW;10.4614;25-Aug-2023</v>
      </c>
      <c r="B12319" s="1"/>
    </row>
    <row r="12320">
      <c r="A12320" s="1" t="str">
        <f>IFERROR(__xludf.DUMMYFUNCTION("""COMPUTED_VALUE"""),"150952;INF109KC18M4;-;ICICI Prudential Fixed Maturity Plan - Series 88 - 1226 Days Plan F - Direct Plan - Quarterly IDCW;10.4604;25-Aug-2023")</f>
        <v>150952;INF109KC18M4;-;ICICI Prudential Fixed Maturity Plan - Series 88 - 1226 Days Plan F - Direct Plan - Quarterly IDCW;10.4604;25-Aug-2023</v>
      </c>
      <c r="B12320" s="1"/>
    </row>
    <row r="12321">
      <c r="A12321" s="1" t="str">
        <f>IFERROR(__xludf.DUMMYFUNCTION("""COMPUTED_VALUE"""),"150949;INF109KC14M3;-;ICICI Prudential Fixed Maturity Plan - Series 88 - 1226 Days Plan F - Growth;10.4428;25-Aug-2023")</f>
        <v>150949;INF109KC14M3;-;ICICI Prudential Fixed Maturity Plan - Series 88 - 1226 Days Plan F - Growth;10.4428;25-Aug-2023</v>
      </c>
      <c r="B12321" s="1"/>
    </row>
    <row r="12322">
      <c r="A12322" s="1" t="str">
        <f>IFERROR(__xludf.DUMMYFUNCTION("""COMPUTED_VALUE"""),"150954;INF109KC16M8;-;ICICI Prudential Fixed Maturity Plan - Series 88 - 1226 Days Plan F - Half Yearly IDCW;10.4428;25-Aug-2023")</f>
        <v>150954;INF109KC16M8;-;ICICI Prudential Fixed Maturity Plan - Series 88 - 1226 Days Plan F - Half Yearly IDCW;10.4428;25-Aug-2023</v>
      </c>
      <c r="B12322" s="1"/>
    </row>
    <row r="12323">
      <c r="A12323" s="1" t="str">
        <f>IFERROR(__xludf.DUMMYFUNCTION("""COMPUTED_VALUE"""),"150951;INF109KC15M0;-;ICICI Prudential Fixed Maturity Plan - Series 88 - 1226 Days Plan F - Quarterly IDCW;10.4429;25-Aug-2023")</f>
        <v>150951;INF109KC15M0;-;ICICI Prudential Fixed Maturity Plan - Series 88 - 1226 Days Plan F - Quarterly IDCW;10.4429;25-Aug-2023</v>
      </c>
      <c r="B12323" s="1"/>
    </row>
    <row r="12324">
      <c r="A12324" s="1" t="str">
        <f>IFERROR(__xludf.DUMMYFUNCTION("""COMPUTED_VALUE"""),"151493;INF109KC14R2;-;ICICI Prudential Fixed Maturity Plan - Series 88 - 1303 Days Plan S - Direct Plan - Growth;10.3672;25-Aug-2023")</f>
        <v>151493;INF109KC14R2;-;ICICI Prudential Fixed Maturity Plan - Series 88 - 1303 Days Plan S - Direct Plan - Growth;10.3672;25-Aug-2023</v>
      </c>
      <c r="B12324" s="1"/>
    </row>
    <row r="12325">
      <c r="A12325" s="1" t="str">
        <f>IFERROR(__xludf.DUMMYFUNCTION("""COMPUTED_VALUE"""),"151492;INF109KC15R9;-;ICICI Prudential Fixed Maturity Plan - Series 88 - 1303 Days Plan S - Direct Plan - IDCW;10.3673;25-Aug-2023")</f>
        <v>151492;INF109KC15R9;-;ICICI Prudential Fixed Maturity Plan - Series 88 - 1303 Days Plan S - Direct Plan - IDCW;10.3673;25-Aug-2023</v>
      </c>
      <c r="B12325" s="1"/>
    </row>
    <row r="12326">
      <c r="A12326" s="1" t="str">
        <f>IFERROR(__xludf.DUMMYFUNCTION("""COMPUTED_VALUE"""),"151491;INF109KC12R6;-;ICICI Prudential Fixed Maturity Plan - Series 88 - 1303 Days Plan S - Growth;10.3556;25-Aug-2023")</f>
        <v>151491;INF109KC12R6;-;ICICI Prudential Fixed Maturity Plan - Series 88 - 1303 Days Plan S - Growth;10.3556;25-Aug-2023</v>
      </c>
      <c r="B12326" s="1"/>
    </row>
    <row r="12327">
      <c r="A12327" s="1" t="str">
        <f>IFERROR(__xludf.DUMMYFUNCTION("""COMPUTED_VALUE"""),"151494;INF109KC13R4;-;ICICI Prudential Fixed Maturity Plan - Series 88 - 1303 Days Plan S - IDCW;10.3556;25-Aug-2023")</f>
        <v>151494;INF109KC13R4;-;ICICI Prudential Fixed Maturity Plan - Series 88 - 1303 Days Plan S - IDCW;10.3556;25-Aug-2023</v>
      </c>
      <c r="B12327" s="1"/>
    </row>
    <row r="12328">
      <c r="A12328" s="1" t="str">
        <f>IFERROR(__xludf.DUMMYFUNCTION("""COMPUTED_VALUE"""),"150449;INF109KC17D5;-;ICICI Prudential Fixed Maturity Plan - Series 88 - 226 Days Plan E - Direct Plan - Growth;10.3815;09-Mar-2023")</f>
        <v>150449;INF109KC17D5;-;ICICI Prudential Fixed Maturity Plan - Series 88 - 226 Days Plan E - Direct Plan - Growth;10.3815;09-Mar-2023</v>
      </c>
      <c r="B12328" s="1"/>
    </row>
    <row r="12329">
      <c r="A12329" s="1" t="str">
        <f>IFERROR(__xludf.DUMMYFUNCTION("""COMPUTED_VALUE"""),"150525;INF109KC19D1;-;ICICI Prudential Fixed Maturity Plan - Series 88 - 226 Days Plan E - Direct Plan - Half Yearly IDCW;10.3801;09-Mar-2023")</f>
        <v>150525;INF109KC19D1;-;ICICI Prudential Fixed Maturity Plan - Series 88 - 226 Days Plan E - Direct Plan - Half Yearly IDCW;10.3801;09-Mar-2023</v>
      </c>
      <c r="B12329" s="1"/>
    </row>
    <row r="12330">
      <c r="A12330" s="1" t="str">
        <f>IFERROR(__xludf.DUMMYFUNCTION("""COMPUTED_VALUE"""),"150448;INF109KC18D3;-;ICICI Prudential Fixed Maturity Plan - Series 88 - 226 Days Plan E - Direct Plan - Quarterly IDCW;10.3813;09-Mar-2023")</f>
        <v>150448;INF109KC18D3;-;ICICI Prudential Fixed Maturity Plan - Series 88 - 226 Days Plan E - Direct Plan - Quarterly IDCW;10.3813;09-Mar-2023</v>
      </c>
      <c r="B12330" s="1"/>
    </row>
    <row r="12331">
      <c r="A12331" s="1" t="str">
        <f>IFERROR(__xludf.DUMMYFUNCTION("""COMPUTED_VALUE"""),"150450;INF109KC14D2;-;ICICI Prudential Fixed Maturity Plan - Series 88 - 226 Days Plan E - Growth;10.3751;09-Mar-2023")</f>
        <v>150450;INF109KC14D2;-;ICICI Prudential Fixed Maturity Plan - Series 88 - 226 Days Plan E - Growth;10.3751;09-Mar-2023</v>
      </c>
      <c r="B12331" s="1"/>
    </row>
    <row r="12332">
      <c r="A12332" s="1" t="str">
        <f>IFERROR(__xludf.DUMMYFUNCTION("""COMPUTED_VALUE"""),"150447;INF109KC15D9;-;ICICI Prudential Fixed Maturity Plan - Series 88 - 226 Days Plan E - Quarterly IDCW;10.3751;09-Mar-2023")</f>
        <v>150447;INF109KC15D9;-;ICICI Prudential Fixed Maturity Plan - Series 88 - 226 Days Plan E - Quarterly IDCW;10.3751;09-Mar-2023</v>
      </c>
      <c r="B12332" s="1"/>
    </row>
    <row r="12333">
      <c r="A12333" s="1" t="str">
        <f>IFERROR(__xludf.DUMMYFUNCTION("""COMPUTED_VALUE"""),"150955;INF109KC12N5;-;ICICI Prudential Fixed Maturity Plan - Series 88 - 91 Days Plan G - Direct Plan - Growth;10.1718;13-Mar-2023")</f>
        <v>150955;INF109KC12N5;-;ICICI Prudential Fixed Maturity Plan - Series 88 - 91 Days Plan G - Direct Plan - Growth;10.1718;13-Mar-2023</v>
      </c>
      <c r="B12333" s="1"/>
    </row>
    <row r="12334">
      <c r="A12334" s="1" t="str">
        <f>IFERROR(__xludf.DUMMYFUNCTION("""COMPUTED_VALUE"""),"150956;INF109KC13N3;-;ICICI Prudential Fixed Maturity Plan - Series 88 - 91 Days Plan G - Direct Plan - Quarterly IDCW;10.1716;13-Mar-2023")</f>
        <v>150956;INF109KC13N3;-;ICICI Prudential Fixed Maturity Plan - Series 88 - 91 Days Plan G - Direct Plan - Quarterly IDCW;10.1716;13-Mar-2023</v>
      </c>
      <c r="B12334" s="1"/>
    </row>
    <row r="12335">
      <c r="A12335" s="1" t="str">
        <f>IFERROR(__xludf.DUMMYFUNCTION("""COMPUTED_VALUE"""),"150957;INF109KC11N7;-;ICICI Prudential Fixed Maturity Plan - Series 88 - 91 Days Plan G - Quarterly IDCW;10.1688;13-Mar-2023")</f>
        <v>150957;INF109KC11N7;-;ICICI Prudential Fixed Maturity Plan - Series 88 - 91 Days Plan G - Quarterly IDCW;10.1688;13-Mar-2023</v>
      </c>
      <c r="B12335" s="1"/>
    </row>
    <row r="12336">
      <c r="A12336" s="1" t="str">
        <f>IFERROR(__xludf.DUMMYFUNCTION("""COMPUTED_VALUE"""),"150958;INF109KC10N9;-;ICICI Prudential Fixed Maturity Plan -- Series 88 - 91 Days Plan G - Growth;10.1688;13-Mar-2023")</f>
        <v>150958;INF109KC10N9;-;ICICI Prudential Fixed Maturity Plan -- Series 88 - 91 Days Plan G - Growth;10.1688;13-Mar-2023</v>
      </c>
      <c r="B12336" s="1"/>
    </row>
    <row r="12337">
      <c r="A12337" s="1" t="str">
        <f>IFERROR(__xludf.DUMMYFUNCTION("""COMPUTED_VALUE"""),"151638;INF109KC13S2;-;ICICI Prudential Fixed Maturity Plan - Series 88 - Plan U - Direct Plan - Growth;10.1607;13-Jun-2023")</f>
        <v>151638;INF109KC13S2;-;ICICI Prudential Fixed Maturity Plan - Series 88 - Plan U - Direct Plan - Growth;10.1607;13-Jun-2023</v>
      </c>
      <c r="B12337" s="1"/>
    </row>
    <row r="12338">
      <c r="A12338" s="1" t="str">
        <f>IFERROR(__xludf.DUMMYFUNCTION("""COMPUTED_VALUE"""),"151635;INF109KC14S0;-;ICICI Prudential Fixed Maturity Plan - Series 88 - Plan U - Direct Plan - IDCW;10.1602;13-Jun-2023")</f>
        <v>151635;INF109KC14S0;-;ICICI Prudential Fixed Maturity Plan - Series 88 - Plan U - Direct Plan - IDCW;10.1602;13-Jun-2023</v>
      </c>
      <c r="B12338" s="1"/>
    </row>
    <row r="12339">
      <c r="A12339" s="1" t="str">
        <f>IFERROR(__xludf.DUMMYFUNCTION("""COMPUTED_VALUE"""),"151637;INF109KC11S6;-;ICICI Prudential Fixed Maturity Plan - Series 88 - Plan U - Growth;10.1584;13-Jun-2023")</f>
        <v>151637;INF109KC11S6;-;ICICI Prudential Fixed Maturity Plan - Series 88 - Plan U - Growth;10.1584;13-Jun-2023</v>
      </c>
      <c r="B12339" s="1"/>
    </row>
    <row r="12340">
      <c r="A12340" s="1" t="str">
        <f>IFERROR(__xludf.DUMMYFUNCTION("""COMPUTED_VALUE"""),"151636;INF109KC12S4;-;ICICI Prudential Fixed Maturity Plan - Series 88 - Plan U - IDCW;10.1584;13-Jun-2023")</f>
        <v>151636;INF109KC12S4;-;ICICI Prudential Fixed Maturity Plan - Series 88 - Plan U - IDCW;10.1584;13-Jun-2023</v>
      </c>
      <c r="B12340" s="1"/>
    </row>
    <row r="12341">
      <c r="A12341" s="1" t="str">
        <f>IFERROR(__xludf.DUMMYFUNCTION("""COMPUTED_VALUE"""),"130085;INF109KB1GL5;-;ICICI Prudential Fixed Maturity Plan - Series 74 -369 Days Plan T Direct Plan Cumulative Option;12.8921;27-Jul-2017")</f>
        <v>130085;INF109KB1GL5;-;ICICI Prudential Fixed Maturity Plan - Series 74 -369 Days Plan T Direct Plan Cumulative Option;12.8921;27-Jul-2017</v>
      </c>
      <c r="B12341" s="1"/>
    </row>
    <row r="12342">
      <c r="A12342" s="1" t="str">
        <f>IFERROR(__xludf.DUMMYFUNCTION("""COMPUTED_VALUE"""),"130088;INF109KB1GN1;-;ICICI Prudential Fixed Maturity Plan -Series 74 -369 Days Plan T - Cumulative Option;12.8728;27-Jul-2017")</f>
        <v>130088;INF109KB1GN1;-;ICICI Prudential Fixed Maturity Plan -Series 74 -369 Days Plan T - Cumulative Option;12.8728;27-Jul-2017</v>
      </c>
      <c r="B12342" s="1"/>
    </row>
    <row r="12343">
      <c r="A12343" s="1" t="str">
        <f>IFERROR(__xludf.DUMMYFUNCTION("""COMPUTED_VALUE"""),"130087;INF109KB1GO9;-;ICICI Prudential Fixed Maturity Plan -Series 74 -369 Days Plan T - Dividend Option;12.8136;27-Jul-2017")</f>
        <v>130087;INF109KB1GO9;-;ICICI Prudential Fixed Maturity Plan -Series 74 -369 Days Plan T - Dividend Option;12.8136;27-Jul-2017</v>
      </c>
      <c r="B12343" s="1"/>
    </row>
    <row r="12344">
      <c r="A12344" s="1" t="str">
        <f>IFERROR(__xludf.DUMMYFUNCTION("""COMPUTED_VALUE"""),"130086;INF109KB1GM3;-;ICICI Prudential Fixed Maturity Plan -Series 74 -369 Days Plan T Direct Plan Dividend Option;12.8328;27-Jul-2017")</f>
        <v>130086;INF109KB1GM3;-;ICICI Prudential Fixed Maturity Plan -Series 74 -369 Days Plan T Direct Plan Dividend Option;12.8328;27-Jul-2017</v>
      </c>
      <c r="B12344" s="1"/>
    </row>
    <row r="12345">
      <c r="A12345" s="1" t="str">
        <f>IFERROR(__xludf.DUMMYFUNCTION("""COMPUTED_VALUE"""),"130178;INF109KB1IH9;-;ICICI Prudential Fixed Maturity Plan - Series 74 - 370 Days Plan V - Cumulative Option;12.8285;27-Jul-2017")</f>
        <v>130178;INF109KB1IH9;-;ICICI Prudential Fixed Maturity Plan - Series 74 - 370 Days Plan V - Cumulative Option;12.8285;27-Jul-2017</v>
      </c>
      <c r="B12345" s="1"/>
    </row>
    <row r="12346">
      <c r="A12346" s="1" t="str">
        <f>IFERROR(__xludf.DUMMYFUNCTION("""COMPUTED_VALUE"""),"130179;INF109KB1II7;-;ICICI Prudential Fixed Maturity Plan - Series 74 - 370 Days Plan V - Dividend Option;12.7697;27-Jul-2017")</f>
        <v>130179;INF109KB1II7;-;ICICI Prudential Fixed Maturity Plan - Series 74 - 370 Days Plan V - Dividend Option;12.7697;27-Jul-2017</v>
      </c>
      <c r="B12346" s="1"/>
    </row>
    <row r="12347">
      <c r="A12347" s="1" t="str">
        <f>IFERROR(__xludf.DUMMYFUNCTION("""COMPUTED_VALUE"""),"130177;INF109KB1IJ5;-;ICICI Prudential Fixed Maturity Plan - Series 74 - 370 Days Plan V Direct Plan Cumulative Option;12.8491;27-Jul-2017")</f>
        <v>130177;INF109KB1IJ5;-;ICICI Prudential Fixed Maturity Plan - Series 74 - 370 Days Plan V Direct Plan Cumulative Option;12.8491;27-Jul-2017</v>
      </c>
      <c r="B12347" s="1"/>
    </row>
    <row r="12348">
      <c r="A12348" s="1" t="str">
        <f>IFERROR(__xludf.DUMMYFUNCTION("""COMPUTED_VALUE"""),"130180;INF109KB1IK3;-;ICICI Prudential Fixed Maturity Plan - Series 74 - 370 Days Plan V Direct Plan Dividend Option;12.7902;27-Jul-2017")</f>
        <v>130180;INF109KB1IK3;-;ICICI Prudential Fixed Maturity Plan - Series 74 - 370 Days Plan V Direct Plan Dividend Option;12.7902;27-Jul-2017</v>
      </c>
      <c r="B12348" s="1"/>
    </row>
    <row r="12349">
      <c r="A12349" s="1" t="str">
        <f>IFERROR(__xludf.DUMMYFUNCTION("""COMPUTED_VALUE"""),"133503;INF109KA16S9;-;ICICI Prudential Fixed Maturity Plan-Series 76 -1185 Days Plan H Cumulative Option;13.4136;02-May-2018")</f>
        <v>133503;INF109KA16S9;-;ICICI Prudential Fixed Maturity Plan-Series 76 -1185 Days Plan H Cumulative Option;13.4136;02-May-2018</v>
      </c>
      <c r="B12349" s="1"/>
    </row>
    <row r="12350">
      <c r="A12350" s="1" t="str">
        <f>IFERROR(__xludf.DUMMYFUNCTION("""COMPUTED_VALUE"""),"133504;INF109KA18S5;-;ICICI Prudential Fixed Maturity Plan-Series 76 -1185 Days Plan H Direct Plan Cumulative Option;13.6061;02-May-2018")</f>
        <v>133504;INF109KA18S5;-;ICICI Prudential Fixed Maturity Plan-Series 76 -1185 Days Plan H Direct Plan Cumulative Option;13.6061;02-May-2018</v>
      </c>
      <c r="B12350" s="1"/>
    </row>
    <row r="12351">
      <c r="A12351" s="1" t="str">
        <f>IFERROR(__xludf.DUMMYFUNCTION("""COMPUTED_VALUE"""),"133501;INF109KA19S3;-;ICICI Prudential Fixed Maturity Plan-Series 76 -1185 Days Plan H Direct Plan Dividend Option;13.6061;02-May-2018")</f>
        <v>133501;INF109KA19S3;-;ICICI Prudential Fixed Maturity Plan-Series 76 -1185 Days Plan H Direct Plan Dividend Option;13.6061;02-May-2018</v>
      </c>
      <c r="B12351" s="1"/>
    </row>
    <row r="12352">
      <c r="A12352" s="1" t="str">
        <f>IFERROR(__xludf.DUMMYFUNCTION("""COMPUTED_VALUE"""),"133502;INF109KA17S7;-;ICICI Prudential Fixed Maturity Plan-Series 76 -1185 Days Plan H Dividend Option;13.4136;02-May-2018")</f>
        <v>133502;INF109KA17S7;-;ICICI Prudential Fixed Maturity Plan-Series 76 -1185 Days Plan H Dividend Option;13.4136;02-May-2018</v>
      </c>
      <c r="B12352" s="1"/>
    </row>
    <row r="12353">
      <c r="A12353" s="1" t="str">
        <f>IFERROR(__xludf.DUMMYFUNCTION("""COMPUTED_VALUE"""),"129236;INF109KB1XL0;-;ICICI Prudential Fixed Maturity Plan - Series 74 - 780 Days Plan E Cumulative Option;13.0529;07-Aug-2017")</f>
        <v>129236;INF109KB1XL0;-;ICICI Prudential Fixed Maturity Plan - Series 74 - 780 Days Plan E Cumulative Option;13.0529;07-Aug-2017</v>
      </c>
      <c r="B12353" s="1"/>
    </row>
    <row r="12354">
      <c r="A12354" s="1" t="str">
        <f>IFERROR(__xludf.DUMMYFUNCTION("""COMPUTED_VALUE"""),"129238;INF109KB1XN6;-;ICICI Prudential Fixed Maturity Plan - Series 74 - 780 Days Plan E Direct Plan Cumulative Option;13.1752;07-Aug-2017")</f>
        <v>129238;INF109KB1XN6;-;ICICI Prudential Fixed Maturity Plan - Series 74 - 780 Days Plan E Direct Plan Cumulative Option;13.1752;07-Aug-2017</v>
      </c>
      <c r="B12354" s="1"/>
    </row>
    <row r="12355">
      <c r="A12355" s="1" t="str">
        <f>IFERROR(__xludf.DUMMYFUNCTION("""COMPUTED_VALUE"""),"129239;INF109KB1XO4;-;ICICI Prudential Fixed Maturity Plan - Series 74 - 780 Days Plan E Direct Plan Dividend Option;12.3809;07-Aug-2017")</f>
        <v>129239;INF109KB1XO4;-;ICICI Prudential Fixed Maturity Plan - Series 74 - 780 Days Plan E Direct Plan Dividend Option;12.3809;07-Aug-2017</v>
      </c>
      <c r="B12355" s="1"/>
    </row>
    <row r="12356">
      <c r="A12356" s="1" t="str">
        <f>IFERROR(__xludf.DUMMYFUNCTION("""COMPUTED_VALUE"""),"129237;INF109KB1XM8;-;ICICI Prudential Fixed Maturity Plan - Series 74 - 780 Days Plan E Dividend Option;12.2891;07-Aug-2017")</f>
        <v>129237;INF109KB1XM8;-;ICICI Prudential Fixed Maturity Plan - Series 74 - 780 Days Plan E Dividend Option;12.2891;07-Aug-2017</v>
      </c>
      <c r="B12356" s="1"/>
    </row>
    <row r="12357">
      <c r="A12357" s="1" t="str">
        <f>IFERROR(__xludf.DUMMYFUNCTION("""COMPUTED_VALUE"""),"140545;INF109KB1O27;-;ICICI Prudential Fixed Maturity Plan - Series 80 - 1187 Days Plan G - Cumulative Option;12.4204;04-May-2020")</f>
        <v>140545;INF109KB1O27;-;ICICI Prudential Fixed Maturity Plan - Series 80 - 1187 Days Plan G - Cumulative Option;12.4204;04-May-2020</v>
      </c>
      <c r="B12357" s="1"/>
    </row>
    <row r="12358">
      <c r="A12358" s="1" t="str">
        <f>IFERROR(__xludf.DUMMYFUNCTION("""COMPUTED_VALUE"""),"140548;INF109KB1O35;-;ICICI Prudential Fixed Maturity Plan - Series 80 - 1187 Days Plan G - Direct Plan - Cumulative Option;12.4437;04-May-2020")</f>
        <v>140548;INF109KB1O35;-;ICICI Prudential Fixed Maturity Plan - Series 80 - 1187 Days Plan G - Direct Plan - Cumulative Option;12.4437;04-May-2020</v>
      </c>
      <c r="B12358" s="1"/>
    </row>
    <row r="12359">
      <c r="A12359" s="1" t="str">
        <f>IFERROR(__xludf.DUMMYFUNCTION("""COMPUTED_VALUE"""),"140547;INF109KB1O43;-;ICICI Prudential Fixed Maturity Plan - Series 80 - 1187 Days Plan G - Direct Plan - Dividend Option;12.4437;04-May-2020")</f>
        <v>140547;INF109KB1O43;-;ICICI Prudential Fixed Maturity Plan - Series 80 - 1187 Days Plan G - Direct Plan - Dividend Option;12.4437;04-May-2020</v>
      </c>
      <c r="B12359" s="1"/>
    </row>
    <row r="12360">
      <c r="A12360" s="1" t="str">
        <f>IFERROR(__xludf.DUMMYFUNCTION("""COMPUTED_VALUE"""),"140546;INF109KB1O50;-;ICICI Prudential Fixed Maturity Plan - Series 80 - 1187 Days Plan G - Dividend Option;12.4204;04-May-2020")</f>
        <v>140546;INF109KB1O50;-;ICICI Prudential Fixed Maturity Plan - Series 80 - 1187 Days Plan G - Dividend Option;12.4204;04-May-2020</v>
      </c>
      <c r="B12360" s="1"/>
    </row>
    <row r="12361">
      <c r="A12361" s="1" t="str">
        <f>IFERROR(__xludf.DUMMYFUNCTION("""COMPUTED_VALUE"""),"140537;INF109KB1N85;-;ICICI Prudential Fixed Maturity Plan - Series 80 - 1194 Days Plan F - Cumulative Option;12.4446;04-May-2020")</f>
        <v>140537;INF109KB1N85;-;ICICI Prudential Fixed Maturity Plan - Series 80 - 1194 Days Plan F - Cumulative Option;12.4446;04-May-2020</v>
      </c>
      <c r="B12361" s="1"/>
    </row>
    <row r="12362">
      <c r="A12362" s="1" t="str">
        <f>IFERROR(__xludf.DUMMYFUNCTION("""COMPUTED_VALUE"""),"140538;INF109KB1O01;-;ICICI Prudential Fixed Maturity Plan - Series 80 - 1194 Days Plan F - Direct Plan - Cumulative Option;12.4675;04-May-2020")</f>
        <v>140538;INF109KB1O01;-;ICICI Prudential Fixed Maturity Plan - Series 80 - 1194 Days Plan F - Direct Plan - Cumulative Option;12.4675;04-May-2020</v>
      </c>
      <c r="B12362" s="1"/>
    </row>
    <row r="12363">
      <c r="A12363" s="1" t="str">
        <f>IFERROR(__xludf.DUMMYFUNCTION("""COMPUTED_VALUE"""),"140539;INF109KB1O19;-;ICICI Prudential Fixed Maturity Plan - Series 80 - 1194 Days Plan F - Direct Plan - Dividend Option;12.4675;04-May-2020")</f>
        <v>140539;INF109KB1O19;-;ICICI Prudential Fixed Maturity Plan - Series 80 - 1194 Days Plan F - Direct Plan - Dividend Option;12.4675;04-May-2020</v>
      </c>
      <c r="B12363" s="1"/>
    </row>
    <row r="12364">
      <c r="A12364" s="1" t="str">
        <f>IFERROR(__xludf.DUMMYFUNCTION("""COMPUTED_VALUE"""),"140540;INF109KB1N93;-;ICICI Prudential Fixed Maturity Plan - Series 80 - 1194 Days Plan F - Dividend Option;12.4446;04-May-2020")</f>
        <v>140540;INF109KB1N93;-;ICICI Prudential Fixed Maturity Plan - Series 80 - 1194 Days Plan F - Dividend Option;12.4446;04-May-2020</v>
      </c>
      <c r="B12364" s="1"/>
    </row>
    <row r="12365">
      <c r="A12365" s="1" t="str">
        <f>IFERROR(__xludf.DUMMYFUNCTION("""COMPUTED_VALUE"""),"142541;INF109KC1937;-;ICICI Prudential Fixed Maturity Plan - Series 82 - 1185 Days Plan M - Cumulative Option;12.6657;27-May-2021")</f>
        <v>142541;INF109KC1937;-;ICICI Prudential Fixed Maturity Plan - Series 82 - 1185 Days Plan M - Cumulative Option;12.6657;27-May-2021</v>
      </c>
      <c r="B12365" s="1"/>
    </row>
    <row r="12366">
      <c r="A12366" s="1" t="str">
        <f>IFERROR(__xludf.DUMMYFUNCTION("""COMPUTED_VALUE"""),"142544;INF109KC1960;-;ICICI Prudential Fixed Maturity Plan - Series 82 - 1185 Days Plan M - Direct Plan Cumulative Option;12.6831;27-May-2021")</f>
        <v>142544;INF109KC1960;-;ICICI Prudential Fixed Maturity Plan - Series 82 - 1185 Days Plan M - Direct Plan Cumulative Option;12.6831;27-May-2021</v>
      </c>
      <c r="B12366" s="1"/>
    </row>
    <row r="12367">
      <c r="A12367" s="1" t="str">
        <f>IFERROR(__xludf.DUMMYFUNCTION("""COMPUTED_VALUE"""),"142543;INF109KC1978;-;ICICI Prudential Fixed Maturity Plan - Series 82 - 1185 Days Plan M - Direct Plan Half Yearly IDCW Option;12.6831;27-May-2021")</f>
        <v>142543;INF109KC1978;-;ICICI Prudential Fixed Maturity Plan - Series 82 - 1185 Days Plan M - Direct Plan Half Yearly IDCW Option;12.6831;27-May-2021</v>
      </c>
      <c r="B12367" s="1"/>
    </row>
    <row r="12368">
      <c r="A12368" s="1" t="str">
        <f>IFERROR(__xludf.DUMMYFUNCTION("""COMPUTED_VALUE"""),"142542;INF109KC1986;-;ICICI Prudential Fixed Maturity Plan - Series 82 - 1185 Days Plan M - Direct Plan Quarterly IDCW Option;12.6831;27-May-2021")</f>
        <v>142542;INF109KC1986;-;ICICI Prudential Fixed Maturity Plan - Series 82 - 1185 Days Plan M - Direct Plan Quarterly IDCW Option;12.6831;27-May-2021</v>
      </c>
      <c r="B12368" s="1"/>
    </row>
    <row r="12369">
      <c r="A12369" s="1" t="str">
        <f>IFERROR(__xludf.DUMMYFUNCTION("""COMPUTED_VALUE"""),"142548;INF109KC1952;-;ICICI Prudential Fixed Maturity Plan - Series 82 - 1185 Days Plan M - Quarterly IDCW Option;12.6657;27-May-2021")</f>
        <v>142548;INF109KC1952;-;ICICI Prudential Fixed Maturity Plan - Series 82 - 1185 Days Plan M - Quarterly IDCW Option;12.6657;27-May-2021</v>
      </c>
      <c r="B12369" s="1"/>
    </row>
    <row r="12370">
      <c r="A12370" s="1" t="str">
        <f>IFERROR(__xludf.DUMMYFUNCTION("""COMPUTED_VALUE"""),"129855;INF109KB1FU8;-;ICICI Prudential Fixed Maturity Plan - Series 74 - 367 Days Plan N  Cumulative Option;12.8901;27-Jul-2017")</f>
        <v>129855;INF109KB1FU8;-;ICICI Prudential Fixed Maturity Plan - Series 74 - 367 Days Plan N  Cumulative Option;12.8901;27-Jul-2017</v>
      </c>
      <c r="B12370" s="1"/>
    </row>
    <row r="12371">
      <c r="A12371" s="1" t="str">
        <f>IFERROR(__xludf.DUMMYFUNCTION("""COMPUTED_VALUE"""),"129854;INF109KB1FS2;-;ICICI Prudential Fixed Maturity Plan - Series 74 - 367 Days Plan N Direct Plan Cumulative Option;12.9119;27-Jul-2017")</f>
        <v>129854;INF109KB1FS2;-;ICICI Prudential Fixed Maturity Plan - Series 74 - 367 Days Plan N Direct Plan Cumulative Option;12.9119;27-Jul-2017</v>
      </c>
      <c r="B12371" s="1"/>
    </row>
    <row r="12372">
      <c r="A12372" s="1" t="str">
        <f>IFERROR(__xludf.DUMMYFUNCTION("""COMPUTED_VALUE"""),"129856;INF109KB1FT0;-;ICICI Prudential Fixed Maturity Plan - Series 74 - 367 Days Plan N Dividend Option;12.8310;27-Jul-2017")</f>
        <v>129856;INF109KB1FT0;-;ICICI Prudential Fixed Maturity Plan - Series 74 - 367 Days Plan N Dividend Option;12.8310;27-Jul-2017</v>
      </c>
      <c r="B12372" s="1"/>
    </row>
    <row r="12373">
      <c r="A12373" s="1" t="str">
        <f>IFERROR(__xludf.DUMMYFUNCTION("""COMPUTED_VALUE"""),"129853;INF109KB1FR4;-;ICICI Prudential Fixed Maturity Plan -Series 74 -367 Days Plan N Direct Plan Dividend Option;12.8524;27-Jul-2017")</f>
        <v>129853;INF109KB1FR4;-;ICICI Prudential Fixed Maturity Plan -Series 74 -367 Days Plan N Direct Plan Dividend Option;12.8524;27-Jul-2017</v>
      </c>
      <c r="B12373" s="1"/>
    </row>
    <row r="12374">
      <c r="A12374" s="1" t="str">
        <f>IFERROR(__xludf.DUMMYFUNCTION("""COMPUTED_VALUE"""),"135011;INF109KB1JV8;-;ICICI Prudential Fixed Maturity Plan - Series 77 - 1105 Days Plan N - Cumulative Option;12.5833;25-Jul-2018")</f>
        <v>135011;INF109KB1JV8;-;ICICI Prudential Fixed Maturity Plan - Series 77 - 1105 Days Plan N - Cumulative Option;12.5833;25-Jul-2018</v>
      </c>
      <c r="B12374" s="1"/>
    </row>
    <row r="12375">
      <c r="A12375" s="1" t="str">
        <f>IFERROR(__xludf.DUMMYFUNCTION("""COMPUTED_VALUE"""),"135012;INF109KB1JX4;-;ICICI Prudential Fixed Maturity Plan - Series 77 - 1105 Days Plan N - Direct Plan - Cumulative Option;12.6638;25-Jul-2018")</f>
        <v>135012;INF109KB1JX4;-;ICICI Prudential Fixed Maturity Plan - Series 77 - 1105 Days Plan N - Direct Plan - Cumulative Option;12.6638;25-Jul-2018</v>
      </c>
      <c r="B12375" s="1"/>
    </row>
    <row r="12376">
      <c r="A12376" s="1" t="str">
        <f>IFERROR(__xludf.DUMMYFUNCTION("""COMPUTED_VALUE"""),"135013;INF109KB1JW6;-;ICICI Prudential Fixed Maturity Plan - Series 77 - 1105 Days Plan N - Dividend Option;12.5833;25-Jul-2018")</f>
        <v>135013;INF109KB1JW6;-;ICICI Prudential Fixed Maturity Plan - Series 77 - 1105 Days Plan N - Dividend Option;12.5833;25-Jul-2018</v>
      </c>
      <c r="B12376" s="1"/>
    </row>
    <row r="12377">
      <c r="A12377" s="1" t="str">
        <f>IFERROR(__xludf.DUMMYFUNCTION("""COMPUTED_VALUE"""),"117367;INF109K01D10;-;ICICI Prudential Fixed Maturity Plan-Series 63-3 Year Plan K Cumulative;12.9573;08-Jun-2015")</f>
        <v>117367;INF109K01D10;-;ICICI Prudential Fixed Maturity Plan-Series 63-3 Year Plan K Cumulative;12.9573;08-Jun-2015</v>
      </c>
      <c r="B12377" s="1"/>
    </row>
    <row r="12378">
      <c r="A12378" s="1" t="str">
        <f>IFERROR(__xludf.DUMMYFUNCTION("""COMPUTED_VALUE"""),"117366;INF109K01D28;-;ICICI Prudential Fixed Maturity Plan-Series 63-3 Year Plan K Dividend;10.4976;08-Jun-2015")</f>
        <v>117366;INF109K01D28;-;ICICI Prudential Fixed Maturity Plan-Series 63-3 Year Plan K Dividend;10.4976;08-Jun-2015</v>
      </c>
      <c r="B12378" s="1"/>
    </row>
    <row r="12379">
      <c r="A12379" s="1" t="str">
        <f>IFERROR(__xludf.DUMMYFUNCTION("""COMPUTED_VALUE"""),"117621;INF109K01E68;-;ICICI Prudential Fixed Maturity Plan-Series 63-3 Year Plan L Cumulative;12.9338;06-Jul-2015")</f>
        <v>117621;INF109K01E68;-;ICICI Prudential Fixed Maturity Plan-Series 63-3 Year Plan L Cumulative;12.9338;06-Jul-2015</v>
      </c>
      <c r="B12379" s="1"/>
    </row>
    <row r="12380">
      <c r="A12380" s="1" t="str">
        <f>IFERROR(__xludf.DUMMYFUNCTION("""COMPUTED_VALUE"""),"117622;INF109K01E76;-;ICICI Prudential Fixed Maturity Plan-Series 63-3 Year Plan L Dividend;10.6443;06-Jul-2015")</f>
        <v>117622;INF109K01E76;-;ICICI Prudential Fixed Maturity Plan-Series 63-3 Year Plan L Dividend;10.6443;06-Jul-2015</v>
      </c>
      <c r="B12380" s="1"/>
    </row>
    <row r="12381">
      <c r="A12381" s="1" t="str">
        <f>IFERROR(__xludf.DUMMYFUNCTION("""COMPUTED_VALUE"""),"117700;INF109K01F00;-;ICICI Prudential Fixed Maturity Plan-Series 63-3 Year Plan M Cumulative;12.8634;03-Aug-2015")</f>
        <v>117700;INF109K01F00;-;ICICI Prudential Fixed Maturity Plan-Series 63-3 Year Plan M Cumulative;12.8634;03-Aug-2015</v>
      </c>
      <c r="B12381" s="1"/>
    </row>
    <row r="12382">
      <c r="A12382" s="1" t="str">
        <f>IFERROR(__xludf.DUMMYFUNCTION("""COMPUTED_VALUE"""),"117701;INF109K01F18;-;ICICI Prudential Fixed Maturity Plan-Series 63-3 Year Plan M Dividend;10.6672;03-Aug-2015")</f>
        <v>117701;INF109K01F18;-;ICICI Prudential Fixed Maturity Plan-Series 63-3 Year Plan M Dividend;10.6672;03-Aug-2015</v>
      </c>
      <c r="B12382" s="1"/>
    </row>
    <row r="12383">
      <c r="A12383" s="1" t="str">
        <f>IFERROR(__xludf.DUMMYFUNCTION("""COMPUTED_VALUE"""),"117770;INF109K01F26;-;ICICI Prudential Fixed Maturity Plan-Series 64-3 Year Plan H Cumulative;12.7397;31-Aug-2015")</f>
        <v>117770;INF109K01F26;-;ICICI Prudential Fixed Maturity Plan-Series 64-3 Year Plan H Cumulative;12.7397;31-Aug-2015</v>
      </c>
      <c r="B12383" s="1"/>
    </row>
    <row r="12384">
      <c r="A12384" s="1" t="str">
        <f>IFERROR(__xludf.DUMMYFUNCTION("""COMPUTED_VALUE"""),"117769;INF109K01F34;-;ICICI Prudential Fixed Maturity Plan-Series 64-3 Year Plan H Dividend;10.7166;31-Aug-2015")</f>
        <v>117769;INF109K01F34;-;ICICI Prudential Fixed Maturity Plan-Series 64-3 Year Plan H Dividend;10.7166;31-Aug-2015</v>
      </c>
      <c r="B12384" s="1"/>
    </row>
    <row r="12385">
      <c r="A12385" s="1" t="str">
        <f>IFERROR(__xludf.DUMMYFUNCTION("""COMPUTED_VALUE"""),"117804;INF109K01F67;-;ICICI Prudential Fixed Maturity Plan-Series 64-3 Year Plan I Cumulative;12.9274;07-Sep-2015")</f>
        <v>117804;INF109K01F67;-;ICICI Prudential Fixed Maturity Plan-Series 64-3 Year Plan I Cumulative;12.9274;07-Sep-2015</v>
      </c>
      <c r="B12385" s="1"/>
    </row>
    <row r="12386">
      <c r="A12386" s="1" t="str">
        <f>IFERROR(__xludf.DUMMYFUNCTION("""COMPUTED_VALUE"""),"117805;INF109K01F75;-;ICICI Prudential Fixed Maturity Plan-Series 64-3 Year Plan I Dividend;11.9832;07-Sep-2015")</f>
        <v>117805;INF109K01F75;-;ICICI Prudential Fixed Maturity Plan-Series 64-3 Year Plan I Dividend;11.9832;07-Sep-2015</v>
      </c>
      <c r="B12386" s="1"/>
    </row>
    <row r="12387">
      <c r="A12387" s="1" t="str">
        <f>IFERROR(__xludf.DUMMYFUNCTION("""COMPUTED_VALUE"""),"117855;INF109K01F83;-;ICICI Prudential Fixed Maturity Plan-Series 64-3 Year Plan K Cumulative;12.7300;28-Sep-2015")</f>
        <v>117855;INF109K01F83;-;ICICI Prudential Fixed Maturity Plan-Series 64-3 Year Plan K Cumulative;12.7300;28-Sep-2015</v>
      </c>
      <c r="B12387" s="1"/>
    </row>
    <row r="12388">
      <c r="A12388" s="1" t="str">
        <f>IFERROR(__xludf.DUMMYFUNCTION("""COMPUTED_VALUE"""),"117856;INF109K01F91;-;ICICI Prudential Fixed Maturity Plan-Series 64-3 Year Plan K Dividend;10.7770;28-Sep-2015")</f>
        <v>117856;INF109K01F91;-;ICICI Prudential Fixed Maturity Plan-Series 64-3 Year Plan K Dividend;10.7770;28-Sep-2015</v>
      </c>
      <c r="B12388" s="1"/>
    </row>
    <row r="12389">
      <c r="A12389" s="1" t="str">
        <f>IFERROR(__xludf.DUMMYFUNCTION("""COMPUTED_VALUE"""),"117971;INF109K01G25;-;ICICI Prudential Fixed Maturity Plan-Series 65-3 Year Plan A Cumulative;12.7672;26-Oct-2015")</f>
        <v>117971;INF109K01G25;-;ICICI Prudential Fixed Maturity Plan-Series 65-3 Year Plan A Cumulative;12.7672;26-Oct-2015</v>
      </c>
      <c r="B12389" s="1"/>
    </row>
    <row r="12390">
      <c r="A12390" s="1" t="str">
        <f>IFERROR(__xludf.DUMMYFUNCTION("""COMPUTED_VALUE"""),"117972;INF109K01G33;-;ICICI Prudential Fixed Maturity Plan-Series 65-3 Year Plan A Dividend;10.8560;26-Oct-2015")</f>
        <v>117972;INF109K01G33;-;ICICI Prudential Fixed Maturity Plan-Series 65-3 Year Plan A Dividend;10.8560;26-Oct-2015</v>
      </c>
      <c r="B12390" s="1"/>
    </row>
    <row r="12391">
      <c r="A12391" s="1" t="str">
        <f>IFERROR(__xludf.DUMMYFUNCTION("""COMPUTED_VALUE"""),"121876;INF109K019U5;-;ICICI Prudential Fixed Maturity Plan-Series 67-3 Year Plan F - Cumulative;12.8506;11-Apr-2016")</f>
        <v>121876;INF109K019U5;-;ICICI Prudential Fixed Maturity Plan-Series 67-3 Year Plan F - Cumulative;12.8506;11-Apr-2016</v>
      </c>
      <c r="B12391" s="1"/>
    </row>
    <row r="12392">
      <c r="A12392" s="1" t="str">
        <f>IFERROR(__xludf.DUMMYFUNCTION("""COMPUTED_VALUE"""),"121875;INF109K011V0;-;ICICI Prudential Fixed Maturity Plan-Series 67-3 Year Plan F - Direct Plan - Cumulative;12.9328;11-Apr-2016")</f>
        <v>121875;INF109K011V0;-;ICICI Prudential Fixed Maturity Plan-Series 67-3 Year Plan F - Direct Plan - Cumulative;12.9328;11-Apr-2016</v>
      </c>
      <c r="B12392" s="1"/>
    </row>
    <row r="12393">
      <c r="A12393" s="1" t="str">
        <f>IFERROR(__xludf.DUMMYFUNCTION("""COMPUTED_VALUE"""),"121878;INF109K012V8;-;ICICI Prudential Fixed Maturity Plan-Series 67-3 Year Plan F - Direct Plan - Dividend;12.5590;11-Apr-2016")</f>
        <v>121878;INF109K012V8;-;ICICI Prudential Fixed Maturity Plan-Series 67-3 Year Plan F - Direct Plan - Dividend;12.5590;11-Apr-2016</v>
      </c>
      <c r="B12393" s="1"/>
    </row>
    <row r="12394">
      <c r="A12394" s="1" t="str">
        <f>IFERROR(__xludf.DUMMYFUNCTION("""COMPUTED_VALUE"""),"121877;INF109K010V2;-;ICICI Prudential Fixed Maturity Plan-Series 67-3 Year Plan F - Dividend;12.4781;11-Apr-2016")</f>
        <v>121877;INF109K010V2;-;ICICI Prudential Fixed Maturity Plan-Series 67-3 Year Plan F - Dividend;12.4781;11-Apr-2016</v>
      </c>
      <c r="B12394" s="1"/>
    </row>
    <row r="12395">
      <c r="A12395" s="1" t="str">
        <f>IFERROR(__xludf.DUMMYFUNCTION("""COMPUTED_VALUE"""),"121956;INF109K017V7;-;ICICI Prudential Fixed Maturity Plan-Series 67-740 Days Plan H - Cumulative;13.9697;24-May-2017")</f>
        <v>121956;INF109K017V7;-;ICICI Prudential Fixed Maturity Plan-Series 67-740 Days Plan H - Cumulative;13.9697;24-May-2017</v>
      </c>
      <c r="B12395" s="1"/>
    </row>
    <row r="12396">
      <c r="A12396" s="1" t="str">
        <f>IFERROR(__xludf.DUMMYFUNCTION("""COMPUTED_VALUE"""),"121955;INF109K019V3;-;ICICI Prudential Fixed Maturity Plan-Series 67-740 Days Plan H - Direct Plan - Cumulative;13.9771;24-May-2017")</f>
        <v>121955;INF109K019V3;-;ICICI Prudential Fixed Maturity Plan-Series 67-740 Days Plan H - Direct Plan - Cumulative;13.9771;24-May-2017</v>
      </c>
      <c r="B12396" s="1"/>
    </row>
    <row r="12397">
      <c r="A12397" s="1" t="str">
        <f>IFERROR(__xludf.DUMMYFUNCTION("""COMPUTED_VALUE"""),"121953;INF109K010W0;-;ICICI Prudential Fixed Maturity Plan-Series 67-740 Days Plan H - Direct Plan - Dividend;12.4756;18-Apr-2016")</f>
        <v>121953;INF109K010W0;-;ICICI Prudential Fixed Maturity Plan-Series 67-740 Days Plan H - Direct Plan - Dividend;12.4756;18-Apr-2016</v>
      </c>
      <c r="B12397" s="1"/>
    </row>
    <row r="12398">
      <c r="A12398" s="1" t="str">
        <f>IFERROR(__xludf.DUMMYFUNCTION("""COMPUTED_VALUE"""),"121954;INF109K018V5;-;ICICI Prudential Fixed Maturity Plan-Series 67-740 Days Plan H - Dividend;13.4241;24-May-2017")</f>
        <v>121954;INF109K018V5;-;ICICI Prudential Fixed Maturity Plan-Series 67-740 Days Plan H - Dividend;13.4241;24-May-2017</v>
      </c>
      <c r="B12398" s="1"/>
    </row>
    <row r="12399">
      <c r="A12399" s="1" t="str">
        <f>IFERROR(__xludf.DUMMYFUNCTION("""COMPUTED_VALUE"""),"122276;INF109KB1FQ6;-;ICICI Prudential Fixed Maturity Plan-Series 67-745 Days Plan K - Cumulative;12.7299;18-May-2016")</f>
        <v>122276;INF109KB1FQ6;-;ICICI Prudential Fixed Maturity Plan-Series 67-745 Days Plan K - Cumulative;12.7299;18-May-2016</v>
      </c>
      <c r="B12399" s="1"/>
    </row>
    <row r="12400">
      <c r="A12400" s="1" t="str">
        <f>IFERROR(__xludf.DUMMYFUNCTION("""COMPUTED_VALUE"""),"122273;INF109KB1FO1;-;ICICI Prudential Fixed Maturity Plan-Series 67-745 Days Plan K - Direct Plan - Cumulative;12.8026;18-May-2016")</f>
        <v>122273;INF109KB1FO1;-;ICICI Prudential Fixed Maturity Plan-Series 67-745 Days Plan K - Direct Plan - Cumulative;12.8026;18-May-2016</v>
      </c>
      <c r="B12400" s="1"/>
    </row>
    <row r="12401">
      <c r="A12401" s="1" t="str">
        <f>IFERROR(__xludf.DUMMYFUNCTION("""COMPUTED_VALUE"""),"122275;INF109KB1FN3;-;ICICI Prudential Fixed Maturity Plan-Series 67-745 Days Plan K - Direct Plan - Dividend;11.2654;18-May-2016")</f>
        <v>122275;INF109KB1FN3;-;ICICI Prudential Fixed Maturity Plan-Series 67-745 Days Plan K - Direct Plan - Dividend;11.2654;18-May-2016</v>
      </c>
      <c r="B12401" s="1"/>
    </row>
    <row r="12402">
      <c r="A12402" s="1" t="str">
        <f>IFERROR(__xludf.DUMMYFUNCTION("""COMPUTED_VALUE"""),"122274;INF109KB1FP8;-;ICICI Prudential Fixed Maturity Plan-Series 67-745 Days Plan K - Dividend;11.2391;18-May-2016")</f>
        <v>122274;INF109KB1FP8;-;ICICI Prudential Fixed Maturity Plan-Series 67-745 Days Plan K - Dividend;11.2391;18-May-2016</v>
      </c>
      <c r="B12402" s="1"/>
    </row>
    <row r="12403">
      <c r="A12403" s="1" t="str">
        <f>IFERROR(__xludf.DUMMYFUNCTION("""COMPUTED_VALUE"""),"122893;INF109KA1ZJ0;-;ICICI Prudential Fixed Maturity Plan-Series 68-368 Days Plan G - Cumulative;13.0306;02-Aug-2016")</f>
        <v>122893;INF109KA1ZJ0;-;ICICI Prudential Fixed Maturity Plan-Series 68-368 Days Plan G - Cumulative;13.0306;02-Aug-2016</v>
      </c>
      <c r="B12403" s="1"/>
    </row>
    <row r="12404">
      <c r="A12404" s="1" t="str">
        <f>IFERROR(__xludf.DUMMYFUNCTION("""COMPUTED_VALUE"""),"122892;INF109KA1ZH4;-;ICICI Prudential Fixed Maturity Plan-Series 68-368 Days Plan G - Direct Plan - Cumulative;13.0624;02-Aug-2016")</f>
        <v>122892;INF109KA1ZH4;-;ICICI Prudential Fixed Maturity Plan-Series 68-368 Days Plan G - Direct Plan - Cumulative;13.0624;02-Aug-2016</v>
      </c>
      <c r="B12404" s="1"/>
    </row>
    <row r="12405">
      <c r="A12405" s="1" t="str">
        <f>IFERROR(__xludf.DUMMYFUNCTION("""COMPUTED_VALUE"""),"123002;INF109KA1ZO0;-;ICICI Prudential Fixed Maturity Plan-Series 68-369 Days Plan I - Cumulative;13.0352;02-Aug-2016")</f>
        <v>123002;INF109KA1ZO0;-;ICICI Prudential Fixed Maturity Plan-Series 68-369 Days Plan I - Cumulative;13.0352;02-Aug-2016</v>
      </c>
      <c r="B12405" s="1"/>
    </row>
    <row r="12406">
      <c r="A12406" s="1" t="str">
        <f>IFERROR(__xludf.DUMMYFUNCTION("""COMPUTED_VALUE"""),"123000;INF109KA1ZM4;-;ICICI Prudential Fixed Maturity Plan-Series 68-369 Days Plan I - Direct Plan - Cumulative;13.0800;02-Aug-2016")</f>
        <v>123000;INF109KA1ZM4;-;ICICI Prudential Fixed Maturity Plan-Series 68-369 Days Plan I - Direct Plan - Cumulative;13.0800;02-Aug-2016</v>
      </c>
      <c r="B12406" s="1"/>
    </row>
    <row r="12407">
      <c r="A12407" s="1" t="str">
        <f>IFERROR(__xludf.DUMMYFUNCTION("""COMPUTED_VALUE"""),"123003;INF109KA1ZP7;-;ICICI Prudential Fixed Maturity Plan-Series 68-369 Days Plan I - Dividend;12.9756;02-Aug-2016")</f>
        <v>123003;INF109KA1ZP7;-;ICICI Prudential Fixed Maturity Plan-Series 68-369 Days Plan I - Dividend;12.9756;02-Aug-2016</v>
      </c>
      <c r="B12407" s="1"/>
    </row>
    <row r="12408">
      <c r="A12408" s="1" t="str">
        <f>IFERROR(__xludf.DUMMYFUNCTION("""COMPUTED_VALUE"""),"123076;INF109KA1A09;-;ICICI Prudential Fixed Maturity Plan-Series 68-369 Days Plan K - Cumulative;14.1731;17-Oct-2017")</f>
        <v>123076;INF109KA1A09;-;ICICI Prudential Fixed Maturity Plan-Series 68-369 Days Plan K - Cumulative;14.1731;17-Oct-2017</v>
      </c>
      <c r="B12408" s="1"/>
    </row>
    <row r="12409">
      <c r="A12409" s="1" t="str">
        <f>IFERROR(__xludf.DUMMYFUNCTION("""COMPUTED_VALUE"""),"123074;INF109KA1ZY9;-;ICICI Prudential Fixed Maturity Plan-Series 68-369 Days Plan K - Direct Plan - Cumulative;14.2186;17-Oct-2017")</f>
        <v>123074;INF109KA1ZY9;-;ICICI Prudential Fixed Maturity Plan-Series 68-369 Days Plan K - Direct Plan - Cumulative;14.2186;17-Oct-2017</v>
      </c>
      <c r="B12409" s="1"/>
    </row>
    <row r="12410">
      <c r="A12410" s="1" t="str">
        <f>IFERROR(__xludf.DUMMYFUNCTION("""COMPUTED_VALUE"""),"123113;INF109KB1JR6;-;ICICI Prudential Fixed Maturity Plan-Series 68-704 Days Plan L - Cumulative;13.0068;20-Sep-2016")</f>
        <v>123113;INF109KB1JR6;-;ICICI Prudential Fixed Maturity Plan-Series 68-704 Days Plan L - Cumulative;13.0068;20-Sep-2016</v>
      </c>
      <c r="B12410" s="1"/>
    </row>
    <row r="12411">
      <c r="A12411" s="1" t="str">
        <f>IFERROR(__xludf.DUMMYFUNCTION("""COMPUTED_VALUE"""),"123110;INF109KB1JT2;-;ICICI Prudential Fixed Maturity Plan-Series 68-704 Days Plan L - Direct Plan - Cumulative;13.0730;20-Sep-2016")</f>
        <v>123110;INF109KB1JT2;-;ICICI Prudential Fixed Maturity Plan-Series 68-704 Days Plan L - Direct Plan - Cumulative;13.0730;20-Sep-2016</v>
      </c>
      <c r="B12411" s="1"/>
    </row>
    <row r="12412">
      <c r="A12412" s="1" t="str">
        <f>IFERROR(__xludf.DUMMYFUNCTION("""COMPUTED_VALUE"""),"123112;INF109KB1JU0;-;ICICI Prudential Fixed Maturity Plan-Series 68-704 Days Plan L - Direct Plan - Dividend;11.8454;20-Sep-2016")</f>
        <v>123112;INF109KB1JU0;-;ICICI Prudential Fixed Maturity Plan-Series 68-704 Days Plan L - Direct Plan - Dividend;11.8454;20-Sep-2016</v>
      </c>
      <c r="B12412" s="1"/>
    </row>
    <row r="12413">
      <c r="A12413" s="1" t="str">
        <f>IFERROR(__xludf.DUMMYFUNCTION("""COMPUTED_VALUE"""),"123111;INF109KB1JS4;-;ICICI Prudential Fixed Maturity Plan-Series 68-704 Days Plan L - Dividend;11.8131;20-Sep-2016")</f>
        <v>123111;INF109KB1JS4;-;ICICI Prudential Fixed Maturity Plan-Series 68-704 Days Plan L - Dividend;11.8131;20-Sep-2016</v>
      </c>
      <c r="B12413" s="1"/>
    </row>
    <row r="12414">
      <c r="A12414" s="1" t="str">
        <f>IFERROR(__xludf.DUMMYFUNCTION("""COMPUTED_VALUE"""),"122611;INF109KB1IL1;-;ICICI Prudential Fixed Maturity Plan-Series 68-745 Days Plan C - Cumulative;12.6355;27-Jun-2016")</f>
        <v>122611;INF109KB1IL1;-;ICICI Prudential Fixed Maturity Plan-Series 68-745 Days Plan C - Cumulative;12.6355;27-Jun-2016</v>
      </c>
      <c r="B12414" s="1"/>
    </row>
    <row r="12415">
      <c r="A12415" s="1" t="str">
        <f>IFERROR(__xludf.DUMMYFUNCTION("""COMPUTED_VALUE"""),"122608;INF109KB1IN7;-;ICICI Prudential Fixed Maturity Plan-Series 68-745 Days Plan C - Direct Plan - Cumulative;12.7021;27-Jun-2016")</f>
        <v>122608;INF109KB1IN7;-;ICICI Prudential Fixed Maturity Plan-Series 68-745 Days Plan C - Direct Plan - Cumulative;12.7021;27-Jun-2016</v>
      </c>
      <c r="B12415" s="1"/>
    </row>
    <row r="12416">
      <c r="A12416" s="1" t="str">
        <f>IFERROR(__xludf.DUMMYFUNCTION("""COMPUTED_VALUE"""),"122609;INF109KB1IO5;-;ICICI Prudential Fixed Maturity Plan-Series 68-745 Days Plan C - Direct Plan - Dividend;10.8449;24-Jun-2015")</f>
        <v>122609;INF109KB1IO5;-;ICICI Prudential Fixed Maturity Plan-Series 68-745 Days Plan C - Direct Plan - Dividend;10.8449;24-Jun-2015</v>
      </c>
      <c r="B12416" s="1"/>
    </row>
    <row r="12417">
      <c r="A12417" s="1" t="str">
        <f>IFERROR(__xludf.DUMMYFUNCTION("""COMPUTED_VALUE"""),"122610;INF109KB1IM9;-;ICICI Prudential Fixed Maturity Plan-Series 68-745 Days Plan C - Dividend;11.5947;27-Jun-2016")</f>
        <v>122610;INF109KB1IM9;-;ICICI Prudential Fixed Maturity Plan-Series 68-745 Days Plan C - Dividend;11.5947;27-Jun-2016</v>
      </c>
      <c r="B12417" s="1"/>
    </row>
    <row r="12418">
      <c r="A12418" s="1" t="str">
        <f>IFERROR(__xludf.DUMMYFUNCTION("""COMPUTED_VALUE"""),"122778;INF109KB1KF9;-;ICICI Prudential Fixed Maturity Plan-Series 68-745 Days Plan F - Cumulative;12.8707;20-Sep-2016")</f>
        <v>122778;INF109KB1KF9;-;ICICI Prudential Fixed Maturity Plan-Series 68-745 Days Plan F - Cumulative;12.8707;20-Sep-2016</v>
      </c>
      <c r="B12418" s="1"/>
    </row>
    <row r="12419">
      <c r="A12419" s="1" t="str">
        <f>IFERROR(__xludf.DUMMYFUNCTION("""COMPUTED_VALUE"""),"122776;INF109KB1KH5;-;ICICI Prudential Fixed Maturity Plan-Series 68-745 Days Plan F - Direct Plan - Cumulative;12.9249;20-Sep-2016")</f>
        <v>122776;INF109KB1KH5;-;ICICI Prudential Fixed Maturity Plan-Series 68-745 Days Plan F - Direct Plan - Cumulative;12.9249;20-Sep-2016</v>
      </c>
      <c r="B12419" s="1"/>
    </row>
    <row r="12420">
      <c r="A12420" s="1" t="str">
        <f>IFERROR(__xludf.DUMMYFUNCTION("""COMPUTED_VALUE"""),"122777;INF109KB1KI3;-;ICICI Prudential Fixed Maturity Plan-Series 68-745 Days Plan F - Direct Plan - Dividend;11.6896;20-Sep-2016")</f>
        <v>122777;INF109KB1KI3;-;ICICI Prudential Fixed Maturity Plan-Series 68-745 Days Plan F - Direct Plan - Dividend;11.6896;20-Sep-2016</v>
      </c>
      <c r="B12420" s="1"/>
    </row>
    <row r="12421">
      <c r="A12421" s="1" t="str">
        <f>IFERROR(__xludf.DUMMYFUNCTION("""COMPUTED_VALUE"""),"122779;INF109KB1KG7;-;ICICI Prudential Fixed Maturity Plan-Series 68-745 Days Plan F - Dividend;11.6614;20-Sep-2016")</f>
        <v>122779;INF109KB1KG7;-;ICICI Prudential Fixed Maturity Plan-Series 68-745 Days Plan F - Dividend;11.6614;20-Sep-2016</v>
      </c>
      <c r="B12421" s="1"/>
    </row>
    <row r="12422">
      <c r="A12422" s="1" t="str">
        <f>IFERROR(__xludf.DUMMYFUNCTION("""COMPUTED_VALUE"""),"122898;INF109KB1LD2;-;ICICI Prudential Fixed Maturity Plan-Series 68-745 Days Plan H - Cumulative;13.9462;03-Oct-2017")</f>
        <v>122898;INF109KB1LD2;-;ICICI Prudential Fixed Maturity Plan-Series 68-745 Days Plan H - Cumulative;13.9462;03-Oct-2017</v>
      </c>
      <c r="B12422" s="1"/>
    </row>
    <row r="12423">
      <c r="A12423" s="1" t="str">
        <f>IFERROR(__xludf.DUMMYFUNCTION("""COMPUTED_VALUE"""),"122896;INF109KB1LF7;-;ICICI Prudential Fixed Maturity Plan-Series 68-745 Days Plan H - Direct Plan - Cumulative;14.0361;03-Oct-2017")</f>
        <v>122896;INF109KB1LF7;-;ICICI Prudential Fixed Maturity Plan-Series 68-745 Days Plan H - Direct Plan - Cumulative;14.0361;03-Oct-2017</v>
      </c>
      <c r="B12423" s="1"/>
    </row>
    <row r="12424">
      <c r="A12424" s="1" t="str">
        <f>IFERROR(__xludf.DUMMYFUNCTION("""COMPUTED_VALUE"""),"122998;INF109KB1LH3;-;ICICI Prudential Fixed Maturity Plan-Series 68-745 Days Plan J - Cumulative;14.0187;03-Oct-2017")</f>
        <v>122998;INF109KB1LH3;-;ICICI Prudential Fixed Maturity Plan-Series 68-745 Days Plan J - Cumulative;14.0187;03-Oct-2017</v>
      </c>
      <c r="B12424" s="1"/>
    </row>
    <row r="12425">
      <c r="A12425" s="1" t="str">
        <f>IFERROR(__xludf.DUMMYFUNCTION("""COMPUTED_VALUE"""),"122996;INF109KB1LJ9;-;ICICI Prudential Fixed Maturity Plan-Series 68-745 Days Plan J - Direct Plan - Cumulative;14.1065;03-Oct-2017")</f>
        <v>122996;INF109KB1LJ9;-;ICICI Prudential Fixed Maturity Plan-Series 68-745 Days Plan J - Direct Plan - Cumulative;14.1065;03-Oct-2017</v>
      </c>
      <c r="B12425" s="1"/>
    </row>
    <row r="12426">
      <c r="A12426" s="1" t="str">
        <f>IFERROR(__xludf.DUMMYFUNCTION("""COMPUTED_VALUE"""),"122999;INF109KB1LI1;-;ICICI Prudential Fixed Maturity Plan-Series 68-745 Days Plan J - Dividend;12.3035;03-Oct-2017")</f>
        <v>122999;INF109KB1LI1;-;ICICI Prudential Fixed Maturity Plan-Series 68-745 Days Plan J - Dividend;12.3035;03-Oct-2017</v>
      </c>
      <c r="B12426" s="1"/>
    </row>
    <row r="12427">
      <c r="A12427" s="1" t="str">
        <f>IFERROR(__xludf.DUMMYFUNCTION("""COMPUTED_VALUE"""),"123992;INF109KA1CZ5;-;ICICI Prudential Fixed Maturity Plan-Series 69-1092 Days Plan L - Cumulative;13.1157;15-Dec-2016")</f>
        <v>123992;INF109KA1CZ5;-;ICICI Prudential Fixed Maturity Plan-Series 69-1092 Days Plan L - Cumulative;13.1157;15-Dec-2016</v>
      </c>
      <c r="B12427" s="1"/>
    </row>
    <row r="12428">
      <c r="A12428" s="1" t="str">
        <f>IFERROR(__xludf.DUMMYFUNCTION("""COMPUTED_VALUE"""),"123994;INF109KA1CX0;-;ICICI Prudential Fixed Maturity Plan-Series 69-1092 Days Plan L - Direct Plan - Cumulative;13.3345;15-Dec-2016")</f>
        <v>123994;INF109KA1CX0;-;ICICI Prudential Fixed Maturity Plan-Series 69-1092 Days Plan L - Direct Plan - Cumulative;13.3345;15-Dec-2016</v>
      </c>
      <c r="B12428" s="1"/>
    </row>
    <row r="12429">
      <c r="A12429" s="1" t="str">
        <f>IFERROR(__xludf.DUMMYFUNCTION("""COMPUTED_VALUE"""),"123995;INF109KA1CY8;-;ICICI Prudential Fixed Maturity Plan-Series 69-1092 Days Plan L - Direct Plan - Dividend;11.8074;08-Sep-2016")</f>
        <v>123995;INF109KA1CY8;-;ICICI Prudential Fixed Maturity Plan-Series 69-1092 Days Plan L - Direct Plan - Dividend;11.8074;08-Sep-2016</v>
      </c>
      <c r="B12429" s="1"/>
    </row>
    <row r="12430">
      <c r="A12430" s="1" t="str">
        <f>IFERROR(__xludf.DUMMYFUNCTION("""COMPUTED_VALUE"""),"123993;INF109KA1DA6;-;ICICI Prudential Fixed Maturity Plan-Series 69-1092 Days Plan L - Dividend;11.8538;15-Dec-2016")</f>
        <v>123993;INF109KA1DA6;-;ICICI Prudential Fixed Maturity Plan-Series 69-1092 Days Plan L - Dividend;11.8538;15-Dec-2016</v>
      </c>
      <c r="B12430" s="1"/>
    </row>
    <row r="12431">
      <c r="A12431" s="1" t="str">
        <f>IFERROR(__xludf.DUMMYFUNCTION("""COMPUTED_VALUE"""),"123367;INF109KA1AP0;-;ICICI Prudential Fixed Maturity Plan-Series 69-1093 Days Plan F - Cumulative;13.2201;30-Nov-2016")</f>
        <v>123367;INF109KA1AP0;-;ICICI Prudential Fixed Maturity Plan-Series 69-1093 Days Plan F - Cumulative;13.2201;30-Nov-2016</v>
      </c>
      <c r="B12431" s="1"/>
    </row>
    <row r="12432">
      <c r="A12432" s="1" t="str">
        <f>IFERROR(__xludf.DUMMYFUNCTION("""COMPUTED_VALUE"""),"123370;INF109KA1AN5;-;ICICI Prudential Fixed Maturity Plan-Series 69-1093 Days Plan F - Direct Plan - Cumulative;13.4230;30-Nov-2016")</f>
        <v>123370;INF109KA1AN5;-;ICICI Prudential Fixed Maturity Plan-Series 69-1093 Days Plan F - Direct Plan - Cumulative;13.4230;30-Nov-2016</v>
      </c>
      <c r="B12432" s="1"/>
    </row>
    <row r="12433">
      <c r="A12433" s="1" t="str">
        <f>IFERROR(__xludf.DUMMYFUNCTION("""COMPUTED_VALUE"""),"123368;INF109KA1AQ8;-;ICICI Prudential Fixed Maturity Plan-Series 69-1093 Days Plan F - Dividend;12.0072;30-Nov-2016")</f>
        <v>123368;INF109KA1AQ8;-;ICICI Prudential Fixed Maturity Plan-Series 69-1093 Days Plan F - Dividend;12.0072;30-Nov-2016</v>
      </c>
      <c r="B12433" s="1"/>
    </row>
    <row r="12434">
      <c r="A12434" s="1" t="str">
        <f>IFERROR(__xludf.DUMMYFUNCTION("""COMPUTED_VALUE"""),"123484;INF109KA1BN3;-;ICICI Prudential Fixed Maturity Plan-Series 69-1821 Days Plan H - Cumulative;15.4246;28-Aug-2018")</f>
        <v>123484;INF109KA1BN3;-;ICICI Prudential Fixed Maturity Plan-Series 69-1821 Days Plan H - Cumulative;15.4246;28-Aug-2018</v>
      </c>
      <c r="B12434" s="1"/>
    </row>
    <row r="12435">
      <c r="A12435" s="1" t="str">
        <f>IFERROR(__xludf.DUMMYFUNCTION("""COMPUTED_VALUE"""),"123482;INF109KA1BL7;-;ICICI Prudential Fixed Maturity Plan-Series 69-1821 Days Plan H - Direct Plan - Cumulative;15.7355;28-Aug-2018")</f>
        <v>123482;INF109KA1BL7;-;ICICI Prudential Fixed Maturity Plan-Series 69-1821 Days Plan H - Direct Plan - Cumulative;15.7355;28-Aug-2018</v>
      </c>
      <c r="B12435" s="1"/>
    </row>
    <row r="12436">
      <c r="A12436" s="1" t="str">
        <f>IFERROR(__xludf.DUMMYFUNCTION("""COMPUTED_VALUE"""),"123485;INF109KA1BO1;-;ICICI Prudential Fixed Maturity Plan-Series 69-1821 Days Plan H - Dividend;13.8182;28-Aug-2018")</f>
        <v>123485;INF109KA1BO1;-;ICICI Prudential Fixed Maturity Plan-Series 69-1821 Days Plan H - Dividend;13.8182;28-Aug-2018</v>
      </c>
      <c r="B12436" s="1"/>
    </row>
    <row r="12437">
      <c r="A12437" s="1" t="str">
        <f>IFERROR(__xludf.DUMMYFUNCTION("""COMPUTED_VALUE"""),"123186;INF109KA1A41;-;ICICI Prudential Fixed Maturity Plan-Series 69-366 Days Plan A - Cumulative;14.1577;17-Oct-2017")</f>
        <v>123186;INF109KA1A41;-;ICICI Prudential Fixed Maturity Plan-Series 69-366 Days Plan A - Cumulative;14.1577;17-Oct-2017</v>
      </c>
      <c r="B12437" s="1"/>
    </row>
    <row r="12438">
      <c r="A12438" s="1" t="str">
        <f>IFERROR(__xludf.DUMMYFUNCTION("""COMPUTED_VALUE"""),"123184;INF109KA1A25;-;ICICI Prudential Fixed Maturity Plan-Series 69-366 Days Plan A - Direct Plan - Cumulative;14.2022;17-Oct-2017")</f>
        <v>123184;INF109KA1A25;-;ICICI Prudential Fixed Maturity Plan-Series 69-366 Days Plan A - Direct Plan - Cumulative;14.2022;17-Oct-2017</v>
      </c>
      <c r="B12438" s="1"/>
    </row>
    <row r="12439">
      <c r="A12439" s="1" t="str">
        <f>IFERROR(__xludf.DUMMYFUNCTION("""COMPUTED_VALUE"""),"123480;INF109KA1J67;-;ICICI Prudential Fixed Maturity Plan-Series 69-366 Days Plan G - Cumulative;13.0970;07-Sep-2016")</f>
        <v>123480;INF109KA1J67;-;ICICI Prudential Fixed Maturity Plan-Series 69-366 Days Plan G - Cumulative;13.0970;07-Sep-2016</v>
      </c>
      <c r="B12439" s="1"/>
    </row>
    <row r="12440">
      <c r="A12440" s="1" t="str">
        <f>IFERROR(__xludf.DUMMYFUNCTION("""COMPUTED_VALUE"""),"123478;INF109KA1J42;-;ICICI Prudential Fixed Maturity Plan-Series 69-366 Days Plan G - Direct Plan - Cumulative;13.1433;07-Sep-2016")</f>
        <v>123478;INF109KA1J42;-;ICICI Prudential Fixed Maturity Plan-Series 69-366 Days Plan G - Direct Plan - Cumulative;13.1433;07-Sep-2016</v>
      </c>
      <c r="B12440" s="1"/>
    </row>
    <row r="12441">
      <c r="A12441" s="1" t="str">
        <f>IFERROR(__xludf.DUMMYFUNCTION("""COMPUTED_VALUE"""),"123481;INF109KA1J75;-;ICICI Prudential Fixed Maturity Plan-Series 69-366 Days Plan G - Dividend;11.8779;07-Sep-2016")</f>
        <v>123481;INF109KA1J75;-;ICICI Prudential Fixed Maturity Plan-Series 69-366 Days Plan G - Dividend;11.8779;07-Sep-2016</v>
      </c>
      <c r="B12441" s="1"/>
    </row>
    <row r="12442">
      <c r="A12442" s="1" t="str">
        <f>IFERROR(__xludf.DUMMYFUNCTION("""COMPUTED_VALUE"""),"123628;INF109KA1P44;-;ICICI Prudential Fixed Maturity Plan-Series 69-369 Days Plan J - Cumulative;14.1495;17-Oct-2017")</f>
        <v>123628;INF109KA1P44;-;ICICI Prudential Fixed Maturity Plan-Series 69-369 Days Plan J - Cumulative;14.1495;17-Oct-2017</v>
      </c>
      <c r="B12442" s="1"/>
    </row>
    <row r="12443">
      <c r="A12443" s="1" t="str">
        <f>IFERROR(__xludf.DUMMYFUNCTION("""COMPUTED_VALUE"""),"123627;INF109KA1P28;-;ICICI Prudential Fixed Maturity Plan-Series 69-369 Days Plan J - Direct Plan - Cumulative;14.1834;17-Oct-2017")</f>
        <v>123627;INF109KA1P28;-;ICICI Prudential Fixed Maturity Plan-Series 69-369 Days Plan J - Direct Plan - Cumulative;14.1834;17-Oct-2017</v>
      </c>
      <c r="B12443" s="1"/>
    </row>
    <row r="12444">
      <c r="A12444" s="1" t="str">
        <f>IFERROR(__xludf.DUMMYFUNCTION("""COMPUTED_VALUE"""),"123626;INF109KA1P51;-;ICICI Prudential Fixed Maturity Plan-Series 69-369 Days Plan J - Dividend;12.7341;17-Oct-2017")</f>
        <v>123626;INF109KA1P51;-;ICICI Prudential Fixed Maturity Plan-Series 69-369 Days Plan J - Dividend;12.7341;17-Oct-2017</v>
      </c>
      <c r="B12444" s="1"/>
    </row>
    <row r="12445">
      <c r="A12445" s="1" t="str">
        <f>IFERROR(__xludf.DUMMYFUNCTION("""COMPUTED_VALUE"""),"123946;INF109KA1Q68;-;ICICI Prudential Fixed Maturity Plan-Series 69-372 Days Plan K - Cumulative;13.0814;20-Sep-2016")</f>
        <v>123946;INF109KA1Q68;-;ICICI Prudential Fixed Maturity Plan-Series 69-372 Days Plan K - Cumulative;13.0814;20-Sep-2016</v>
      </c>
      <c r="B12445" s="1"/>
    </row>
    <row r="12446">
      <c r="A12446" s="1" t="str">
        <f>IFERROR(__xludf.DUMMYFUNCTION("""COMPUTED_VALUE"""),"123944;INF109KA1Q43;-;ICICI Prudential Fixed Maturity Plan-Series 69-372 Days Plan K - Direct Plan - Cumulative;13.1396;20-Sep-2016")</f>
        <v>123944;INF109KA1Q43;-;ICICI Prudential Fixed Maturity Plan-Series 69-372 Days Plan K - Direct Plan - Cumulative;13.1396;20-Sep-2016</v>
      </c>
      <c r="B12446" s="1"/>
    </row>
    <row r="12447">
      <c r="A12447" s="1" t="str">
        <f>IFERROR(__xludf.DUMMYFUNCTION("""COMPUTED_VALUE"""),"123947;INF109KA1Q76;-;ICICI Prudential Fixed Maturity Plan-Series 69-372 Days Plan K - Dividend;11.8494;20-Sep-2016")</f>
        <v>123947;INF109KA1Q76;-;ICICI Prudential Fixed Maturity Plan-Series 69-372 Days Plan K - Dividend;11.8494;20-Sep-2016</v>
      </c>
      <c r="B12447" s="1"/>
    </row>
    <row r="12448">
      <c r="A12448" s="1" t="str">
        <f>IFERROR(__xludf.DUMMYFUNCTION("""COMPUTED_VALUE"""),"123364;INF109KA10D4;-;ICICI Prudential Fixed Maturity Plan-Series 69-433 Days Plan E - Cumulative;13.1977;20-Oct-2016")</f>
        <v>123364;INF109KA10D4;-;ICICI Prudential Fixed Maturity Plan-Series 69-433 Days Plan E - Cumulative;13.1977;20-Oct-2016</v>
      </c>
      <c r="B12448" s="1"/>
    </row>
    <row r="12449">
      <c r="A12449" s="1" t="str">
        <f>IFERROR(__xludf.DUMMYFUNCTION("""COMPUTED_VALUE"""),"123363;INF109KA18C9;-;ICICI Prudential Fixed Maturity Plan-Series 69-433 Days Plan E - Direct Plan - Cumulative;13.2513;20-Oct-2016")</f>
        <v>123363;INF109KA18C9;-;ICICI Prudential Fixed Maturity Plan-Series 69-433 Days Plan E - Direct Plan - Cumulative;13.2513;20-Oct-2016</v>
      </c>
      <c r="B12449" s="1"/>
    </row>
    <row r="12450">
      <c r="A12450" s="1" t="str">
        <f>IFERROR(__xludf.DUMMYFUNCTION("""COMPUTED_VALUE"""),"123366;INF109KA11D2;-;ICICI Prudential Fixed Maturity Plan-Series 69-433 Days Plan E - Dividend;13.1388;20-Oct-2016")</f>
        <v>123366;INF109KA11D2;-;ICICI Prudential Fixed Maturity Plan-Series 69-433 Days Plan E - Dividend;13.1388;20-Oct-2016</v>
      </c>
      <c r="B12450" s="1"/>
    </row>
    <row r="12451">
      <c r="A12451" s="1" t="str">
        <f>IFERROR(__xludf.DUMMYFUNCTION("""COMPUTED_VALUE"""),"123282;INF109KB1KB8;-;ICICI Prudential Fixed Maturity Plan-Series 69-693 Days Plan D - Cumulative;12.9976;20-Sep-2016")</f>
        <v>123282;INF109KB1KB8;-;ICICI Prudential Fixed Maturity Plan-Series 69-693 Days Plan D - Cumulative;12.9976;20-Sep-2016</v>
      </c>
      <c r="B12451" s="1"/>
    </row>
    <row r="12452">
      <c r="A12452" s="1" t="str">
        <f>IFERROR(__xludf.DUMMYFUNCTION("""COMPUTED_VALUE"""),"123280;INF109KB1KD4;-;ICICI Prudential Fixed Maturity Plan-Series 69-693 Days Plan D - Direct Plan - Cumulative;13.0635;20-Sep-2016")</f>
        <v>123280;INF109KB1KD4;-;ICICI Prudential Fixed Maturity Plan-Series 69-693 Days Plan D - Direct Plan - Cumulative;13.0635;20-Sep-2016</v>
      </c>
      <c r="B12452" s="1"/>
    </row>
    <row r="12453">
      <c r="A12453" s="1" t="str">
        <f>IFERROR(__xludf.DUMMYFUNCTION("""COMPUTED_VALUE"""),"123281;INF109KB1KE2;-;ICICI Prudential Fixed Maturity Plan-Series 69-693 Days Plan D - Direct Plan - Dividend;11.7267;20-Sep-2016")</f>
        <v>123281;INF109KB1KE2;-;ICICI Prudential Fixed Maturity Plan-Series 69-693 Days Plan D - Direct Plan - Dividend;11.7267;20-Sep-2016</v>
      </c>
      <c r="B12453" s="1"/>
    </row>
    <row r="12454">
      <c r="A12454" s="1" t="str">
        <f>IFERROR(__xludf.DUMMYFUNCTION("""COMPUTED_VALUE"""),"123279;INF109KB1KC6;-;ICICI Prudential Fixed Maturity Plan-Series 69-693 Days Plan D - Dividend;11.6991;20-Sep-2016")</f>
        <v>123279;INF109KB1KC6;-;ICICI Prudential Fixed Maturity Plan-Series 69-693 Days Plan D - Dividend;11.6991;20-Sep-2016</v>
      </c>
      <c r="B12454" s="1"/>
    </row>
    <row r="12455">
      <c r="A12455" s="1" t="str">
        <f>IFERROR(__xludf.DUMMYFUNCTION("""COMPUTED_VALUE"""),"123261;INF109KB1JN5;-;ICICI Prudential Fixed Maturity Plan-Series 69-698 Days Plan B - Cumulative;13.8867;25-Sep-2017")</f>
        <v>123261;INF109KB1JN5;-;ICICI Prudential Fixed Maturity Plan-Series 69-698 Days Plan B - Cumulative;13.8867;25-Sep-2017</v>
      </c>
      <c r="B12455" s="1"/>
    </row>
    <row r="12456">
      <c r="A12456" s="1" t="str">
        <f>IFERROR(__xludf.DUMMYFUNCTION("""COMPUTED_VALUE"""),"123259;INF109KB1JP0;-;ICICI Prudential Fixed Maturity Plan-Series 69-698 Days Plan B - Direct Plan - Cumulative;13.9562;25-Sep-2017")</f>
        <v>123259;INF109KB1JP0;-;ICICI Prudential Fixed Maturity Plan-Series 69-698 Days Plan B - Direct Plan - Cumulative;13.9562;25-Sep-2017</v>
      </c>
      <c r="B12456" s="1"/>
    </row>
    <row r="12457">
      <c r="A12457" s="1" t="str">
        <f>IFERROR(__xludf.DUMMYFUNCTION("""COMPUTED_VALUE"""),"123262;INF109KB1JO3;-;ICICI Prudential Fixed Maturity Plan-Series 69-698 Days Plan B - Dividend;11.8180;20-Sep-2016")</f>
        <v>123262;INF109KB1JO3;-;ICICI Prudential Fixed Maturity Plan-Series 69-698 Days Plan B - Dividend;11.8180;20-Sep-2016</v>
      </c>
      <c r="B12457" s="1"/>
    </row>
    <row r="12458">
      <c r="A12458" s="1" t="str">
        <f>IFERROR(__xludf.DUMMYFUNCTION("""COMPUTED_VALUE"""),"124399;INF109KA1DX8;-;ICICI Prudential Fixed Maturity Plan-Series 70-1095 Days Plan H - Cumulative;12.7829;03-Oct-2016")</f>
        <v>124399;INF109KA1DX8;-;ICICI Prudential Fixed Maturity Plan-Series 70-1095 Days Plan H - Cumulative;12.7829;03-Oct-2016</v>
      </c>
      <c r="B12458" s="1"/>
    </row>
    <row r="12459">
      <c r="A12459" s="1" t="str">
        <f>IFERROR(__xludf.DUMMYFUNCTION("""COMPUTED_VALUE"""),"124397;INF109KA1DV2;-;ICICI Prudential Fixed Maturity Plan-Series 70-1095 Days Plan H - Direct Plan - Cumulative;12.9847;03-Oct-2016")</f>
        <v>124397;INF109KA1DV2;-;ICICI Prudential Fixed Maturity Plan-Series 70-1095 Days Plan H - Direct Plan - Cumulative;12.9847;03-Oct-2016</v>
      </c>
      <c r="B12459" s="1"/>
    </row>
    <row r="12460">
      <c r="A12460" s="1" t="str">
        <f>IFERROR(__xludf.DUMMYFUNCTION("""COMPUTED_VALUE"""),"124398;INF109KA1DW0;-;ICICI Prudential Fixed Maturity Plan-Series 70-1095 Days Plan H - Direct Plan - Dividend;11.7402;03-Oct-2016")</f>
        <v>124398;INF109KA1DW0;-;ICICI Prudential Fixed Maturity Plan-Series 70-1095 Days Plan H - Direct Plan - Dividend;11.7402;03-Oct-2016</v>
      </c>
      <c r="B12460" s="1"/>
    </row>
    <row r="12461">
      <c r="A12461" s="1" t="str">
        <f>IFERROR(__xludf.DUMMYFUNCTION("""COMPUTED_VALUE"""),"124400;INF109KA1DY6;-;ICICI Prudential Fixed Maturity Plan-Series 70-1095 Days Plan H - Dividend;11.6355;03-Oct-2016")</f>
        <v>124400;INF109KA1DY6;-;ICICI Prudential Fixed Maturity Plan-Series 70-1095 Days Plan H - Dividend;11.6355;03-Oct-2016</v>
      </c>
      <c r="B12461" s="1"/>
    </row>
    <row r="12462">
      <c r="A12462" s="1" t="str">
        <f>IFERROR(__xludf.DUMMYFUNCTION("""COMPUTED_VALUE"""),"125025;INF109KA1GH4;-;ICICI Prudential Fixed Maturity Plan-Series 70-1285 Days Plan T - Cumulative;13.4430;15-May-2017")</f>
        <v>125025;INF109KA1GH4;-;ICICI Prudential Fixed Maturity Plan-Series 70-1285 Days Plan T - Cumulative;13.4430;15-May-2017</v>
      </c>
      <c r="B12462" s="1"/>
    </row>
    <row r="12463">
      <c r="A12463" s="1" t="str">
        <f>IFERROR(__xludf.DUMMYFUNCTION("""COMPUTED_VALUE"""),"125023;INF109KA1GF8;-;ICICI Prudential Fixed Maturity Plan-Series 70-1285 Days Plan T - Direct Plan - Cumulative;13.5624;15-May-2017")</f>
        <v>125023;INF109KA1GF8;-;ICICI Prudential Fixed Maturity Plan-Series 70-1285 Days Plan T - Direct Plan - Cumulative;13.5624;15-May-2017</v>
      </c>
      <c r="B12463" s="1"/>
    </row>
    <row r="12464">
      <c r="A12464" s="1" t="str">
        <f>IFERROR(__xludf.DUMMYFUNCTION("""COMPUTED_VALUE"""),"125024;INF109KA1GG6;-;ICICI Prudential Fixed Maturity Plan-Series 70-1285 Days Plan T - Direct Plan - Dividend;12.7769;15-May-2017")</f>
        <v>125024;INF109KA1GG6;-;ICICI Prudential Fixed Maturity Plan-Series 70-1285 Days Plan T - Direct Plan - Dividend;12.7769;15-May-2017</v>
      </c>
      <c r="B12464" s="1"/>
    </row>
    <row r="12465">
      <c r="A12465" s="1" t="str">
        <f>IFERROR(__xludf.DUMMYFUNCTION("""COMPUTED_VALUE"""),"125026;INF109KA1GI2;-;ICICI Prudential Fixed Maturity Plan-Series 70-1285 Days Plan T - Dividend;12.6621;15-May-2017")</f>
        <v>125026;INF109KA1GI2;-;ICICI Prudential Fixed Maturity Plan-Series 70-1285 Days Plan T - Dividend;12.6621;15-May-2017</v>
      </c>
      <c r="B12465" s="1"/>
    </row>
    <row r="12466">
      <c r="A12466" s="1" t="str">
        <f>IFERROR(__xludf.DUMMYFUNCTION("""COMPUTED_VALUE"""),"124142;INF109KA1R00;-;ICICI Prudential Fixed Maturity Plan-Series 70-366 Days Plan B - Cumulative;13.0483;20-Sep-2016")</f>
        <v>124142;INF109KA1R00;-;ICICI Prudential Fixed Maturity Plan-Series 70-366 Days Plan B - Cumulative;13.0483;20-Sep-2016</v>
      </c>
      <c r="B12466" s="1"/>
    </row>
    <row r="12467">
      <c r="A12467" s="1" t="str">
        <f>IFERROR(__xludf.DUMMYFUNCTION("""COMPUTED_VALUE"""),"124143;INF109KA1Q84;-;ICICI Prudential Fixed Maturity Plan-Series 70-366 Days Plan B - Direct Plan - Cumulative;13.0766;20-Sep-2016")</f>
        <v>124143;INF109KA1Q84;-;ICICI Prudential Fixed Maturity Plan-Series 70-366 Days Plan B - Direct Plan - Cumulative;13.0766;20-Sep-2016</v>
      </c>
      <c r="B12467" s="1"/>
    </row>
    <row r="12468">
      <c r="A12468" s="1" t="str">
        <f>IFERROR(__xludf.DUMMYFUNCTION("""COMPUTED_VALUE"""),"124145;INF109KA1R18;-;ICICI Prudential Fixed Maturity Plan-Series 70-366 Days Plan B - Dividend;11.8434;20-Sep-2016")</f>
        <v>124145;INF109KA1R18;-;ICICI Prudential Fixed Maturity Plan-Series 70-366 Days Plan B - Dividend;11.8434;20-Sep-2016</v>
      </c>
      <c r="B12468" s="1"/>
    </row>
    <row r="12469">
      <c r="A12469" s="1" t="str">
        <f>IFERROR(__xludf.DUMMYFUNCTION("""COMPUTED_VALUE"""),"124497;INF109KA1U88;-;ICICI Prudential Fixed Maturity Plan-Series 70-366 Days Plan I - Cumulative;12.9480;28-Sep-2016")</f>
        <v>124497;INF109KA1U88;-;ICICI Prudential Fixed Maturity Plan-Series 70-366 Days Plan I - Cumulative;12.9480;28-Sep-2016</v>
      </c>
      <c r="B12469" s="1"/>
    </row>
    <row r="12470">
      <c r="A12470" s="1" t="str">
        <f>IFERROR(__xludf.DUMMYFUNCTION("""COMPUTED_VALUE"""),"124495;INF109KA1U62;-;ICICI Prudential Fixed Maturity Plan-Series 70-366 Days Plan I - Direct Plan - Cumulative;12.9762;28-Sep-2016")</f>
        <v>124495;INF109KA1U62;-;ICICI Prudential Fixed Maturity Plan-Series 70-366 Days Plan I - Direct Plan - Cumulative;12.9762;28-Sep-2016</v>
      </c>
      <c r="B12470" s="1"/>
    </row>
    <row r="12471">
      <c r="A12471" s="1" t="str">
        <f>IFERROR(__xludf.DUMMYFUNCTION("""COMPUTED_VALUE"""),"124496;INF109KA1U70;-;ICICI Prudential Fixed Maturity Plan-Series 70-366 Days Plan I - Direct Plan - Dividend;11.8381;28-Sep-2016")</f>
        <v>124496;INF109KA1U70;-;ICICI Prudential Fixed Maturity Plan-Series 70-366 Days Plan I - Direct Plan - Dividend;11.8381;28-Sep-2016</v>
      </c>
      <c r="B12471" s="1"/>
    </row>
    <row r="12472">
      <c r="A12472" s="1" t="str">
        <f>IFERROR(__xludf.DUMMYFUNCTION("""COMPUTED_VALUE"""),"124217;INF109KA1T24;-;ICICI Prudential Fixed Maturity Plan-Series 70-367 Days Plan C - Cumulative;14.0405;17-Oct-2017")</f>
        <v>124217;INF109KA1T24;-;ICICI Prudential Fixed Maturity Plan-Series 70-367 Days Plan C - Cumulative;14.0405;17-Oct-2017</v>
      </c>
      <c r="B12472" s="1"/>
    </row>
    <row r="12473">
      <c r="A12473" s="1" t="str">
        <f>IFERROR(__xludf.DUMMYFUNCTION("""COMPUTED_VALUE"""),"124215;INF109KA1T08;-;ICICI Prudential Fixed Maturity Plan-Series 70-367 Days Plan C - Direct Plan - Cumulative;14.0735;17-Oct-2017")</f>
        <v>124215;INF109KA1T08;-;ICICI Prudential Fixed Maturity Plan-Series 70-367 Days Plan C - Direct Plan - Cumulative;14.0735;17-Oct-2017</v>
      </c>
      <c r="B12473" s="1"/>
    </row>
    <row r="12474">
      <c r="A12474" s="1" t="str">
        <f>IFERROR(__xludf.DUMMYFUNCTION("""COMPUTED_VALUE"""),"124216;INF109KA1T16;-;ICICI Prudential Fixed Maturity Plan-Series 70-367 Days Plan C - Direct Plan - Dividend;11.8763;28-Sep-2016")</f>
        <v>124216;INF109KA1T16;-;ICICI Prudential Fixed Maturity Plan-Series 70-367 Days Plan C - Direct Plan - Dividend;11.8763;28-Sep-2016</v>
      </c>
      <c r="B12474" s="1"/>
    </row>
    <row r="12475">
      <c r="A12475" s="1" t="str">
        <f>IFERROR(__xludf.DUMMYFUNCTION("""COMPUTED_VALUE"""),"124218;INF109KA1T32;-;ICICI Prudential Fixed Maturity Plan-Series 70-367 Days Plan C - Dividend;11.8566;28-Sep-2016")</f>
        <v>124218;INF109KA1T32;-;ICICI Prudential Fixed Maturity Plan-Series 70-367 Days Plan C - Dividend;11.8566;28-Sep-2016</v>
      </c>
      <c r="B12475" s="1"/>
    </row>
    <row r="12476">
      <c r="A12476" s="1" t="str">
        <f>IFERROR(__xludf.DUMMYFUNCTION("""COMPUTED_VALUE"""),"124720;INF109KA1Z91;-;ICICI Prudential Fixed Maturity Plan-Series 70-367 Days Plan N - Cumulative;13.6690;23-Oct-2017")</f>
        <v>124720;INF109KA1Z91;-;ICICI Prudential Fixed Maturity Plan-Series 70-367 Days Plan N - Cumulative;13.6690;23-Oct-2017</v>
      </c>
      <c r="B12476" s="1"/>
    </row>
    <row r="12477">
      <c r="A12477" s="1" t="str">
        <f>IFERROR(__xludf.DUMMYFUNCTION("""COMPUTED_VALUE"""),"124718;INF109KA1Y84;-;ICICI Prudential Fixed Maturity Plan-Series 70-367 Days Plan N - Direct Plan - Cumulative;13.7133;23-Oct-2017")</f>
        <v>124718;INF109KA1Y84;-;ICICI Prudential Fixed Maturity Plan-Series 70-367 Days Plan N - Direct Plan - Cumulative;13.7133;23-Oct-2017</v>
      </c>
      <c r="B12477" s="1"/>
    </row>
    <row r="12478">
      <c r="A12478" s="1" t="str">
        <f>IFERROR(__xludf.DUMMYFUNCTION("""COMPUTED_VALUE"""),"124362;INF109KA1U47;-;ICICI Prudential Fixed Maturity Plan-Series 70-368 Days Plan J - Cumulative;12.9482;28-Sep-2016")</f>
        <v>124362;INF109KA1U47;-;ICICI Prudential Fixed Maturity Plan-Series 70-368 Days Plan J - Cumulative;12.9482;28-Sep-2016</v>
      </c>
      <c r="B12478" s="1"/>
    </row>
    <row r="12479">
      <c r="A12479" s="1" t="str">
        <f>IFERROR(__xludf.DUMMYFUNCTION("""COMPUTED_VALUE"""),"124361;INF109KA1U21;-;ICICI Prudential Fixed Maturity Plan-Series 70-368 Days Plan J - Direct Plan - Cumulative;13.0015;28-Sep-2016")</f>
        <v>124361;INF109KA1U21;-;ICICI Prudential Fixed Maturity Plan-Series 70-368 Days Plan J - Direct Plan - Cumulative;13.0015;28-Sep-2016</v>
      </c>
      <c r="B12479" s="1"/>
    </row>
    <row r="12480">
      <c r="A12480" s="1" t="str">
        <f>IFERROR(__xludf.DUMMYFUNCTION("""COMPUTED_VALUE"""),"124584;INF109KA1V20;-;ICICI Prudential Fixed Maturity Plan-Series 70-368 Days Plan K - Cumulative;13.0066;18-Oct-2016")</f>
        <v>124584;INF109KA1V20;-;ICICI Prudential Fixed Maturity Plan-Series 70-368 Days Plan K - Cumulative;13.0066;18-Oct-2016</v>
      </c>
      <c r="B12480" s="1"/>
    </row>
    <row r="12481">
      <c r="A12481" s="1" t="str">
        <f>IFERROR(__xludf.DUMMYFUNCTION("""COMPUTED_VALUE"""),"124582;INF109KA1V04;-;ICICI Prudential Fixed Maturity Plan-Series 70-368 Days Plan K - Direct Plan - Cumulative;13.0365;18-Oct-2016")</f>
        <v>124582;INF109KA1V04;-;ICICI Prudential Fixed Maturity Plan-Series 70-368 Days Plan K - Direct Plan - Cumulative;13.0365;18-Oct-2016</v>
      </c>
      <c r="B12481" s="1"/>
    </row>
    <row r="12482">
      <c r="A12482" s="1" t="str">
        <f>IFERROR(__xludf.DUMMYFUNCTION("""COMPUTED_VALUE"""),"124651;INF109KA1Z34;-;ICICI Prudential Fixed Maturity Plan-Series 70-368 Days Plan M - Cumulative;12.9257;18-Oct-2016")</f>
        <v>124651;INF109KA1Z34;-;ICICI Prudential Fixed Maturity Plan-Series 70-368 Days Plan M - Cumulative;12.9257;18-Oct-2016</v>
      </c>
      <c r="B12482" s="1"/>
    </row>
    <row r="12483">
      <c r="A12483" s="1" t="str">
        <f>IFERROR(__xludf.DUMMYFUNCTION("""COMPUTED_VALUE"""),"124653;INF109KA1Z18;-;ICICI Prudential Fixed Maturity Plan-Series 70-368 Days Plan M - Direct Plan - Cumulative;12.9521;18-Oct-2016")</f>
        <v>124653;INF109KA1Z18;-;ICICI Prudential Fixed Maturity Plan-Series 70-368 Days Plan M - Direct Plan - Cumulative;12.9521;18-Oct-2016</v>
      </c>
      <c r="B12483" s="1"/>
    </row>
    <row r="12484">
      <c r="A12484" s="1" t="str">
        <f>IFERROR(__xludf.DUMMYFUNCTION("""COMPUTED_VALUE"""),"124652;INF109KA1Z42;-;ICICI Prudential Fixed Maturity Plan-Series 70-368 Days Plan M - Dividend;12.8665;18-Oct-2016")</f>
        <v>124652;INF109KA1Z42;-;ICICI Prudential Fixed Maturity Plan-Series 70-368 Days Plan M - Dividend;12.8665;18-Oct-2016</v>
      </c>
      <c r="B12484" s="1"/>
    </row>
    <row r="12485">
      <c r="A12485" s="1" t="str">
        <f>IFERROR(__xludf.DUMMYFUNCTION("""COMPUTED_VALUE"""),"124082;INF109KA1S82;-;ICICI Prudential Fixed Maturity Plan-Series 70-369 Days Plan E - Cumulative;13.0463;20-Sep-2016")</f>
        <v>124082;INF109KA1S82;-;ICICI Prudential Fixed Maturity Plan-Series 70-369 Days Plan E - Cumulative;13.0463;20-Sep-2016</v>
      </c>
      <c r="B12485" s="1"/>
    </row>
    <row r="12486">
      <c r="A12486" s="1" t="str">
        <f>IFERROR(__xludf.DUMMYFUNCTION("""COMPUTED_VALUE"""),"124079;INF109KA1S66;-;ICICI Prudential Fixed Maturity Plan-Series 70-369 Days Plan E - Direct Plan - Cumulative;13.1004;20-Sep-2016")</f>
        <v>124079;INF109KA1S66;-;ICICI Prudential Fixed Maturity Plan-Series 70-369 Days Plan E - Direct Plan - Cumulative;13.1004;20-Sep-2016</v>
      </c>
      <c r="B12486" s="1"/>
    </row>
    <row r="12487">
      <c r="A12487" s="1" t="str">
        <f>IFERROR(__xludf.DUMMYFUNCTION("""COMPUTED_VALUE"""),"124081;INF109KA1S90;-;ICICI Prudential Fixed Maturity Plan-Series 70-369 Days Plan E - Dividend;11.8376;20-Sep-2016")</f>
        <v>124081;INF109KA1S90;-;ICICI Prudential Fixed Maturity Plan-Series 70-369 Days Plan E - Dividend;11.8376;20-Sep-2016</v>
      </c>
      <c r="B12487" s="1"/>
    </row>
    <row r="12488">
      <c r="A12488" s="1" t="str">
        <f>IFERROR(__xludf.DUMMYFUNCTION("""COMPUTED_VALUE"""),"124593;INF109KA1Z75;-;ICICI Prudential Fixed Maturity Plan-Series 70-372 Days Plan L - Cumulative;12.9694;18-Oct-2016")</f>
        <v>124593;INF109KA1Z75;-;ICICI Prudential Fixed Maturity Plan-Series 70-372 Days Plan L - Cumulative;12.9694;18-Oct-2016</v>
      </c>
      <c r="B12488" s="1"/>
    </row>
    <row r="12489">
      <c r="A12489" s="1" t="str">
        <f>IFERROR(__xludf.DUMMYFUNCTION("""COMPUTED_VALUE"""),"124591;INF109KA1Z59;-;ICICI Prudential Fixed Maturity Plan-Series 70-372 Days Plan L - Direct Plan - Cumulative;12.9967;18-Oct-2016")</f>
        <v>124591;INF109KA1Z59;-;ICICI Prudential Fixed Maturity Plan-Series 70-372 Days Plan L - Direct Plan - Cumulative;12.9967;18-Oct-2016</v>
      </c>
      <c r="B12489" s="1"/>
    </row>
    <row r="12490">
      <c r="A12490" s="1" t="str">
        <f>IFERROR(__xludf.DUMMYFUNCTION("""COMPUTED_VALUE"""),"124594;INF109KA1Z83;-;ICICI Prudential Fixed Maturity Plan-Series 70-372 Days Plan L - Dividend;12.9091;18-Oct-2016")</f>
        <v>124594;INF109KA1Z83;-;ICICI Prudential Fixed Maturity Plan-Series 70-372 Days Plan L - Dividend;12.9091;18-Oct-2016</v>
      </c>
      <c r="B12490" s="1"/>
    </row>
    <row r="12491">
      <c r="A12491" s="1" t="str">
        <f>IFERROR(__xludf.DUMMYFUNCTION("""COMPUTED_VALUE"""),"124922;INF109KB1BZ6;-;ICICI Prudential Fixed Maturity Plan-Series 70-540 Days Plan S - Cumulative;14.4536;10-Jul-2018")</f>
        <v>124922;INF109KB1BZ6;-;ICICI Prudential Fixed Maturity Plan-Series 70-540 Days Plan S - Cumulative;14.4536;10-Jul-2018</v>
      </c>
      <c r="B12491" s="1"/>
    </row>
    <row r="12492">
      <c r="A12492" s="1" t="str">
        <f>IFERROR(__xludf.DUMMYFUNCTION("""COMPUTED_VALUE"""),"124920;INF109KB1CB5;-;ICICI Prudential Fixed Maturity Plan-Series 70-540 Days Plan S - Direct Plan - Cumulative;14.5429;10-Jul-2018")</f>
        <v>124920;INF109KB1CB5;-;ICICI Prudential Fixed Maturity Plan-Series 70-540 Days Plan S - Direct Plan - Cumulative;14.5429;10-Jul-2018</v>
      </c>
      <c r="B12492" s="1"/>
    </row>
    <row r="12493">
      <c r="A12493" s="1" t="str">
        <f>IFERROR(__xludf.DUMMYFUNCTION("""COMPUTED_VALUE"""),"124221;INF109KA1DT6;-;ICICI Prudential Fixed Maturity Plan-Series 70-742 Days Plan D - Cumulative;12.7856;02-Nov-2016")</f>
        <v>124221;INF109KA1DT6;-;ICICI Prudential Fixed Maturity Plan-Series 70-742 Days Plan D - Cumulative;12.7856;02-Nov-2016</v>
      </c>
      <c r="B12493" s="1"/>
    </row>
    <row r="12494">
      <c r="A12494" s="1" t="str">
        <f>IFERROR(__xludf.DUMMYFUNCTION("""COMPUTED_VALUE"""),"124219;INF109KA1DR0;-;ICICI Prudential Fixed Maturity Plan-Series 70-742 Days Plan D - Direct Plan - Cumulative;12.9155;02-Nov-2016")</f>
        <v>124219;INF109KA1DR0;-;ICICI Prudential Fixed Maturity Plan-Series 70-742 Days Plan D - Direct Plan - Cumulative;12.9155;02-Nov-2016</v>
      </c>
      <c r="B12494" s="1"/>
    </row>
    <row r="12495">
      <c r="A12495" s="1" t="str">
        <f>IFERROR(__xludf.DUMMYFUNCTION("""COMPUTED_VALUE"""),"124220;INF109KA1DS8;-;ICICI Prudential Fixed Maturity Plan-Series 70-742 Days Plan D - Direct Plan - Dividend;10.8105;30-Sep-2015")</f>
        <v>124220;INF109KA1DS8;-;ICICI Prudential Fixed Maturity Plan-Series 70-742 Days Plan D - Direct Plan - Dividend;10.8105;30-Sep-2015</v>
      </c>
      <c r="B12495" s="1"/>
    </row>
    <row r="12496">
      <c r="A12496" s="1" t="str">
        <f>IFERROR(__xludf.DUMMYFUNCTION("""COMPUTED_VALUE"""),"124222;INF109KA1DU4;-;ICICI Prudential Fixed Maturity Plan-Series 70-742 Days Plan D - Dividend;11.6053;02-Nov-2016")</f>
        <v>124222;INF109KA1DU4;-;ICICI Prudential Fixed Maturity Plan-Series 70-742 Days Plan D - Dividend;11.6053;02-Nov-2016</v>
      </c>
      <c r="B12496" s="1"/>
    </row>
    <row r="12497">
      <c r="A12497" s="1" t="str">
        <f>IFERROR(__xludf.DUMMYFUNCTION("""COMPUTED_VALUE"""),"123991;INF109KB1NH9;-;ICICI Prudential Fixed Maturity Plan-Series 70-745 Days Plan A - Cumulative;13.0499;02-Nov-2016")</f>
        <v>123991;INF109KB1NH9;-;ICICI Prudential Fixed Maturity Plan-Series 70-745 Days Plan A - Cumulative;13.0499;02-Nov-2016</v>
      </c>
      <c r="B12497" s="1"/>
    </row>
    <row r="12498">
      <c r="A12498" s="1" t="str">
        <f>IFERROR(__xludf.DUMMYFUNCTION("""COMPUTED_VALUE"""),"123988;INF109KB1NJ5;-;ICICI Prudential Fixed Maturity Plan-Series 70-745 Days Plan A - Direct Plan - Cumulative;13.1176;02-Nov-2016")</f>
        <v>123988;INF109KB1NJ5;-;ICICI Prudential Fixed Maturity Plan-Series 70-745 Days Plan A - Direct Plan - Cumulative;13.1176;02-Nov-2016</v>
      </c>
      <c r="B12498" s="1"/>
    </row>
    <row r="12499">
      <c r="A12499" s="1" t="str">
        <f>IFERROR(__xludf.DUMMYFUNCTION("""COMPUTED_VALUE"""),"123990;INF109KB1NI7;-;ICICI Prudential Fixed Maturity Plan-Series 70-745 Days Plan A - Dividend;11.8275;02-Nov-2016")</f>
        <v>123990;INF109KB1NI7;-;ICICI Prudential Fixed Maturity Plan-Series 70-745 Days Plan A - Dividend;11.8275;02-Nov-2016</v>
      </c>
      <c r="B12499" s="1"/>
    </row>
    <row r="12500">
      <c r="A12500" s="1" t="str">
        <f>IFERROR(__xludf.DUMMYFUNCTION("""COMPUTED_VALUE"""),"124319;INF109KA1EJ5;-;ICICI Prudential Fixed Maturity Plan-Series 70-745 Days Plan G - Cumulative;12.7856;10-Nov-2016")</f>
        <v>124319;INF109KA1EJ5;-;ICICI Prudential Fixed Maturity Plan-Series 70-745 Days Plan G - Cumulative;12.7856;10-Nov-2016</v>
      </c>
      <c r="B12500" s="1"/>
    </row>
    <row r="12501">
      <c r="A12501" s="1" t="str">
        <f>IFERROR(__xludf.DUMMYFUNCTION("""COMPUTED_VALUE"""),"124317;INF109KA1EH9;-;ICICI Prudential Fixed Maturity Plan-Series 70-745 Days Plan G - Direct Plan - Cumulative;12.9175;10-Nov-2016")</f>
        <v>124317;INF109KA1EH9;-;ICICI Prudential Fixed Maturity Plan-Series 70-745 Days Plan G - Direct Plan - Cumulative;12.9175;10-Nov-2016</v>
      </c>
      <c r="B12501" s="1"/>
    </row>
    <row r="12502">
      <c r="A12502" s="1" t="str">
        <f>IFERROR(__xludf.DUMMYFUNCTION("""COMPUTED_VALUE"""),"124318;INF109KA1EI7;-;ICICI Prudential Fixed Maturity Plan-Series 70-745 Days Plan G - Direct Plan - Dividend;10.8768;08-Oct-2015")</f>
        <v>124318;INF109KA1EI7;-;ICICI Prudential Fixed Maturity Plan-Series 70-745 Days Plan G - Direct Plan - Dividend;10.8768;08-Oct-2015</v>
      </c>
      <c r="B12502" s="1"/>
    </row>
    <row r="12503">
      <c r="A12503" s="1" t="str">
        <f>IFERROR(__xludf.DUMMYFUNCTION("""COMPUTED_VALUE"""),"124320;INF109KA1EK3;-;ICICI Prudential Fixed Maturity Plan-Series 70-745 Days Plan G - Dividend;11.6230;10-Nov-2016")</f>
        <v>124320;INF109KA1EK3;-;ICICI Prudential Fixed Maturity Plan-Series 70-745 Days Plan G - Dividend;11.6230;10-Nov-2016</v>
      </c>
      <c r="B12503" s="1"/>
    </row>
    <row r="12504">
      <c r="A12504" s="1" t="str">
        <f>IFERROR(__xludf.DUMMYFUNCTION("""COMPUTED_VALUE"""),"124649;INF109KB1OJ3;-;ICICI Prudential Fixed Maturity Plan-Series 70-745 Days Plan P - Cumulative;12.8121;05-Dec-2016")</f>
        <v>124649;INF109KB1OJ3;-;ICICI Prudential Fixed Maturity Plan-Series 70-745 Days Plan P - Cumulative;12.8121;05-Dec-2016</v>
      </c>
      <c r="B12504" s="1"/>
    </row>
    <row r="12505">
      <c r="A12505" s="1" t="str">
        <f>IFERROR(__xludf.DUMMYFUNCTION("""COMPUTED_VALUE"""),"124647;INF109KB1OL9;-;ICICI Prudential Fixed Maturity Plan-Series 70-745 Days Plan P - Direct Plan - Cumulative;12.8857;05-Dec-2016")</f>
        <v>124647;INF109KB1OL9;-;ICICI Prudential Fixed Maturity Plan-Series 70-745 Days Plan P - Direct Plan - Cumulative;12.8857;05-Dec-2016</v>
      </c>
      <c r="B12505" s="1"/>
    </row>
    <row r="12506">
      <c r="A12506" s="1" t="str">
        <f>IFERROR(__xludf.DUMMYFUNCTION("""COMPUTED_VALUE"""),"124650;INF109KB1OK1;-;ICICI Prudential Fixed Maturity Plan-Series 70-745 Days Plan P - Dividend;11.6579;05-Dec-2016")</f>
        <v>124650;INF109KB1OK1;-;ICICI Prudential Fixed Maturity Plan-Series 70-745 Days Plan P - Dividend;11.6579;05-Dec-2016</v>
      </c>
      <c r="B12506" s="1"/>
    </row>
    <row r="12507">
      <c r="A12507" s="1" t="str">
        <f>IFERROR(__xludf.DUMMYFUNCTION("""COMPUTED_VALUE"""),"125867;INF109KA1IL2;-;ICICI Prudential Fixed Maturity Plan-Series 71-1095 Days Plan O - Cumulative;13.1037;10-Apr-2017")</f>
        <v>125867;INF109KA1IL2;-;ICICI Prudential Fixed Maturity Plan-Series 71-1095 Days Plan O - Cumulative;13.1037;10-Apr-2017</v>
      </c>
      <c r="B12507" s="1"/>
    </row>
    <row r="12508">
      <c r="A12508" s="1" t="str">
        <f>IFERROR(__xludf.DUMMYFUNCTION("""COMPUTED_VALUE"""),"125865;INF109KA1IN8;-;ICICI Prudential Fixed Maturity Plan-Series 71-1095 Days Plan O - Direct Plan - Cumulative;13.2861;10-Apr-2017")</f>
        <v>125865;INF109KA1IN8;-;ICICI Prudential Fixed Maturity Plan-Series 71-1095 Days Plan O - Direct Plan - Cumulative;13.2861;10-Apr-2017</v>
      </c>
      <c r="B12508" s="1"/>
    </row>
    <row r="12509">
      <c r="A12509" s="1" t="str">
        <f>IFERROR(__xludf.DUMMYFUNCTION("""COMPUTED_VALUE"""),"125866;INF109KA1IO6;-;ICICI Prudential Fixed Maturity Plan-Series 71-1095 Days Plan O - Direct Plan - Dividend;12.1955;10-Apr-2017")</f>
        <v>125866;INF109KA1IO6;-;ICICI Prudential Fixed Maturity Plan-Series 71-1095 Days Plan O - Direct Plan - Dividend;12.1955;10-Apr-2017</v>
      </c>
      <c r="B12509" s="1"/>
    </row>
    <row r="12510">
      <c r="A12510" s="1" t="str">
        <f>IFERROR(__xludf.DUMMYFUNCTION("""COMPUTED_VALUE"""),"125868;INF109KA1IM0;-;ICICI Prudential Fixed Maturity Plan-Series 71-1095 Days Plan O - Dividend;12.0815;10-Apr-2017")</f>
        <v>125868;INF109KA1IM0;-;ICICI Prudential Fixed Maturity Plan-Series 71-1095 Days Plan O - Dividend;12.0815;10-Apr-2017</v>
      </c>
      <c r="B12510" s="1"/>
    </row>
    <row r="12511">
      <c r="A12511" s="1" t="str">
        <f>IFERROR(__xludf.DUMMYFUNCTION("""COMPUTED_VALUE"""),"125438;INF109KA18K2;-;ICICI Prudential Fixed Maturity Plan-Series 71-369 Days Plan E - Cumulative;12.8626;13-Dec-2016")</f>
        <v>125438;INF109KA18K2;-;ICICI Prudential Fixed Maturity Plan-Series 71-369 Days Plan E - Cumulative;12.8626;13-Dec-2016</v>
      </c>
      <c r="B12511" s="1"/>
    </row>
    <row r="12512">
      <c r="A12512" s="1" t="str">
        <f>IFERROR(__xludf.DUMMYFUNCTION("""COMPUTED_VALUE"""),"125436;INF109KA10L7;-;ICICI Prudential Fixed Maturity Plan-Series 71-369 Days Plan E - Direct Plan - Cumulative;12.8821;13-Dec-2016")</f>
        <v>125436;INF109KA10L7;-;ICICI Prudential Fixed Maturity Plan-Series 71-369 Days Plan E - Direct Plan - Cumulative;12.8821;13-Dec-2016</v>
      </c>
      <c r="B12512" s="1"/>
    </row>
    <row r="12513">
      <c r="A12513" s="1" t="str">
        <f>IFERROR(__xludf.DUMMYFUNCTION("""COMPUTED_VALUE"""),"125437;INF109KA11L5;-;ICICI Prudential Fixed Maturity Plan-Series 71-369 Days Plan E - Direct Plan - Dividend;11.9052;13-Dec-2016")</f>
        <v>125437;INF109KA11L5;-;ICICI Prudential Fixed Maturity Plan-Series 71-369 Days Plan E - Direct Plan - Dividend;11.9052;13-Dec-2016</v>
      </c>
      <c r="B12513" s="1"/>
    </row>
    <row r="12514">
      <c r="A12514" s="1" t="str">
        <f>IFERROR(__xludf.DUMMYFUNCTION("""COMPUTED_VALUE"""),"125439;INF109KA19K0;-;ICICI Prudential Fixed Maturity Plan-Series 71-369 Days Plan E - Dividend;11.8951;13-Dec-2016")</f>
        <v>125439;INF109KA19K0;-;ICICI Prudential Fixed Maturity Plan-Series 71-369 Days Plan E - Dividend;11.8951;13-Dec-2016</v>
      </c>
      <c r="B12514" s="1"/>
    </row>
    <row r="12515">
      <c r="A12515" s="1" t="str">
        <f>IFERROR(__xludf.DUMMYFUNCTION("""COMPUTED_VALUE"""),"125971;INF109KB1CD1;-;ICICI Prudential Fixed Maturity Plan-Series 71-480 Days Plan L - Cumulative;14.2209;10-Jul-2018")</f>
        <v>125971;INF109KB1CD1;-;ICICI Prudential Fixed Maturity Plan-Series 71-480 Days Plan L - Cumulative;14.2209;10-Jul-2018</v>
      </c>
      <c r="B12515" s="1"/>
    </row>
    <row r="12516">
      <c r="A12516" s="1" t="str">
        <f>IFERROR(__xludf.DUMMYFUNCTION("""COMPUTED_VALUE"""),"125969;INF109KB1CF6;-;ICICI Prudential Fixed Maturity Plan-Series 71-480 Days Plan L - Direct Plan - Cumulative;14.331;10-Jul-2018")</f>
        <v>125969;INF109KB1CF6;-;ICICI Prudential Fixed Maturity Plan-Series 71-480 Days Plan L - Direct Plan - Cumulative;14.331;10-Jul-2018</v>
      </c>
      <c r="B12516" s="1"/>
    </row>
    <row r="12517">
      <c r="A12517" s="1" t="str">
        <f>IFERROR(__xludf.DUMMYFUNCTION("""COMPUTED_VALUE"""),"125972;INF109KB1CE9;-;ICICI Prudential Fixed Maturity Plan-Series 71-480 Days Plan L - Dividend;13.1764;10-Jul-2018")</f>
        <v>125972;INF109KB1CE9;-;ICICI Prudential Fixed Maturity Plan-Series 71-480 Days Plan L - Dividend;13.1764;10-Jul-2018</v>
      </c>
      <c r="B12517" s="1"/>
    </row>
    <row r="12518">
      <c r="A12518" s="1" t="str">
        <f>IFERROR(__xludf.DUMMYFUNCTION("""COMPUTED_VALUE"""),"125684;INF109KB1EB1;-;ICICI Prudential Fixed Maturity Plan-Series 71-505 Days Plan H - Cumulative;13.3615;17-Jul-2017")</f>
        <v>125684;INF109KB1EB1;-;ICICI Prudential Fixed Maturity Plan-Series 71-505 Days Plan H - Cumulative;13.3615;17-Jul-2017</v>
      </c>
      <c r="B12518" s="1"/>
    </row>
    <row r="12519">
      <c r="A12519" s="1" t="str">
        <f>IFERROR(__xludf.DUMMYFUNCTION("""COMPUTED_VALUE"""),"125683;INF109KB1ED7;-;ICICI Prudential Fixed Maturity Plan-Series 71-505 Days Plan H - Direct Plan - Cumulative;13.4512;17-Jul-2017")</f>
        <v>125683;INF109KB1ED7;-;ICICI Prudential Fixed Maturity Plan-Series 71-505 Days Plan H - Direct Plan - Cumulative;13.4512;17-Jul-2017</v>
      </c>
      <c r="B12519" s="1"/>
    </row>
    <row r="12520">
      <c r="A12520" s="1" t="str">
        <f>IFERROR(__xludf.DUMMYFUNCTION("""COMPUTED_VALUE"""),"125686;INF109KB1EE5;-;ICICI Prudential Fixed Maturity Plan-Series 71-505 Days Plan H - Direct Plan - Dividend;13.3917;17-Jul-2017")</f>
        <v>125686;INF109KB1EE5;-;ICICI Prudential Fixed Maturity Plan-Series 71-505 Days Plan H - Direct Plan - Dividend;13.3917;17-Jul-2017</v>
      </c>
      <c r="B12520" s="1"/>
    </row>
    <row r="12521">
      <c r="A12521" s="1" t="str">
        <f>IFERROR(__xludf.DUMMYFUNCTION("""COMPUTED_VALUE"""),"125434;INF109KB1EF2;-;ICICI Prudential Fixed Maturity Plan-Series 71-525 Days Plan D - Cumulative;13.4529;17-Jul-2017")</f>
        <v>125434;INF109KB1EF2;-;ICICI Prudential Fixed Maturity Plan-Series 71-525 Days Plan D - Cumulative;13.4529;17-Jul-2017</v>
      </c>
      <c r="B12521" s="1"/>
    </row>
    <row r="12522">
      <c r="A12522" s="1" t="str">
        <f>IFERROR(__xludf.DUMMYFUNCTION("""COMPUTED_VALUE"""),"125432;INF109KB1EH8;-;ICICI Prudential Fixed Maturity Plan-Series 71-525 Days Plan D - Direct Plan - Cumulative;13.5156;17-Jul-2017")</f>
        <v>125432;INF109KB1EH8;-;ICICI Prudential Fixed Maturity Plan-Series 71-525 Days Plan D - Direct Plan - Cumulative;13.5156;17-Jul-2017</v>
      </c>
      <c r="B12522" s="1"/>
    </row>
    <row r="12523">
      <c r="A12523" s="1" t="str">
        <f>IFERROR(__xludf.DUMMYFUNCTION("""COMPUTED_VALUE"""),"125435;INF109KB1EG0;-;ICICI Prudential Fixed Maturity Plan-Series 71-525 Days Plan D - Dividend;13.3936;17-Jul-2017")</f>
        <v>125435;INF109KB1EG0;-;ICICI Prudential Fixed Maturity Plan-Series 71-525 Days Plan D - Dividend;13.3936;17-Jul-2017</v>
      </c>
      <c r="B12523" s="1"/>
    </row>
    <row r="12524">
      <c r="A12524" s="1" t="str">
        <f>IFERROR(__xludf.DUMMYFUNCTION("""COMPUTED_VALUE"""),"127230;INF109KA1NN8;-;ICICI Prudential Fixed Maturity Plan-Series 72-1075 Days Plan Q - Cumulative;13.2071;04-May-2017")</f>
        <v>127230;INF109KA1NN8;-;ICICI Prudential Fixed Maturity Plan-Series 72-1075 Days Plan Q - Cumulative;13.2071;04-May-2017</v>
      </c>
      <c r="B12524" s="1"/>
    </row>
    <row r="12525">
      <c r="A12525" s="1" t="str">
        <f>IFERROR(__xludf.DUMMYFUNCTION("""COMPUTED_VALUE"""),"127227;INF109KA1NP3;-;ICICI Prudential Fixed Maturity Plan-Series 72-1075 Days Plan Q - Direct Plan - Cumulative;13.4207;04-May-2017")</f>
        <v>127227;INF109KA1NP3;-;ICICI Prudential Fixed Maturity Plan-Series 72-1075 Days Plan Q - Direct Plan - Cumulative;13.4207;04-May-2017</v>
      </c>
      <c r="B12525" s="1"/>
    </row>
    <row r="12526">
      <c r="A12526" s="1" t="str">
        <f>IFERROR(__xludf.DUMMYFUNCTION("""COMPUTED_VALUE"""),"127229;INF109KA1NQ1;-;ICICI Prudential Fixed Maturity Plan-Series 72-1075 Days Plan Q - Direct Plan - Dividend;12.5309;04-May-2017")</f>
        <v>127229;INF109KA1NQ1;-;ICICI Prudential Fixed Maturity Plan-Series 72-1075 Days Plan Q - Direct Plan - Dividend;12.5309;04-May-2017</v>
      </c>
      <c r="B12526" s="1"/>
    </row>
    <row r="12527">
      <c r="A12527" s="1" t="str">
        <f>IFERROR(__xludf.DUMMYFUNCTION("""COMPUTED_VALUE"""),"127228;INF109KA1NO6;-;ICICI Prudential Fixed Maturity Plan-Series 72-1075 Days Plan Q - Dividend;12.3689;04-May-2017")</f>
        <v>127228;INF109KA1NO6;-;ICICI Prudential Fixed Maturity Plan-Series 72-1075 Days Plan Q - Dividend;12.3689;04-May-2017</v>
      </c>
      <c r="B12527" s="1"/>
    </row>
    <row r="12528">
      <c r="A12528" s="1" t="str">
        <f>IFERROR(__xludf.DUMMYFUNCTION("""COMPUTED_VALUE"""),"126476;INF109KA1LB7;-;ICICI Prudential Fixed Maturity Plan-Series 72-1092 Days Plan F - Cumulative;13.2063;02-May-2017")</f>
        <v>126476;INF109KA1LB7;-;ICICI Prudential Fixed Maturity Plan-Series 72-1092 Days Plan F - Cumulative;13.2063;02-May-2017</v>
      </c>
      <c r="B12528" s="1"/>
    </row>
    <row r="12529">
      <c r="A12529" s="1" t="str">
        <f>IFERROR(__xludf.DUMMYFUNCTION("""COMPUTED_VALUE"""),"126475;INF109KA1LD3;-;ICICI Prudential Fixed Maturity Plan-Series 72-1092 Days Plan F - Direct Plan - Cumulative;13.4110;02-May-2017")</f>
        <v>126475;INF109KA1LD3;-;ICICI Prudential Fixed Maturity Plan-Series 72-1092 Days Plan F - Direct Plan - Cumulative;13.4110;02-May-2017</v>
      </c>
      <c r="B12529" s="1"/>
    </row>
    <row r="12530">
      <c r="A12530" s="1" t="str">
        <f>IFERROR(__xludf.DUMMYFUNCTION("""COMPUTED_VALUE"""),"126473;INF109KA1LE1;-;ICICI Prudential Fixed Maturity Plan-Series 72-1092 Days Plan F - Direct Plan - Dividend;12.5277;02-May-2017")</f>
        <v>126473;INF109KA1LE1;-;ICICI Prudential Fixed Maturity Plan-Series 72-1092 Days Plan F - Direct Plan - Dividend;12.5277;02-May-2017</v>
      </c>
      <c r="B12530" s="1"/>
    </row>
    <row r="12531">
      <c r="A12531" s="1" t="str">
        <f>IFERROR(__xludf.DUMMYFUNCTION("""COMPUTED_VALUE"""),"126474;INF109KA1LC5;-;ICICI Prudential Fixed Maturity Plan-Series 72-1092 Days Plan F - Dividend;12.3810;02-May-2017")</f>
        <v>126474;INF109KA1LC5;-;ICICI Prudential Fixed Maturity Plan-Series 72-1092 Days Plan F - Dividend;12.3810;02-May-2017</v>
      </c>
      <c r="B12531" s="1"/>
    </row>
    <row r="12532">
      <c r="A12532" s="1" t="str">
        <f>IFERROR(__xludf.DUMMYFUNCTION("""COMPUTED_VALUE"""),"126325;INF109KA12R0;-;ICICI Prudential Fixed Maturity Plan-Series 72-366 Days Plan C - Cumulative;12.9933;02-May-2017")</f>
        <v>126325;INF109KA12R0;-;ICICI Prudential Fixed Maturity Plan-Series 72-366 Days Plan C - Cumulative;12.9933;02-May-2017</v>
      </c>
      <c r="B12532" s="1"/>
    </row>
    <row r="12533">
      <c r="A12533" s="1" t="str">
        <f>IFERROR(__xludf.DUMMYFUNCTION("""COMPUTED_VALUE"""),"126324;INF109KA14R6;-;ICICI Prudential Fixed Maturity Plan-Series 72-366 Days Plan C - Direct Plan - Cumulative;13.0343;02-May-2017")</f>
        <v>126324;INF109KA14R6;-;ICICI Prudential Fixed Maturity Plan-Series 72-366 Days Plan C - Direct Plan - Cumulative;13.0343;02-May-2017</v>
      </c>
      <c r="B12533" s="1"/>
    </row>
    <row r="12534">
      <c r="A12534" s="1" t="str">
        <f>IFERROR(__xludf.DUMMYFUNCTION("""COMPUTED_VALUE"""),"126327;INF109KA13R8;-;ICICI Prudential Fixed Maturity Plan-Series 72-366 Days Plan C - Dividend;12.7302;31-Jan-2017")</f>
        <v>126327;INF109KA13R8;-;ICICI Prudential Fixed Maturity Plan-Series 72-366 Days Plan C - Dividend;12.7302;31-Jan-2017</v>
      </c>
      <c r="B12534" s="1"/>
    </row>
    <row r="12535">
      <c r="A12535" s="1" t="str">
        <f>IFERROR(__xludf.DUMMYFUNCTION("""COMPUTED_VALUE"""),"126929;INF109KA12W0;-;ICICI Prudential Fixed Maturity Plan-Series 72-366 Days Plan M - Cumulative;13.0841;15-Jun-2017")</f>
        <v>126929;INF109KA12W0;-;ICICI Prudential Fixed Maturity Plan-Series 72-366 Days Plan M - Cumulative;13.0841;15-Jun-2017</v>
      </c>
      <c r="B12535" s="1"/>
    </row>
    <row r="12536">
      <c r="A12536" s="1" t="str">
        <f>IFERROR(__xludf.DUMMYFUNCTION("""COMPUTED_VALUE"""),"126927;INF109KA14W6;-;ICICI Prudential Fixed Maturity Plan-Series 72-366 Days Plan M - Direct Plan - Cumulative;13.1155;15-Jun-2017")</f>
        <v>126927;INF109KA14W6;-;ICICI Prudential Fixed Maturity Plan-Series 72-366 Days Plan M - Direct Plan - Cumulative;13.1155;15-Jun-2017</v>
      </c>
      <c r="B12536" s="1"/>
    </row>
    <row r="12537">
      <c r="A12537" s="1" t="str">
        <f>IFERROR(__xludf.DUMMYFUNCTION("""COMPUTED_VALUE"""),"126928;INF109KA15W3;-;ICICI Prudential Fixed Maturity Plan-Series 72-366 Days Plan M - Direct Plan - Dividend;13.0045;15-Jun-2017")</f>
        <v>126928;INF109KA15W3;-;ICICI Prudential Fixed Maturity Plan-Series 72-366 Days Plan M - Direct Plan - Dividend;13.0045;15-Jun-2017</v>
      </c>
      <c r="B12537" s="1"/>
    </row>
    <row r="12538">
      <c r="A12538" s="1" t="str">
        <f>IFERROR(__xludf.DUMMYFUNCTION("""COMPUTED_VALUE"""),"127352;INF109KA18X5;-;ICICI Prudential Fixed Maturity Plan-Series 72-366 Days Plan T - Cumulative;12.8651;14-Mar-2017")</f>
        <v>127352;INF109KA18X5;-;ICICI Prudential Fixed Maturity Plan-Series 72-366 Days Plan T - Cumulative;12.8651;14-Mar-2017</v>
      </c>
      <c r="B12538" s="1"/>
    </row>
    <row r="12539">
      <c r="A12539" s="1" t="str">
        <f>IFERROR(__xludf.DUMMYFUNCTION("""COMPUTED_VALUE"""),"127351;INF109KA10Y0;-;ICICI Prudential Fixed Maturity Plan-Series 72-366 Days Plan T - Direct Plan - Cumulative;12.8926;14-Mar-2017")</f>
        <v>127351;INF109KA10Y0;-;ICICI Prudential Fixed Maturity Plan-Series 72-366 Days Plan T - Direct Plan - Cumulative;12.8926;14-Mar-2017</v>
      </c>
      <c r="B12539" s="1"/>
    </row>
    <row r="12540">
      <c r="A12540" s="1" t="str">
        <f>IFERROR(__xludf.DUMMYFUNCTION("""COMPUTED_VALUE"""),"127354;INF109KA11Y8;-;ICICI Prudential Fixed Maturity Plan-Series 72-366 Days Plan T - Direct Plan - Dividend;12.8319;14-Mar-2017")</f>
        <v>127354;INF109KA11Y8;-;ICICI Prudential Fixed Maturity Plan-Series 72-366 Days Plan T - Direct Plan - Dividend;12.8319;14-Mar-2017</v>
      </c>
      <c r="B12540" s="1"/>
    </row>
    <row r="12541">
      <c r="A12541" s="1" t="str">
        <f>IFERROR(__xludf.DUMMYFUNCTION("""COMPUTED_VALUE"""),"127233;INF109KA16W1;-;ICICI Prudential Fixed Maturity Plan-Series 72-367 Days Plan R - Cumulative;13.0787;15-Jun-2017")</f>
        <v>127233;INF109KA16W1;-;ICICI Prudential Fixed Maturity Plan-Series 72-367 Days Plan R - Cumulative;13.0787;15-Jun-2017</v>
      </c>
      <c r="B12541" s="1"/>
    </row>
    <row r="12542">
      <c r="A12542" s="1" t="str">
        <f>IFERROR(__xludf.DUMMYFUNCTION("""COMPUTED_VALUE"""),"127231;INF109KA18W7;-;ICICI Prudential Fixed Maturity Plan-Series 72-367 Days Plan R - Direct Plan - Cumulative;13.0997;15-Jun-2017")</f>
        <v>127231;INF109KA18W7;-;ICICI Prudential Fixed Maturity Plan-Series 72-367 Days Plan R - Direct Plan - Cumulative;13.0997;15-Jun-2017</v>
      </c>
      <c r="B12542" s="1"/>
    </row>
    <row r="12543">
      <c r="A12543" s="1" t="str">
        <f>IFERROR(__xludf.DUMMYFUNCTION("""COMPUTED_VALUE"""),"126127;INF109KA10Q6;-;ICICI Prudential Fixed Maturity Plan-Series 72-368 Days Plan A - Cumulative;13.0650;02-May-2017")</f>
        <v>126127;INF109KA10Q6;-;ICICI Prudential Fixed Maturity Plan-Series 72-368 Days Plan A - Cumulative;13.0650;02-May-2017</v>
      </c>
      <c r="B12543" s="1"/>
    </row>
    <row r="12544">
      <c r="A12544" s="1" t="str">
        <f>IFERROR(__xludf.DUMMYFUNCTION("""COMPUTED_VALUE"""),"126125;INF109KA12Q2;-;ICICI Prudential Fixed Maturity Plan-Series 72-368 Days Plan A - Direct Plan - Cumulative;13.1092;02-May-2017")</f>
        <v>126125;INF109KA12Q2;-;ICICI Prudential Fixed Maturity Plan-Series 72-368 Days Plan A - Direct Plan - Cumulative;13.1092;02-May-2017</v>
      </c>
      <c r="B12544" s="1"/>
    </row>
    <row r="12545">
      <c r="A12545" s="1" t="str">
        <f>IFERROR(__xludf.DUMMYFUNCTION("""COMPUTED_VALUE"""),"126126;INF109KA13Q0;-;ICICI Prudential Fixed Maturity Plan-Series 72-368 Days Plan A - Direct Plan - Dividend;12.0128;19-Jan-2017")</f>
        <v>126126;INF109KA13Q0;-;ICICI Prudential Fixed Maturity Plan-Series 72-368 Days Plan A - Direct Plan - Dividend;12.0128;19-Jan-2017</v>
      </c>
      <c r="B12545" s="1"/>
    </row>
    <row r="12546">
      <c r="A12546" s="1" t="str">
        <f>IFERROR(__xludf.DUMMYFUNCTION("""COMPUTED_VALUE"""),"126128;INF109KA11Q4;-;ICICI Prudential Fixed Maturity Plan-Series 72-368 Days Plan A - Dividend;12.1637;02-May-2017")</f>
        <v>126128;INF109KA11Q4;-;ICICI Prudential Fixed Maturity Plan-Series 72-368 Days Plan A - Dividend;12.1637;02-May-2017</v>
      </c>
      <c r="B12546" s="1"/>
    </row>
    <row r="12547">
      <c r="A12547" s="1" t="str">
        <f>IFERROR(__xludf.DUMMYFUNCTION("""COMPUTED_VALUE"""),"126334;INF109KA11S0;-;ICICI Prudential Fixed Maturity Plan-Series 72-368 Days Plan D - Cumulative;12.9935;02-May-2017")</f>
        <v>126334;INF109KA11S0;-;ICICI Prudential Fixed Maturity Plan-Series 72-368 Days Plan D - Cumulative;12.9935;02-May-2017</v>
      </c>
      <c r="B12547" s="1"/>
    </row>
    <row r="12548">
      <c r="A12548" s="1" t="str">
        <f>IFERROR(__xludf.DUMMYFUNCTION("""COMPUTED_VALUE"""),"126332;INF109KA13S6;-;ICICI Prudential Fixed Maturity Plan-Series 72-368 Days Plan D - Direct Plan - Cumulative;13.0397;02-May-2017")</f>
        <v>126332;INF109KA13S6;-;ICICI Prudential Fixed Maturity Plan-Series 72-368 Days Plan D - Direct Plan - Cumulative;13.0397;02-May-2017</v>
      </c>
      <c r="B12548" s="1"/>
    </row>
    <row r="12549">
      <c r="A12549" s="1" t="str">
        <f>IFERROR(__xludf.DUMMYFUNCTION("""COMPUTED_VALUE"""),"126335;INF109KA12S8;-;ICICI Prudential Fixed Maturity Plan-Series 72-368 Days Plan D - Dividend;11.5640;02-May-2017")</f>
        <v>126335;INF109KA12S8;-;ICICI Prudential Fixed Maturity Plan-Series 72-368 Days Plan D - Dividend;11.5640;02-May-2017</v>
      </c>
      <c r="B12549" s="1"/>
    </row>
    <row r="12550">
      <c r="A12550" s="1" t="str">
        <f>IFERROR(__xludf.DUMMYFUNCTION("""COMPUTED_VALUE"""),"127052;INF109KA12Y6;-;ICICI Prudential Fixed Maturity Plan-Series 72-368 Days Plan P - Cumulative;12.8531;14-Mar-2017")</f>
        <v>127052;INF109KA12Y6;-;ICICI Prudential Fixed Maturity Plan-Series 72-368 Days Plan P - Cumulative;12.8531;14-Mar-2017</v>
      </c>
      <c r="B12550" s="1"/>
    </row>
    <row r="12551">
      <c r="A12551" s="1" t="str">
        <f>IFERROR(__xludf.DUMMYFUNCTION("""COMPUTED_VALUE"""),"127050;INF109KA14Y2;-;ICICI Prudential Fixed Maturity Plan-Series 72-368 Days Plan P - Direct Plan - Cumulative;12.9260;14-Mar-2017")</f>
        <v>127050;INF109KA14Y2;-;ICICI Prudential Fixed Maturity Plan-Series 72-368 Days Plan P - Direct Plan - Cumulative;12.9260;14-Mar-2017</v>
      </c>
      <c r="B12551" s="1"/>
    </row>
    <row r="12552">
      <c r="A12552" s="1" t="str">
        <f>IFERROR(__xludf.DUMMYFUNCTION("""COMPUTED_VALUE"""),"127051;INF109KA15Y9;-;ICICI Prudential Fixed Maturity Plan-Series 72-368 Days Plan P - Direct Plan - Dividend;12.1495;14-Mar-2017")</f>
        <v>127051;INF109KA15Y9;-;ICICI Prudential Fixed Maturity Plan-Series 72-368 Days Plan P - Direct Plan - Dividend;12.1495;14-Mar-2017</v>
      </c>
      <c r="B12552" s="1"/>
    </row>
    <row r="12553">
      <c r="A12553" s="1" t="str">
        <f>IFERROR(__xludf.DUMMYFUNCTION("""COMPUTED_VALUE"""),"127049;INF109KA13Y4;-;ICICI Prudential Fixed Maturity Plan-Series 72-368 Days Plan P - Dividend;12.1142;14-Mar-2017")</f>
        <v>127049;INF109KA13Y4;-;ICICI Prudential Fixed Maturity Plan-Series 72-368 Days Plan P - Dividend;12.1142;14-Mar-2017</v>
      </c>
      <c r="B12553" s="1"/>
    </row>
    <row r="12554">
      <c r="A12554" s="1" t="str">
        <f>IFERROR(__xludf.DUMMYFUNCTION("""COMPUTED_VALUE"""),"126562;INF109KA16U5;-;ICICI Prudential Fixed Maturity Plan-Series 72-370 Days Plan G - Cumulative;13.0973;15-Jun-2017")</f>
        <v>126562;INF109KA16U5;-;ICICI Prudential Fixed Maturity Plan-Series 72-370 Days Plan G - Cumulative;13.0973;15-Jun-2017</v>
      </c>
      <c r="B12554" s="1"/>
    </row>
    <row r="12555">
      <c r="A12555" s="1" t="str">
        <f>IFERROR(__xludf.DUMMYFUNCTION("""COMPUTED_VALUE"""),"126560;INF109KA18U1;-;ICICI Prudential Fixed Maturity Plan-Series 72-370 Days Plan G - Direct Plan - Cumulative;13.1247;15-Jun-2017")</f>
        <v>126560;INF109KA18U1;-;ICICI Prudential Fixed Maturity Plan-Series 72-370 Days Plan G - Direct Plan - Cumulative;13.1247;15-Jun-2017</v>
      </c>
      <c r="B12555" s="1"/>
    </row>
    <row r="12556">
      <c r="A12556" s="1" t="str">
        <f>IFERROR(__xludf.DUMMYFUNCTION("""COMPUTED_VALUE"""),"126561;INF109KA19U9;-;ICICI Prudential Fixed Maturity Plan-Series 72-370 Days Plan G - Direct Plan - Dividend;12.7863;15-Feb-2017")</f>
        <v>126561;INF109KA19U9;-;ICICI Prudential Fixed Maturity Plan-Series 72-370 Days Plan G - Direct Plan - Dividend;12.7863;15-Feb-2017</v>
      </c>
      <c r="B12556" s="1"/>
    </row>
    <row r="12557">
      <c r="A12557" s="1" t="str">
        <f>IFERROR(__xludf.DUMMYFUNCTION("""COMPUTED_VALUE"""),"126563;INF109KA17U3;-;ICICI Prudential Fixed Maturity Plan-Series 72-370 Days Plan G - Dividend;12.7605;15-Feb-2017")</f>
        <v>126563;INF109KA17U3;-;ICICI Prudential Fixed Maturity Plan-Series 72-370 Days Plan G - Dividend;12.7605;15-Feb-2017</v>
      </c>
      <c r="B12557" s="1"/>
    </row>
    <row r="12558">
      <c r="A12558" s="1" t="str">
        <f>IFERROR(__xludf.DUMMYFUNCTION("""COMPUTED_VALUE"""),"127261;INF109KB1AX3;-;ICICI Prudential Fixed Maturity Plan-Series 72-409 Days Plan S - Cumulative;14.0554;24-May-2018")</f>
        <v>127261;INF109KB1AX3;-;ICICI Prudential Fixed Maturity Plan-Series 72-409 Days Plan S - Cumulative;14.0554;24-May-2018</v>
      </c>
      <c r="B12558" s="1"/>
    </row>
    <row r="12559">
      <c r="A12559" s="1" t="str">
        <f>IFERROR(__xludf.DUMMYFUNCTION("""COMPUTED_VALUE"""),"127259;INF109KB1AZ8;-;ICICI Prudential Fixed Maturity Plan-Series 72-409 Days Plan S - Direct Plan - Cumulative;14.1912;24-May-2018")</f>
        <v>127259;INF109KB1AZ8;-;ICICI Prudential Fixed Maturity Plan-Series 72-409 Days Plan S - Direct Plan - Cumulative;14.1912;24-May-2018</v>
      </c>
      <c r="B12559" s="1"/>
    </row>
    <row r="12560">
      <c r="A12560" s="1" t="str">
        <f>IFERROR(__xludf.DUMMYFUNCTION("""COMPUTED_VALUE"""),"127260;INF109KB1BA9;-;ICICI Prudential Fixed Maturity Plan-Series 72-409 Days Plan S - Direct Plan - Dividend;14.1272;24-May-2018")</f>
        <v>127260;INF109KB1BA9;-;ICICI Prudential Fixed Maturity Plan-Series 72-409 Days Plan S - Direct Plan - Dividend;14.1272;24-May-2018</v>
      </c>
      <c r="B12560" s="1"/>
    </row>
    <row r="12561">
      <c r="A12561" s="1" t="str">
        <f>IFERROR(__xludf.DUMMYFUNCTION("""COMPUTED_VALUE"""),"127262;INF109KB1AY1;-;ICICI Prudential Fixed Maturity Plan-Series 72-409 Days Plan S - Dividend;13.9899;24-May-2018")</f>
        <v>127262;INF109KB1AY1;-;ICICI Prudential Fixed Maturity Plan-Series 72-409 Days Plan S - Dividend;13.9899;24-May-2018</v>
      </c>
      <c r="B12561" s="1"/>
    </row>
    <row r="12562">
      <c r="A12562" s="1" t="str">
        <f>IFERROR(__xludf.DUMMYFUNCTION("""COMPUTED_VALUE"""),"127032;INF109KB1BR3;-;ICICI Prudential Fixed Maturity Plan-Series 72-425 Days Plan N - Cumulative;14.0594;10-Jul-2018")</f>
        <v>127032;INF109KB1BR3;-;ICICI Prudential Fixed Maturity Plan-Series 72-425 Days Plan N - Cumulative;14.0594;10-Jul-2018</v>
      </c>
      <c r="B12562" s="1"/>
    </row>
    <row r="12563">
      <c r="A12563" s="1" t="str">
        <f>IFERROR(__xludf.DUMMYFUNCTION("""COMPUTED_VALUE"""),"127031;INF109KB1BT9;-;ICICI Prudential Fixed Maturity Plan-Series 72-425 Days Plan N - Direct Plan - Cumulative;14.1861;10-Jul-2018")</f>
        <v>127031;INF109KB1BT9;-;ICICI Prudential Fixed Maturity Plan-Series 72-425 Days Plan N - Direct Plan - Cumulative;14.1861;10-Jul-2018</v>
      </c>
      <c r="B12563" s="1"/>
    </row>
    <row r="12564">
      <c r="A12564" s="1" t="str">
        <f>IFERROR(__xludf.DUMMYFUNCTION("""COMPUTED_VALUE"""),"127033;INF109KB1BS1;-;ICICI Prudential Fixed Maturity Plan-Series 72-425 Days Plan N - Dividend;13.2137;10-Jul-2018")</f>
        <v>127033;INF109KB1BS1;-;ICICI Prudential Fixed Maturity Plan-Series 72-425 Days Plan N - Dividend;13.2137;10-Jul-2018</v>
      </c>
      <c r="B12564" s="1"/>
    </row>
    <row r="12565">
      <c r="A12565" s="1" t="str">
        <f>IFERROR(__xludf.DUMMYFUNCTION("""COMPUTED_VALUE"""),"126804;INF109KB1CH2;-;ICICI Prudential Fixed Maturity Plan-Series 72-440 Days Plan L - Cumulative;14.1111;10-Jul-2018")</f>
        <v>126804;INF109KB1CH2;-;ICICI Prudential Fixed Maturity Plan-Series 72-440 Days Plan L - Cumulative;14.1111;10-Jul-2018</v>
      </c>
      <c r="B12565" s="1"/>
    </row>
    <row r="12566">
      <c r="A12566" s="1" t="str">
        <f>IFERROR(__xludf.DUMMYFUNCTION("""COMPUTED_VALUE"""),"126802;INF109KB1CJ8;-;ICICI Prudential Fixed Maturity Plan-Series 72-440 Days Plan L - Direct Plan - Cumulative;14.2333;10-Jul-2018")</f>
        <v>126802;INF109KB1CJ8;-;ICICI Prudential Fixed Maturity Plan-Series 72-440 Days Plan L - Direct Plan - Cumulative;14.2333;10-Jul-2018</v>
      </c>
      <c r="B12566" s="1"/>
    </row>
    <row r="12567">
      <c r="A12567" s="1" t="str">
        <f>IFERROR(__xludf.DUMMYFUNCTION("""COMPUTED_VALUE"""),"126803;INF109KB1CK6;-;ICICI Prudential Fixed Maturity Plan-Series 72-440 Days Plan L - Direct Plan - Dividend;12.3009;22-May-2017")</f>
        <v>126803;INF109KB1CK6;-;ICICI Prudential Fixed Maturity Plan-Series 72-440 Days Plan L - Direct Plan - Dividend;12.3009;22-May-2017</v>
      </c>
      <c r="B12567" s="1"/>
    </row>
    <row r="12568">
      <c r="A12568" s="1" t="str">
        <f>IFERROR(__xludf.DUMMYFUNCTION("""COMPUTED_VALUE"""),"126801;INF109KB1CI0;-;ICICI Prudential Fixed Maturity Plan-Series 72-440 Days Plan L - Dividend;12.2513;22-May-2017")</f>
        <v>126801;INF109KB1CI0;-;ICICI Prudential Fixed Maturity Plan-Series 72-440 Days Plan L - Dividend;12.2513;22-May-2017</v>
      </c>
      <c r="B12568" s="1"/>
    </row>
    <row r="12569">
      <c r="A12569" s="1" t="str">
        <f>IFERROR(__xludf.DUMMYFUNCTION("""COMPUTED_VALUE"""),"126642;INF109KB1GC4;-;ICICI Prudential Fixed Maturity Plan-Series 72-483 Days Plan J - Cumulative;13.2655;27-Jul-2017")</f>
        <v>126642;INF109KB1GC4;-;ICICI Prudential Fixed Maturity Plan-Series 72-483 Days Plan J - Cumulative;13.2655;27-Jul-2017</v>
      </c>
      <c r="B12569" s="1"/>
    </row>
    <row r="12570">
      <c r="A12570" s="1" t="str">
        <f>IFERROR(__xludf.DUMMYFUNCTION("""COMPUTED_VALUE"""),"126641;INF109KB1GA8;-;ICICI Prudential Fixed Maturity Plan-Series 72-483 Days Plan J - Direct Plan - Cumulative;13.3782;27-Jul-2017")</f>
        <v>126641;INF109KB1GA8;-;ICICI Prudential Fixed Maturity Plan-Series 72-483 Days Plan J - Direct Plan - Cumulative;13.3782;27-Jul-2017</v>
      </c>
      <c r="B12570" s="1"/>
    </row>
    <row r="12571">
      <c r="A12571" s="1" t="str">
        <f>IFERROR(__xludf.DUMMYFUNCTION("""COMPUTED_VALUE"""),"126644;INF109KB1FZ7;-;ICICI Prudential Fixed Maturity Plan-Series 72-483 Days Plan J - Direct Plan - Dividend;11.2859;28-May-2015")</f>
        <v>126644;INF109KB1FZ7;-;ICICI Prudential Fixed Maturity Plan-Series 72-483 Days Plan J - Direct Plan - Dividend;11.2859;28-May-2015</v>
      </c>
      <c r="B12571" s="1"/>
    </row>
    <row r="12572">
      <c r="A12572" s="1" t="str">
        <f>IFERROR(__xludf.DUMMYFUNCTION("""COMPUTED_VALUE"""),"126643;INF109KB1GB6;-;ICICI Prudential Fixed Maturity Plan-Series 72-483 Days Plan J - Dividend;11.2264;28-May-2015")</f>
        <v>126643;INF109KB1GB6;-;ICICI Prudential Fixed Maturity Plan-Series 72-483 Days Plan J - Dividend;11.2264;28-May-2015</v>
      </c>
      <c r="B12572" s="1"/>
    </row>
    <row r="12573">
      <c r="A12573" s="1" t="str">
        <f>IFERROR(__xludf.DUMMYFUNCTION("""COMPUTED_VALUE"""),"126397;INF109KB1HF5;-;ICICI Prudential Fixed Maturity Plan-Series 72-500 Days Plan E - Cumulative;13.2789;27-Jul-2017")</f>
        <v>126397;INF109KB1HF5;-;ICICI Prudential Fixed Maturity Plan-Series 72-500 Days Plan E - Cumulative;13.2789;27-Jul-2017</v>
      </c>
      <c r="B12573" s="1"/>
    </row>
    <row r="12574">
      <c r="A12574" s="1" t="str">
        <f>IFERROR(__xludf.DUMMYFUNCTION("""COMPUTED_VALUE"""),"126396;INF109KB1HH1;-;ICICI Prudential Fixed Maturity Plan-Series 72-500 Days Plan E - Direct Plan - Cumulative;13.3639;27-Jul-2017")</f>
        <v>126396;INF109KB1HH1;-;ICICI Prudential Fixed Maturity Plan-Series 72-500 Days Plan E - Direct Plan - Cumulative;13.3639;27-Jul-2017</v>
      </c>
      <c r="B12574" s="1"/>
    </row>
    <row r="12575">
      <c r="A12575" s="1" t="str">
        <f>IFERROR(__xludf.DUMMYFUNCTION("""COMPUTED_VALUE"""),"126395;INF109KB1HG3;-;ICICI Prudential Fixed Maturity Plan-Series 72-500 Days Plan E - Dividend;11.2477;04-Jun-2015")</f>
        <v>126395;INF109KB1HG3;-;ICICI Prudential Fixed Maturity Plan-Series 72-500 Days Plan E - Dividend;11.2477;04-Jun-2015</v>
      </c>
      <c r="B12575" s="1"/>
    </row>
    <row r="12576">
      <c r="A12576" s="1" t="str">
        <f>IFERROR(__xludf.DUMMYFUNCTION("""COMPUTED_VALUE"""),"126169;INF109KB1HJ7;-;ICICI Prudential Fixed Maturity Plan-Series 72-525 Days Plan B - Cumulative;13.1572;27-Jul-2017")</f>
        <v>126169;INF109KB1HJ7;-;ICICI Prudential Fixed Maturity Plan-Series 72-525 Days Plan B - Cumulative;13.1572;27-Jul-2017</v>
      </c>
      <c r="B12576" s="1"/>
    </row>
    <row r="12577">
      <c r="A12577" s="1" t="str">
        <f>IFERROR(__xludf.DUMMYFUNCTION("""COMPUTED_VALUE"""),"126167;INF109KB1HL3;-;ICICI Prudential Fixed Maturity Plan-Series 72-525 Days Plan B - Direct Plan - Cumulative;13.2765;27-Jul-2017")</f>
        <v>126167;INF109KB1HL3;-;ICICI Prudential Fixed Maturity Plan-Series 72-525 Days Plan B - Direct Plan - Cumulative;13.2765;27-Jul-2017</v>
      </c>
      <c r="B12577" s="1"/>
    </row>
    <row r="12578">
      <c r="A12578" s="1" t="str">
        <f>IFERROR(__xludf.DUMMYFUNCTION("""COMPUTED_VALUE"""),"126170;INF109KB1HK5;-;ICICI Prudential Fixed Maturity Plan-Series 72-525 Days Plan B - Dividend;13.0990;27-Jul-2017")</f>
        <v>126170;INF109KB1HK5;-;ICICI Prudential Fixed Maturity Plan-Series 72-525 Days Plan B - Dividend;13.0990;27-Jul-2017</v>
      </c>
      <c r="B12578" s="1"/>
    </row>
    <row r="12579">
      <c r="A12579" s="1" t="str">
        <f>IFERROR(__xludf.DUMMYFUNCTION("""COMPUTED_VALUE"""),"126829;INF109KA1MH2;-;ICICI Prudential Fixed Maturity Plan-Series 72-785 Days Plan O - Cumulative;13.0658;16-May-2017")</f>
        <v>126829;INF109KA1MH2;-;ICICI Prudential Fixed Maturity Plan-Series 72-785 Days Plan O - Cumulative;13.0658;16-May-2017</v>
      </c>
      <c r="B12579" s="1"/>
    </row>
    <row r="12580">
      <c r="A12580" s="1" t="str">
        <f>IFERROR(__xludf.DUMMYFUNCTION("""COMPUTED_VALUE"""),"126831;INF109KA1MJ8;-;ICICI Prudential Fixed Maturity Plan-Series 72-785 Days Plan O - Direct Plan - Cumulative;13.2217;16-May-2017")</f>
        <v>126831;INF109KA1MJ8;-;ICICI Prudential Fixed Maturity Plan-Series 72-785 Days Plan O - Direct Plan - Cumulative;13.2217;16-May-2017</v>
      </c>
      <c r="B12580" s="1"/>
    </row>
    <row r="12581">
      <c r="A12581" s="1" t="str">
        <f>IFERROR(__xludf.DUMMYFUNCTION("""COMPUTED_VALUE"""),"126832;INF109KA1MK6;-;ICICI Prudential Fixed Maturity Plan-Series 72-785 Days Plan O - Direct Plan - Dividend;12.3881;16-May-2017")</f>
        <v>126832;INF109KA1MK6;-;ICICI Prudential Fixed Maturity Plan-Series 72-785 Days Plan O - Direct Plan - Dividend;12.3881;16-May-2017</v>
      </c>
      <c r="B12581" s="1"/>
    </row>
    <row r="12582">
      <c r="A12582" s="1" t="str">
        <f>IFERROR(__xludf.DUMMYFUNCTION("""COMPUTED_VALUE"""),"126830;INF109KA1MI0;-;ICICI Prudential Fixed Maturity Plan-Series 72-785 Days Plan O - Dividend;12.2813;16-May-2017")</f>
        <v>126830;INF109KA1MI0;-;ICICI Prudential Fixed Maturity Plan-Series 72-785 Days Plan O - Dividend;12.2813;16-May-2017</v>
      </c>
      <c r="B12582" s="1"/>
    </row>
    <row r="12583">
      <c r="A12583" s="1" t="str">
        <f>IFERROR(__xludf.DUMMYFUNCTION("""COMPUTED_VALUE"""),"126499;INF109KA1KX3;-;ICICI Prudential Fixed Maturity Plan-Series 72-823 Days Plan H - Cumulative;13.8351;03-Oct-2017")</f>
        <v>126499;INF109KA1KX3;-;ICICI Prudential Fixed Maturity Plan-Series 72-823 Days Plan H - Cumulative;13.8351;03-Oct-2017</v>
      </c>
      <c r="B12583" s="1"/>
    </row>
    <row r="12584">
      <c r="A12584" s="1" t="str">
        <f>IFERROR(__xludf.DUMMYFUNCTION("""COMPUTED_VALUE"""),"126502;INF109KA1KZ8;-;ICICI Prudential Fixed Maturity Plan-Series 72-823 Days Plan H - Direct Plan - Cumulative;13.9837;03-Oct-2017")</f>
        <v>126502;INF109KA1KZ8;-;ICICI Prudential Fixed Maturity Plan-Series 72-823 Days Plan H - Direct Plan - Cumulative;13.9837;03-Oct-2017</v>
      </c>
      <c r="B12584" s="1"/>
    </row>
    <row r="12585">
      <c r="A12585" s="1" t="str">
        <f>IFERROR(__xludf.DUMMYFUNCTION("""COMPUTED_VALUE"""),"126500;INF109KA1LA9;-;ICICI Prudential Fixed Maturity Plan-Series 72-823 Days Plan H - Direct Plan - Dividend;12.9160;03-Oct-2017")</f>
        <v>126500;INF109KA1LA9;-;ICICI Prudential Fixed Maturity Plan-Series 72-823 Days Plan H - Direct Plan - Dividend;12.9160;03-Oct-2017</v>
      </c>
      <c r="B12585" s="1"/>
    </row>
    <row r="12586">
      <c r="A12586" s="1" t="str">
        <f>IFERROR(__xludf.DUMMYFUNCTION("""COMPUTED_VALUE"""),"126501;INF109KA1KY1;-;ICICI Prudential Fixed Maturity Plan-Series 72-823 Days Plan H - Dividend;12.8248;03-Oct-2017")</f>
        <v>126501;INF109KA1KY1;-;ICICI Prudential Fixed Maturity Plan-Series 72-823 Days Plan H - Dividend;12.8248;03-Oct-2017</v>
      </c>
      <c r="B12586" s="1"/>
    </row>
    <row r="12587">
      <c r="A12587" s="1" t="str">
        <f>IFERROR(__xludf.DUMMYFUNCTION("""COMPUTED_VALUE"""),"128359;INF109KA1QJ9;-;ICICI Prudential Fixed Maturity Plan-Series 73-1120 Days Plan L - Cumulative;12.9936;19-Apr-2017")</f>
        <v>128359;INF109KA1QJ9;-;ICICI Prudential Fixed Maturity Plan-Series 73-1120 Days Plan L - Cumulative;12.9936;19-Apr-2017</v>
      </c>
      <c r="B12587" s="1"/>
    </row>
    <row r="12588">
      <c r="A12588" s="1" t="str">
        <f>IFERROR(__xludf.DUMMYFUNCTION("""COMPUTED_VALUE"""),"128361;INF109KA1QL5;-;ICICI Prudential Fixed Maturity Plan-Series 73-1120 Days Plan L - Direct Plan - Cumulative;13.1726;19-Apr-2017")</f>
        <v>128361;INF109KA1QL5;-;ICICI Prudential Fixed Maturity Plan-Series 73-1120 Days Plan L - Direct Plan - Cumulative;13.1726;19-Apr-2017</v>
      </c>
      <c r="B12588" s="1"/>
    </row>
    <row r="12589">
      <c r="A12589" s="1" t="str">
        <f>IFERROR(__xludf.DUMMYFUNCTION("""COMPUTED_VALUE"""),"128358;INF109KA1QM3;-;ICICI Prudential Fixed Maturity Plan-Series 73-1120 Days Plan L - Direct Plan - Dividend;12.8898;19-Apr-2017")</f>
        <v>128358;INF109KA1QM3;-;ICICI Prudential Fixed Maturity Plan-Series 73-1120 Days Plan L - Direct Plan - Dividend;12.8898;19-Apr-2017</v>
      </c>
      <c r="B12589" s="1"/>
    </row>
    <row r="12590">
      <c r="A12590" s="1" t="str">
        <f>IFERROR(__xludf.DUMMYFUNCTION("""COMPUTED_VALUE"""),"128360;INF109KA1QK7;-;ICICI Prudential Fixed Maturity Plan-Series 73-1120 Days Plan L - Dividend;12.7126;19-Apr-2017")</f>
        <v>128360;INF109KA1QK7;-;ICICI Prudential Fixed Maturity Plan-Series 73-1120 Days Plan L - Dividend;12.7126;19-Apr-2017</v>
      </c>
      <c r="B12590" s="1"/>
    </row>
    <row r="12591">
      <c r="A12591" s="1" t="str">
        <f>IFERROR(__xludf.DUMMYFUNCTION("""COMPUTED_VALUE"""),"127617;INF109KA18Z0;-;ICICI Prudential Fixed Maturity Plan-Series 73-366 Days Plan A - Cumulative;12.9096;10-Apr-2017")</f>
        <v>127617;INF109KA18Z0;-;ICICI Prudential Fixed Maturity Plan-Series 73-366 Days Plan A - Cumulative;12.9096;10-Apr-2017</v>
      </c>
      <c r="B12591" s="1"/>
    </row>
    <row r="12592">
      <c r="A12592" s="1" t="str">
        <f>IFERROR(__xludf.DUMMYFUNCTION("""COMPUTED_VALUE"""),"127618;INF109KB1011;-;ICICI Prudential Fixed Maturity Plan-Series 73-366 Days Plan A - Direct Plan - Cumulative;12.9416;10-Apr-2017")</f>
        <v>127618;INF109KB1011;-;ICICI Prudential Fixed Maturity Plan-Series 73-366 Days Plan A - Direct Plan - Cumulative;12.9416;10-Apr-2017</v>
      </c>
      <c r="B12592" s="1"/>
    </row>
    <row r="12593">
      <c r="A12593" s="1" t="str">
        <f>IFERROR(__xludf.DUMMYFUNCTION("""COMPUTED_VALUE"""),"127619;INF109KA19Z8;-;ICICI Prudential Fixed Maturity Plan-Series 73-366 Days Plan A - Dividend;12.1673;10-Apr-2017")</f>
        <v>127619;INF109KA19Z8;-;ICICI Prudential Fixed Maturity Plan-Series 73-366 Days Plan A - Dividend;12.1673;10-Apr-2017</v>
      </c>
      <c r="B12593" s="1"/>
    </row>
    <row r="12594">
      <c r="A12594" s="1" t="str">
        <f>IFERROR(__xludf.DUMMYFUNCTION("""COMPUTED_VALUE"""),"127714;INF109KA14Z9;-;ICICI Prudential Fixed Maturity Plan-Series 73-366 Days Plan B - Cumulative;12.8966;10-Apr-2017")</f>
        <v>127714;INF109KA14Z9;-;ICICI Prudential Fixed Maturity Plan-Series 73-366 Days Plan B - Cumulative;12.8966;10-Apr-2017</v>
      </c>
      <c r="B12594" s="1"/>
    </row>
    <row r="12595">
      <c r="A12595" s="1" t="str">
        <f>IFERROR(__xludf.DUMMYFUNCTION("""COMPUTED_VALUE"""),"127712;INF109KA16Z4;-;ICICI Prudential Fixed Maturity Plan-Series 73-366 Days Plan B - Direct Plan - Cumulative;12.9309;10-Apr-2017")</f>
        <v>127712;INF109KA16Z4;-;ICICI Prudential Fixed Maturity Plan-Series 73-366 Days Plan B - Direct Plan - Cumulative;12.9309;10-Apr-2017</v>
      </c>
      <c r="B12595" s="1"/>
    </row>
    <row r="12596">
      <c r="A12596" s="1" t="str">
        <f>IFERROR(__xludf.DUMMYFUNCTION("""COMPUTED_VALUE"""),"127717;INF109KB1078;-;ICICI Prudential Fixed Maturity Plan-Series 73-368 Days Plan D - Cumulative;13.9201;25-Jun-2018")</f>
        <v>127717;INF109KB1078;-;ICICI Prudential Fixed Maturity Plan-Series 73-368 Days Plan D - Cumulative;13.9201;25-Jun-2018</v>
      </c>
      <c r="B12596" s="1"/>
    </row>
    <row r="12597">
      <c r="A12597" s="1" t="str">
        <f>IFERROR(__xludf.DUMMYFUNCTION("""COMPUTED_VALUE"""),"127716;INF109KB1094;-;ICICI Prudential Fixed Maturity Plan-Series 73-368 Days Plan D - Direct Plan - Cumulative;13.9822;25-Jun-2018")</f>
        <v>127716;INF109KB1094;-;ICICI Prudential Fixed Maturity Plan-Series 73-368 Days Plan D - Direct Plan - Cumulative;13.9822;25-Jun-2018</v>
      </c>
      <c r="B12597" s="1"/>
    </row>
    <row r="12598">
      <c r="A12598" s="1" t="str">
        <f>IFERROR(__xludf.DUMMYFUNCTION("""COMPUTED_VALUE"""),"127718;INF109KB1086;-;ICICI Prudential Fixed Maturity Plan-Series 73-368 Days Plan D - Dividend;13.8018;25-Jun-2018")</f>
        <v>127718;INF109KB1086;-;ICICI Prudential Fixed Maturity Plan-Series 73-368 Days Plan D - Dividend;13.8018;25-Jun-2018</v>
      </c>
      <c r="B12598" s="1"/>
    </row>
    <row r="12599">
      <c r="A12599" s="1" t="str">
        <f>IFERROR(__xludf.DUMMYFUNCTION("""COMPUTED_VALUE"""),"128357;INF109KB1516;-;ICICI Prudential Fixed Maturity Plan-Series 73-368 Days Plan M - Cumulative;12.7846;05-Apr-2017")</f>
        <v>128357;INF109KB1516;-;ICICI Prudential Fixed Maturity Plan-Series 73-368 Days Plan M - Cumulative;12.7846;05-Apr-2017</v>
      </c>
      <c r="B12599" s="1"/>
    </row>
    <row r="12600">
      <c r="A12600" s="1" t="str">
        <f>IFERROR(__xludf.DUMMYFUNCTION("""COMPUTED_VALUE"""),"128354;INF109KB1532;-;ICICI Prudential Fixed Maturity Plan-Series 73-368 Days Plan M - Direct Plan - Cumulative;12.8167;05-Apr-2017")</f>
        <v>128354;INF109KB1532;-;ICICI Prudential Fixed Maturity Plan-Series 73-368 Days Plan M - Direct Plan - Cumulative;12.8167;05-Apr-2017</v>
      </c>
      <c r="B12600" s="1"/>
    </row>
    <row r="12601">
      <c r="A12601" s="1" t="str">
        <f>IFERROR(__xludf.DUMMYFUNCTION("""COMPUTED_VALUE"""),"128356;INF109KB1524;-;ICICI Prudential Fixed Maturity Plan-Series 73-368 Days Plan M - Dividend;12.7259;05-Apr-2017")</f>
        <v>128356;INF109KB1524;-;ICICI Prudential Fixed Maturity Plan-Series 73-368 Days Plan M - Dividend;12.7259;05-Apr-2017</v>
      </c>
      <c r="B12601" s="1"/>
    </row>
    <row r="12602">
      <c r="A12602" s="1" t="str">
        <f>IFERROR(__xludf.DUMMYFUNCTION("""COMPUTED_VALUE"""),"128814;INF109KB1599;-;ICICI Prudential Fixed Maturity Plan-Series 73-368 Days Plan R - Cumulative;12.7817;18-Apr-2017")</f>
        <v>128814;INF109KB1599;-;ICICI Prudential Fixed Maturity Plan-Series 73-368 Days Plan R - Cumulative;12.7817;18-Apr-2017</v>
      </c>
      <c r="B12602" s="1"/>
    </row>
    <row r="12603">
      <c r="A12603" s="1" t="str">
        <f>IFERROR(__xludf.DUMMYFUNCTION("""COMPUTED_VALUE"""),"128812;INF109KB1615;-;ICICI Prudential Fixed Maturity Plan-Series 73-368 Days Plan R - Direct Plan - Cumulative;12.7963;18-Apr-2017")</f>
        <v>128812;INF109KB1615;-;ICICI Prudential Fixed Maturity Plan-Series 73-368 Days Plan R - Direct Plan - Cumulative;12.7963;18-Apr-2017</v>
      </c>
      <c r="B12603" s="1"/>
    </row>
    <row r="12604">
      <c r="A12604" s="1" t="str">
        <f>IFERROR(__xludf.DUMMYFUNCTION("""COMPUTED_VALUE"""),"128058;INF109KB1037;-;ICICI Prudential Fixed Maturity Plan-Series 73-369 Days Plan H - Cumulative;12.8782;17-Apr-2017")</f>
        <v>128058;INF109KB1037;-;ICICI Prudential Fixed Maturity Plan-Series 73-369 Days Plan H - Cumulative;12.8782;17-Apr-2017</v>
      </c>
      <c r="B12604" s="1"/>
    </row>
    <row r="12605">
      <c r="A12605" s="1" t="str">
        <f>IFERROR(__xludf.DUMMYFUNCTION("""COMPUTED_VALUE"""),"128060;INF109KB1052;-;ICICI Prudential Fixed Maturity Plan-Series 73-369 Days Plan H - Direct Plan - Cumulative;12.9113;17-Apr-2017")</f>
        <v>128060;INF109KB1052;-;ICICI Prudential Fixed Maturity Plan-Series 73-369 Days Plan H - Direct Plan - Cumulative;12.9113;17-Apr-2017</v>
      </c>
      <c r="B12605" s="1"/>
    </row>
    <row r="12606">
      <c r="A12606" s="1" t="str">
        <f>IFERROR(__xludf.DUMMYFUNCTION("""COMPUTED_VALUE"""),"128652;INF109KB1631;-;ICICI Prudential Fixed Maturity Plan-Series 73-369 Days Plan P- Cumulative;12.7930;18-Apr-2017")</f>
        <v>128652;INF109KB1631;-;ICICI Prudential Fixed Maturity Plan-Series 73-369 Days Plan P- Cumulative;12.7930;18-Apr-2017</v>
      </c>
      <c r="B12606" s="1"/>
    </row>
    <row r="12607">
      <c r="A12607" s="1" t="str">
        <f>IFERROR(__xludf.DUMMYFUNCTION("""COMPUTED_VALUE"""),"128650;INF109KB1656;-;ICICI Prudential Fixed Maturity Plan-Series 73-369 Days Plan P- Direct Plan - Cumulative;12.8174;18-Apr-2017")</f>
        <v>128650;INF109KB1656;-;ICICI Prudential Fixed Maturity Plan-Series 73-369 Days Plan P- Direct Plan - Cumulative;12.8174;18-Apr-2017</v>
      </c>
      <c r="B12607" s="1"/>
    </row>
    <row r="12608">
      <c r="A12608" s="1" t="str">
        <f>IFERROR(__xludf.DUMMYFUNCTION("""COMPUTED_VALUE"""),"128653;INF109KB1649;-;ICICI Prudential Fixed Maturity Plan-Series 73-369 Days Plan P- Dividend;12.7343;18-Apr-2017")</f>
        <v>128653;INF109KB1649;-;ICICI Prudential Fixed Maturity Plan-Series 73-369 Days Plan P- Dividend;12.7343;18-Apr-2017</v>
      </c>
      <c r="B12608" s="1"/>
    </row>
    <row r="12609">
      <c r="A12609" s="1" t="str">
        <f>IFERROR(__xludf.DUMMYFUNCTION("""COMPUTED_VALUE"""),"128811;INF109KB1912;-;ICICI Prudential Fixed Maturity Plan-Series 73-369 Days Plan S- Cumulative;13.9181;10-Jul-2018")</f>
        <v>128811;INF109KB1912;-;ICICI Prudential Fixed Maturity Plan-Series 73-369 Days Plan S- Cumulative;13.9181;10-Jul-2018</v>
      </c>
      <c r="B12609" s="1"/>
    </row>
    <row r="12610">
      <c r="A12610" s="1" t="str">
        <f>IFERROR(__xludf.DUMMYFUNCTION("""COMPUTED_VALUE"""),"128808;INF109KB1938;-;ICICI Prudential Fixed Maturity Plan-Series 73-369 Days Plan S- Direct Plan - Cumulative;13.9741;10-Jul-2018")</f>
        <v>128808;INF109KB1938;-;ICICI Prudential Fixed Maturity Plan-Series 73-369 Days Plan S- Direct Plan - Cumulative;13.9741;10-Jul-2018</v>
      </c>
      <c r="B12610" s="1"/>
    </row>
    <row r="12611">
      <c r="A12611" s="1" t="str">
        <f>IFERROR(__xludf.DUMMYFUNCTION("""COMPUTED_VALUE"""),"128810;INF109KB1920;-;ICICI Prudential Fixed Maturity Plan-Series 73-369 Days Plan S- Dividend;12.7514;25-Apr-2017")</f>
        <v>128810;INF109KB1920;-;ICICI Prudential Fixed Maturity Plan-Series 73-369 Days Plan S- Dividend;12.7514;25-Apr-2017</v>
      </c>
      <c r="B12611" s="1"/>
    </row>
    <row r="12612">
      <c r="A12612" s="1" t="str">
        <f>IFERROR(__xludf.DUMMYFUNCTION("""COMPUTED_VALUE"""),"128818;INF109KB1AL8;-;ICICI Prudential Fixed Maturity Plan-Series 73-369 Days Plan T - Cumulative;13.9197;10-Jul-2018")</f>
        <v>128818;INF109KB1AL8;-;ICICI Prudential Fixed Maturity Plan-Series 73-369 Days Plan T - Cumulative;13.9197;10-Jul-2018</v>
      </c>
      <c r="B12612" s="1"/>
    </row>
    <row r="12613">
      <c r="A12613" s="1" t="str">
        <f>IFERROR(__xludf.DUMMYFUNCTION("""COMPUTED_VALUE"""),"128816;INF109KB1AN4;-;ICICI Prudential Fixed Maturity Plan-Series 73-369 Days Plan T - Direct Plan - Cumulative;13.965;10-Jul-2018")</f>
        <v>128816;INF109KB1AN4;-;ICICI Prudential Fixed Maturity Plan-Series 73-369 Days Plan T - Direct Plan - Cumulative;13.965;10-Jul-2018</v>
      </c>
      <c r="B12613" s="1"/>
    </row>
    <row r="12614">
      <c r="A12614" s="1" t="str">
        <f>IFERROR(__xludf.DUMMYFUNCTION("""COMPUTED_VALUE"""),"128819;INF109KB1AM6;-;ICICI Prudential Fixed Maturity Plan-Series 73-369 Days Plan T - Dividend;12.7500;27-Apr-2017")</f>
        <v>128819;INF109KB1AM6;-;ICICI Prudential Fixed Maturity Plan-Series 73-369 Days Plan T - Dividend;12.7500;27-Apr-2017</v>
      </c>
      <c r="B12614" s="1"/>
    </row>
    <row r="12615">
      <c r="A12615" s="1" t="str">
        <f>IFERROR(__xludf.DUMMYFUNCTION("""COMPUTED_VALUE"""),"128648;INF109KB1AH6;-;ICICI Prudential Fixed Maturity Plan-Series 73-376 Days Plan Q - Cumulative;13.9185;10-Jul-2018")</f>
        <v>128648;INF109KB1AH6;-;ICICI Prudential Fixed Maturity Plan-Series 73-376 Days Plan Q - Cumulative;13.9185;10-Jul-2018</v>
      </c>
      <c r="B12615" s="1"/>
    </row>
    <row r="12616">
      <c r="A12616" s="1" t="str">
        <f>IFERROR(__xludf.DUMMYFUNCTION("""COMPUTED_VALUE"""),"128646;INF109KB1AJ2;-;ICICI Prudential Fixed Maturity Plan-Series 73-376 Days Plan Q - Direct Plan - Cumulative;13.9786;10-Jul-2018")</f>
        <v>128646;INF109KB1AJ2;-;ICICI Prudential Fixed Maturity Plan-Series 73-376 Days Plan Q - Direct Plan - Cumulative;13.9786;10-Jul-2018</v>
      </c>
      <c r="B12616" s="1"/>
    </row>
    <row r="12617">
      <c r="A12617" s="1" t="str">
        <f>IFERROR(__xludf.DUMMYFUNCTION("""COMPUTED_VALUE"""),"128649;INF109KB1AI4;-;ICICI Prudential Fixed Maturity Plan-Series 73-376 Days Plan Q - Dividend;12.1965;25-Apr-2017")</f>
        <v>128649;INF109KB1AI4;-;ICICI Prudential Fixed Maturity Plan-Series 73-376 Days Plan Q - Dividend;12.1965;25-Apr-2017</v>
      </c>
      <c r="B12617" s="1"/>
    </row>
    <row r="12618">
      <c r="A12618" s="1" t="str">
        <f>IFERROR(__xludf.DUMMYFUNCTION("""COMPUTED_VALUE"""),"128352;INF109KB1870;-;ICICI Prudential Fixed Maturity Plan-Series 73-378 Days Plan N - Cumulative;12.7921;20-Apr-2017")</f>
        <v>128352;INF109KB1870;-;ICICI Prudential Fixed Maturity Plan-Series 73-378 Days Plan N - Cumulative;12.7921;20-Apr-2017</v>
      </c>
      <c r="B12618" s="1"/>
    </row>
    <row r="12619">
      <c r="A12619" s="1" t="str">
        <f>IFERROR(__xludf.DUMMYFUNCTION("""COMPUTED_VALUE"""),"128350;INF109KB1896;-;ICICI Prudential Fixed Maturity Plan-Series 73-378 Days Plan N - Direct Plan - Cumulative;12.8723;20-Apr-2017")</f>
        <v>128350;INF109KB1896;-;ICICI Prudential Fixed Maturity Plan-Series 73-378 Days Plan N - Direct Plan - Cumulative;12.8723;20-Apr-2017</v>
      </c>
      <c r="B12619" s="1"/>
    </row>
    <row r="12620">
      <c r="A12620" s="1" t="str">
        <f>IFERROR(__xludf.DUMMYFUNCTION("""COMPUTED_VALUE"""),"128498;INF109KB1AP9;-;ICICI Prudential Fixed Maturity Plan-Series 73-378 Days Plan O - Cumulative;13.8839;10-Jul-2018")</f>
        <v>128498;INF109KB1AP9;-;ICICI Prudential Fixed Maturity Plan-Series 73-378 Days Plan O - Cumulative;13.8839;10-Jul-2018</v>
      </c>
      <c r="B12620" s="1"/>
    </row>
    <row r="12621">
      <c r="A12621" s="1" t="str">
        <f>IFERROR(__xludf.DUMMYFUNCTION("""COMPUTED_VALUE"""),"128496;INF109KB1AR5;-;ICICI Prudential Fixed Maturity Plan-Series 73-378 Days Plan O - Direct Plan - Cumulative;13.9663;10-Jul-2018")</f>
        <v>128496;INF109KB1AR5;-;ICICI Prudential Fixed Maturity Plan-Series 73-378 Days Plan O - Direct Plan - Cumulative;13.9663;10-Jul-2018</v>
      </c>
      <c r="B12621" s="1"/>
    </row>
    <row r="12622">
      <c r="A12622" s="1" t="str">
        <f>IFERROR(__xludf.DUMMYFUNCTION("""COMPUTED_VALUE"""),"128497;INF109KB1AS3;-;ICICI Prudential Fixed Maturity Plan-Series 73-378 Days Plan O - Direct Plan - Dividend;12.8117;25-Apr-2017")</f>
        <v>128497;INF109KB1AS3;-;ICICI Prudential Fixed Maturity Plan-Series 73-378 Days Plan O - Direct Plan - Dividend;12.8117;25-Apr-2017</v>
      </c>
      <c r="B12622" s="1"/>
    </row>
    <row r="12623">
      <c r="A12623" s="1" t="str">
        <f>IFERROR(__xludf.DUMMYFUNCTION("""COMPUTED_VALUE"""),"128499;INF109KB1AQ7;-;ICICI Prudential Fixed Maturity Plan-Series 73-378 Days Plan O - Dividend;12.7562;25-Apr-2017")</f>
        <v>128499;INF109KB1AQ7;-;ICICI Prudential Fixed Maturity Plan-Series 73-378 Days Plan O - Dividend;12.7562;25-Apr-2017</v>
      </c>
      <c r="B12623" s="1"/>
    </row>
    <row r="12624">
      <c r="A12624" s="1" t="str">
        <f>IFERROR(__xludf.DUMMYFUNCTION("""COMPUTED_VALUE"""),"128203;INF109KB1839;-;ICICI Prudential Fixed Maturity Plan-Series 73-383 Days Plan K - Cumulative;13.9708;10-Jul-2018")</f>
        <v>128203;INF109KB1839;-;ICICI Prudential Fixed Maturity Plan-Series 73-383 Days Plan K - Cumulative;13.9708;10-Jul-2018</v>
      </c>
      <c r="B12624" s="1"/>
    </row>
    <row r="12625">
      <c r="A12625" s="1" t="str">
        <f>IFERROR(__xludf.DUMMYFUNCTION("""COMPUTED_VALUE"""),"128201;INF109KB1854;-;ICICI Prudential Fixed Maturity Plan-Series 73-383 Days Plan K - Direct Plan - Cumulative;14.0538;10-Jul-2018")</f>
        <v>128201;INF109KB1854;-;ICICI Prudential Fixed Maturity Plan-Series 73-383 Days Plan K - Direct Plan - Cumulative;14.0538;10-Jul-2018</v>
      </c>
      <c r="B12625" s="1"/>
    </row>
    <row r="12626">
      <c r="A12626" s="1" t="str">
        <f>IFERROR(__xludf.DUMMYFUNCTION("""COMPUTED_VALUE"""),"128204;INF109KB1847;-;ICICI Prudential Fixed Maturity Plan-Series 73-383 Days Plan K - Dividend;12.7844;25-Apr-2017")</f>
        <v>128204;INF109KB1847;-;ICICI Prudential Fixed Maturity Plan-Series 73-383 Days Plan K - Dividend;12.7844;25-Apr-2017</v>
      </c>
      <c r="B12626" s="1"/>
    </row>
    <row r="12627">
      <c r="A12627" s="1" t="str">
        <f>IFERROR(__xludf.DUMMYFUNCTION("""COMPUTED_VALUE"""),"128075;INF109KB1BJ0;-;ICICI Prudential Fixed Maturity Plan-Series 73-390 Days Plan I - Cumulative;13.9537;10-Jul-2018")</f>
        <v>128075;INF109KB1BJ0;-;ICICI Prudential Fixed Maturity Plan-Series 73-390 Days Plan I - Cumulative;13.9537;10-Jul-2018</v>
      </c>
      <c r="B12627" s="1"/>
    </row>
    <row r="12628">
      <c r="A12628" s="1" t="str">
        <f>IFERROR(__xludf.DUMMYFUNCTION("""COMPUTED_VALUE"""),"128076;INF109KB1BL6;-;ICICI Prudential Fixed Maturity Plan-Series 73-390 Days Plan I - Direct Plan - Cumulative;14.0436;10-Jul-2018")</f>
        <v>128076;INF109KB1BL6;-;ICICI Prudential Fixed Maturity Plan-Series 73-390 Days Plan I - Direct Plan - Cumulative;14.0436;10-Jul-2018</v>
      </c>
      <c r="B12628" s="1"/>
    </row>
    <row r="12629">
      <c r="A12629" s="1" t="str">
        <f>IFERROR(__xludf.DUMMYFUNCTION("""COMPUTED_VALUE"""),"128077;INF109KB1BK8;-;ICICI Prudential Fixed Maturity Plan-Series 73-390 Days Plan I - Dividend;12.7959;27-Apr-2017")</f>
        <v>128077;INF109KB1BK8;-;ICICI Prudential Fixed Maturity Plan-Series 73-390 Days Plan I - Dividend;12.7959;27-Apr-2017</v>
      </c>
      <c r="B12629" s="1"/>
    </row>
    <row r="12630">
      <c r="A12630" s="1" t="str">
        <f>IFERROR(__xludf.DUMMYFUNCTION("""COMPUTED_VALUE"""),"128038;INF109KB1797;-;ICICI Prudential Fixed Maturity Plan-Series 73-391 Days Plan G - Cumulative;13.8464;05-Apr-2018")</f>
        <v>128038;INF109KB1797;-;ICICI Prudential Fixed Maturity Plan-Series 73-391 Days Plan G - Cumulative;13.8464;05-Apr-2018</v>
      </c>
      <c r="B12630" s="1"/>
    </row>
    <row r="12631">
      <c r="A12631" s="1" t="str">
        <f>IFERROR(__xludf.DUMMYFUNCTION("""COMPUTED_VALUE"""),"128040;INF109KB1813;-;ICICI Prudential Fixed Maturity Plan-Series 73-391 Days Plan G - Direct Plan - Cumulative;13.9437;05-Apr-2018")</f>
        <v>128040;INF109KB1813;-;ICICI Prudential Fixed Maturity Plan-Series 73-391 Days Plan G - Direct Plan - Cumulative;13.9437;05-Apr-2018</v>
      </c>
      <c r="B12631" s="1"/>
    </row>
    <row r="12632">
      <c r="A12632" s="1" t="str">
        <f>IFERROR(__xludf.DUMMYFUNCTION("""COMPUTED_VALUE"""),"128039;INF109KB1805;-;ICICI Prudential Fixed Maturity Plan-Series 73-391 Days Plan G - Dividend;13.1265;05-Apr-2018")</f>
        <v>128039;INF109KB1805;-;ICICI Prudential Fixed Maturity Plan-Series 73-391 Days Plan G - Dividend;13.1265;05-Apr-2018</v>
      </c>
      <c r="B12632" s="1"/>
    </row>
    <row r="12633">
      <c r="A12633" s="1" t="str">
        <f>IFERROR(__xludf.DUMMYFUNCTION("""COMPUTED_VALUE"""),"128044;INF109KB1755;-;ICICI Prudential Fixed Maturity Plan-Series 73-392 Days Plan F - Cumulative;12.8882;20-Apr-2017")</f>
        <v>128044;INF109KB1755;-;ICICI Prudential Fixed Maturity Plan-Series 73-392 Days Plan F - Cumulative;12.8882;20-Apr-2017</v>
      </c>
      <c r="B12633" s="1"/>
    </row>
    <row r="12634">
      <c r="A12634" s="1" t="str">
        <f>IFERROR(__xludf.DUMMYFUNCTION("""COMPUTED_VALUE"""),"128042;INF109KB1771;-;ICICI Prudential Fixed Maturity Plan-Series 73-392 Days Plan F - Direct Plan - Cumulative;12.9510;20-Apr-2017")</f>
        <v>128042;INF109KB1771;-;ICICI Prudential Fixed Maturity Plan-Series 73-392 Days Plan F - Direct Plan - Cumulative;12.9510;20-Apr-2017</v>
      </c>
      <c r="B12634" s="1"/>
    </row>
    <row r="12635">
      <c r="A12635" s="1" t="str">
        <f>IFERROR(__xludf.DUMMYFUNCTION("""COMPUTED_VALUE"""),"127720;INF109KB1BN2;-;ICICI Prudential Fixed Maturity Plan-Series 73-407 Days Plan C - Cumulative;14.0174;10-Jul-2018")</f>
        <v>127720;INF109KB1BN2;-;ICICI Prudential Fixed Maturity Plan-Series 73-407 Days Plan C - Cumulative;14.0174;10-Jul-2018</v>
      </c>
      <c r="B12635" s="1"/>
    </row>
    <row r="12636">
      <c r="A12636" s="1" t="str">
        <f>IFERROR(__xludf.DUMMYFUNCTION("""COMPUTED_VALUE"""),"127722;INF109KB1BP7;-;ICICI Prudential Fixed Maturity Plan-Series 73-407 Days Plan C - Direct Plan - Cumulative;14.1305;10-Jul-2018")</f>
        <v>127722;INF109KB1BP7;-;ICICI Prudential Fixed Maturity Plan-Series 73-407 Days Plan C - Direct Plan - Cumulative;14.1305;10-Jul-2018</v>
      </c>
      <c r="B12636" s="1"/>
    </row>
    <row r="12637">
      <c r="A12637" s="1" t="str">
        <f>IFERROR(__xludf.DUMMYFUNCTION("""COMPUTED_VALUE"""),"127721;INF109KB1BO0;-;ICICI Prudential Fixed Maturity Plan-Series 73-407 Days Plan C - Dividend;12.8551;27-Apr-2017")</f>
        <v>127721;INF109KB1BO0;-;ICICI Prudential Fixed Maturity Plan-Series 73-407 Days Plan C - Dividend;12.8551;27-Apr-2017</v>
      </c>
      <c r="B12637" s="1"/>
    </row>
    <row r="12638">
      <c r="A12638" s="1" t="str">
        <f>IFERROR(__xludf.DUMMYFUNCTION("""COMPUTED_VALUE"""),"128113;INF109KB1XP1;-;ICICI Prudential Fixed Maturity Plan-Series 73-830 Days Plan J - Cumulative;13.2093;07-Aug-2017")</f>
        <v>128113;INF109KB1XP1;-;ICICI Prudential Fixed Maturity Plan-Series 73-830 Days Plan J - Cumulative;13.2093;07-Aug-2017</v>
      </c>
      <c r="B12638" s="1"/>
    </row>
    <row r="12639">
      <c r="A12639" s="1" t="str">
        <f>IFERROR(__xludf.DUMMYFUNCTION("""COMPUTED_VALUE"""),"128112;INF109KB1XR7;-;ICICI Prudential Fixed Maturity Plan-Series 73-830 Days Plan J - Direct Plan - Cumulative;13.3388;07-Aug-2017")</f>
        <v>128112;INF109KB1XR7;-;ICICI Prudential Fixed Maturity Plan-Series 73-830 Days Plan J - Direct Plan - Cumulative;13.3388;07-Aug-2017</v>
      </c>
      <c r="B12639" s="1"/>
    </row>
    <row r="12640">
      <c r="A12640" s="1" t="str">
        <f>IFERROR(__xludf.DUMMYFUNCTION("""COMPUTED_VALUE"""),"128111;INF109KB1XS5;-;ICICI Prudential Fixed Maturity Plan-Series 73-830 Days Plan J - Direct Plan - Dividend;12.4137;07-Aug-2017")</f>
        <v>128111;INF109KB1XS5;-;ICICI Prudential Fixed Maturity Plan-Series 73-830 Days Plan J - Direct Plan - Dividend;12.4137;07-Aug-2017</v>
      </c>
      <c r="B12640" s="1"/>
    </row>
    <row r="12641">
      <c r="A12641" s="1" t="str">
        <f>IFERROR(__xludf.DUMMYFUNCTION("""COMPUTED_VALUE"""),"128114;INF109KB1XQ9;-;ICICI Prudential Fixed Maturity Plan-Series 73-830 Days Plan J - Dividend;12.3287;07-Aug-2017")</f>
        <v>128114;INF109KB1XQ9;-;ICICI Prudential Fixed Maturity Plan-Series 73-830 Days Plan J - Dividend;12.3287;07-Aug-2017</v>
      </c>
      <c r="B12641" s="1"/>
    </row>
    <row r="12642">
      <c r="A12642" s="1" t="str">
        <f>IFERROR(__xludf.DUMMYFUNCTION("""COMPUTED_VALUE"""),"130002;INF109KB1GV4;-;ICICI Prudential Fixed Maturity Plan -Series 74 -368 Days Plan R Cumulative Option;12.8601;27-Jul-2017")</f>
        <v>130002;INF109KB1GV4;-;ICICI Prudential Fixed Maturity Plan -Series 74 -368 Days Plan R Cumulative Option;12.8601;27-Jul-2017</v>
      </c>
      <c r="B12642" s="1"/>
    </row>
    <row r="12643">
      <c r="A12643" s="1" t="str">
        <f>IFERROR(__xludf.DUMMYFUNCTION("""COMPUTED_VALUE"""),"130000;INF109KB1GT8;-;ICICI Prudential Fixed Maturity Plan -Series 74 -368 Days Plan R Direct Plan Cumulative Option;12.8862;27-Jul-2017")</f>
        <v>130000;INF109KB1GT8;-;ICICI Prudential Fixed Maturity Plan -Series 74 -368 Days Plan R Direct Plan Cumulative Option;12.8862;27-Jul-2017</v>
      </c>
      <c r="B12643" s="1"/>
    </row>
    <row r="12644">
      <c r="A12644" s="1" t="str">
        <f>IFERROR(__xludf.DUMMYFUNCTION("""COMPUTED_VALUE"""),"129999;INF109KB1GU6;-;ICICI Prudential Fixed Maturity Plan -Series 74 -368 Days Plan R Direct Plan Dividend Option;10.6233;08-Jun-2015")</f>
        <v>129999;INF109KB1GU6;-;ICICI Prudential Fixed Maturity Plan -Series 74 -368 Days Plan R Direct Plan Dividend Option;10.6233;08-Jun-2015</v>
      </c>
      <c r="B12644" s="1"/>
    </row>
    <row r="12645">
      <c r="A12645" s="1" t="str">
        <f>IFERROR(__xludf.DUMMYFUNCTION("""COMPUTED_VALUE"""),"130001;INF109KB1GW2;-;ICICI Prudential Fixed Maturity Plan-Series 74-368 Days Plan R Dividend Option;12.4814;27-Jul-2017")</f>
        <v>130001;INF109KB1GW2;-;ICICI Prudential Fixed Maturity Plan-Series 74-368 Days Plan R Dividend Option;12.4814;27-Jul-2017</v>
      </c>
      <c r="B12645" s="1"/>
    </row>
    <row r="12646">
      <c r="A12646" s="1" t="str">
        <f>IFERROR(__xludf.DUMMYFUNCTION("""COMPUTED_VALUE"""),"129967;INF109KB1GJ9;-;ICICI Prudential Fixed Maturity Plan - Series 74 - 370 Days Plan Q Cumulative Option;12.8593;27-Jul-2017")</f>
        <v>129967;INF109KB1GJ9;-;ICICI Prudential Fixed Maturity Plan - Series 74 - 370 Days Plan Q Cumulative Option;12.8593;27-Jul-2017</v>
      </c>
      <c r="B12646" s="1"/>
    </row>
    <row r="12647">
      <c r="A12647" s="1" t="str">
        <f>IFERROR(__xludf.DUMMYFUNCTION("""COMPUTED_VALUE"""),"129968;INF109KB1GH3;-;ICICI Prudential Fixed Maturity Plan - Series 74 -370 Days Plan Q Direct Plan Cumulative Option;12.8848;27-Jul-2017")</f>
        <v>129968;INF109KB1GH3;-;ICICI Prudential Fixed Maturity Plan - Series 74 -370 Days Plan Q Direct Plan Cumulative Option;12.8848;27-Jul-2017</v>
      </c>
      <c r="B12647" s="1"/>
    </row>
    <row r="12648">
      <c r="A12648" s="1" t="str">
        <f>IFERROR(__xludf.DUMMYFUNCTION("""COMPUTED_VALUE"""),"129970;INF109KB1GI1;-;ICICI Prudential Fixed Maturity Plan -Series 74 -370 Days Plan Q Direct Plan Dividend Option;12.8257;27-Jul-2017")</f>
        <v>129970;INF109KB1GI1;-;ICICI Prudential Fixed Maturity Plan -Series 74 -370 Days Plan Q Direct Plan Dividend Option;12.8257;27-Jul-2017</v>
      </c>
      <c r="B12648" s="1"/>
    </row>
    <row r="12649">
      <c r="A12649" s="1" t="str">
        <f>IFERROR(__xludf.DUMMYFUNCTION("""COMPUTED_VALUE"""),"129969;INF109KB1GK7;-;ICICI Prudential Fixed Maturity Plan -Series 74 -370 Days Plan Q Dividend Option;12.8002;27-Jul-2017")</f>
        <v>129969;INF109KB1GK7;-;ICICI Prudential Fixed Maturity Plan -Series 74 -370 Days Plan Q Dividend Option;12.8002;27-Jul-2017</v>
      </c>
      <c r="B12649" s="1"/>
    </row>
    <row r="12650">
      <c r="A12650" s="1" t="str">
        <f>IFERROR(__xludf.DUMMYFUNCTION("""COMPUTED_VALUE"""),"129254;INF109KA1TH7;-;ICICI Prudential Fixed Maturity Plan-Series 74-1092 Days Plan G - Cumulative;13.1435;24-Jul-2017")</f>
        <v>129254;INF109KA1TH7;-;ICICI Prudential Fixed Maturity Plan-Series 74-1092 Days Plan G - Cumulative;13.1435;24-Jul-2017</v>
      </c>
      <c r="B12650" s="1"/>
    </row>
    <row r="12651">
      <c r="A12651" s="1" t="str">
        <f>IFERROR(__xludf.DUMMYFUNCTION("""COMPUTED_VALUE"""),"129252;INF109KA1TJ3;-;ICICI Prudential Fixed Maturity Plan-Series 74-1092 Days Plan G - Direct Plan - Cumulative;13.3092;24-Jul-2017")</f>
        <v>129252;INF109KA1TJ3;-;ICICI Prudential Fixed Maturity Plan-Series 74-1092 Days Plan G - Direct Plan - Cumulative;13.3092;24-Jul-2017</v>
      </c>
      <c r="B12651" s="1"/>
    </row>
    <row r="12652">
      <c r="A12652" s="1" t="str">
        <f>IFERROR(__xludf.DUMMYFUNCTION("""COMPUTED_VALUE"""),"129253;INF109KA1TK1;-;ICICI Prudential Fixed Maturity Plan-Series 74-1092 Days Plan G - Direct Plan - Dividend;12.5647;24-Jul-2017")</f>
        <v>129253;INF109KA1TK1;-;ICICI Prudential Fixed Maturity Plan-Series 74-1092 Days Plan G - Direct Plan - Dividend;12.5647;24-Jul-2017</v>
      </c>
      <c r="B12652" s="1"/>
    </row>
    <row r="12653">
      <c r="A12653" s="1" t="str">
        <f>IFERROR(__xludf.DUMMYFUNCTION("""COMPUTED_VALUE"""),"129255;INF109KA1TI5;-;ICICI Prudential Fixed Maturity Plan-Series 74-1092 Days Plan G - Dividend;12.4345;24-Jul-2017")</f>
        <v>129255;INF109KA1TI5;-;ICICI Prudential Fixed Maturity Plan-Series 74-1092 Days Plan G - Dividend;12.4345;24-Jul-2017</v>
      </c>
      <c r="B12653" s="1"/>
    </row>
    <row r="12654">
      <c r="A12654" s="1" t="str">
        <f>IFERROR(__xludf.DUMMYFUNCTION("""COMPUTED_VALUE"""),"129797;INF109KA1VB6;-;ICICI Prudential Fixed Maturity Plan - Series 74 - 1092 Days Plan P - Cumulative Option;13.0718;28-Aug-2017")</f>
        <v>129797;INF109KA1VB6;-;ICICI Prudential Fixed Maturity Plan - Series 74 - 1092 Days Plan P - Cumulative Option;13.0718;28-Aug-2017</v>
      </c>
      <c r="B12654" s="1"/>
    </row>
    <row r="12655">
      <c r="A12655" s="1" t="str">
        <f>IFERROR(__xludf.DUMMYFUNCTION("""COMPUTED_VALUE"""),"129800;INF109KA1VC4;-;ICICI Prudential Fixed Maturity Plan - Series 74 - 1092 Days Plan P - Dividend Option;12.4108;28-Aug-2017")</f>
        <v>129800;INF109KA1VC4;-;ICICI Prudential Fixed Maturity Plan - Series 74 - 1092 Days Plan P - Dividend Option;12.4108;28-Aug-2017</v>
      </c>
      <c r="B12655" s="1"/>
    </row>
    <row r="12656">
      <c r="A12656" s="1" t="str">
        <f>IFERROR(__xludf.DUMMYFUNCTION("""COMPUTED_VALUE"""),"129799;INF109KA1VE0;-;ICICI Prudential Fixed Maturity Plan - Series 74 - 1092 Days Plan P Direct Plan Dividend Option;12.5101;28-Aug-2017")</f>
        <v>129799;INF109KA1VE0;-;ICICI Prudential Fixed Maturity Plan - Series 74 - 1092 Days Plan P Direct Plan Dividend Option;12.5101;28-Aug-2017</v>
      </c>
      <c r="B12656" s="1"/>
    </row>
    <row r="12657">
      <c r="A12657" s="1" t="str">
        <f>IFERROR(__xludf.DUMMYFUNCTION("""COMPUTED_VALUE"""),"129798;INF109KA1VD2;-;ICICI Prudential Fixed Maturity Plan - Series 74 - 1092 Days Plan P Direct Plan-Cumulative Option;13.1900;28-Aug-2017")</f>
        <v>129798;INF109KA1VD2;-;ICICI Prudential Fixed Maturity Plan - Series 74 - 1092 Days Plan P Direct Plan-Cumulative Option;13.1900;28-Aug-2017</v>
      </c>
      <c r="B12657" s="1"/>
    </row>
    <row r="12658">
      <c r="A12658" s="1" t="str">
        <f>IFERROR(__xludf.DUMMYFUNCTION("""COMPUTED_VALUE"""),"129243;INF109KB1CP5;-;ICICI Prudential Fixed Maturity Plan-Series 74-367 Days Plan C - Cumulative;13.7983;10-Jul-2018")</f>
        <v>129243;INF109KB1CP5;-;ICICI Prudential Fixed Maturity Plan-Series 74-367 Days Plan C - Cumulative;13.7983;10-Jul-2018</v>
      </c>
      <c r="B12658" s="1"/>
    </row>
    <row r="12659">
      <c r="A12659" s="1" t="str">
        <f>IFERROR(__xludf.DUMMYFUNCTION("""COMPUTED_VALUE"""),"129240;INF109KB1CR1;-;ICICI Prudential Fixed Maturity Plan-Series 74-367 Days Plan C - Direct Plan - Cumulative;13.8415;10-Jul-2018")</f>
        <v>129240;INF109KB1CR1;-;ICICI Prudential Fixed Maturity Plan-Series 74-367 Days Plan C - Direct Plan - Cumulative;13.8415;10-Jul-2018</v>
      </c>
      <c r="B12659" s="1"/>
    </row>
    <row r="12660">
      <c r="A12660" s="1" t="str">
        <f>IFERROR(__xludf.DUMMYFUNCTION("""COMPUTED_VALUE"""),"129241;INF109KB1CQ3;-;ICICI Prudential Fixed Maturity Plan-Series 74-367 Days Plan C - Dividend;12.1760;27-Apr-2017")</f>
        <v>129241;INF109KB1CQ3;-;ICICI Prudential Fixed Maturity Plan-Series 74-367 Days Plan C - Dividend;12.1760;27-Apr-2017</v>
      </c>
      <c r="B12660" s="1"/>
    </row>
    <row r="12661">
      <c r="A12661" s="1" t="str">
        <f>IFERROR(__xludf.DUMMYFUNCTION("""COMPUTED_VALUE"""),"129244;INF109KB1DY5;-;ICICI Prudential Fixed Maturity Plan-Series 74-367 Days Plan D - Cumulative;12.9740;17-Jul-2017")</f>
        <v>129244;INF109KB1DY5;-;ICICI Prudential Fixed Maturity Plan-Series 74-367 Days Plan D - Cumulative;12.9740;17-Jul-2017</v>
      </c>
      <c r="B12661" s="1"/>
    </row>
    <row r="12662">
      <c r="A12662" s="1" t="str">
        <f>IFERROR(__xludf.DUMMYFUNCTION("""COMPUTED_VALUE"""),"129246;INF109KB1EK2;-;ICICI Prudential Fixed Maturity Plan-Series 74-367 Days Plan D - Direct Plan - Cumulative;13.0189;17-Jul-2017")</f>
        <v>129246;INF109KB1EK2;-;ICICI Prudential Fixed Maturity Plan-Series 74-367 Days Plan D - Direct Plan - Cumulative;13.0189;17-Jul-2017</v>
      </c>
      <c r="B12662" s="1"/>
    </row>
    <row r="12663">
      <c r="A12663" s="1" t="str">
        <f>IFERROR(__xludf.DUMMYFUNCTION("""COMPUTED_VALUE"""),"129245;INF109KB1DZ2;-;ICICI Prudential Fixed Maturity Plan-Series 74-367 Days Plan D - Dividend;12.4361;17-Jul-2017")</f>
        <v>129245;INF109KB1DZ2;-;ICICI Prudential Fixed Maturity Plan-Series 74-367 Days Plan D - Dividend;12.4361;17-Jul-2017</v>
      </c>
      <c r="B12663" s="1"/>
    </row>
    <row r="12664">
      <c r="A12664" s="1" t="str">
        <f>IFERROR(__xludf.DUMMYFUNCTION("""COMPUTED_VALUE"""),"129412;INF109KB1DV1;-;ICICI Prudential Fixed Maturity Plan Series 74 368 Days Plan H Cumulative Option;12.9674;17-Jul-2017")</f>
        <v>129412;INF109KB1DV1;-;ICICI Prudential Fixed Maturity Plan Series 74 368 Days Plan H Cumulative Option;12.9674;17-Jul-2017</v>
      </c>
      <c r="B12664" s="1"/>
    </row>
    <row r="12665">
      <c r="A12665" s="1" t="str">
        <f>IFERROR(__xludf.DUMMYFUNCTION("""COMPUTED_VALUE"""),"129410;INF109KB1DW9;-;ICICI Prudential Fixed Maturity Plan Series 74 368 Days Plan H Direct Plan Cumulative Option;12.9978;17-Jul-2017")</f>
        <v>129410;INF109KB1DW9;-;ICICI Prudential Fixed Maturity Plan Series 74 368 Days Plan H Direct Plan Cumulative Option;12.9978;17-Jul-2017</v>
      </c>
      <c r="B12665" s="1"/>
    </row>
    <row r="12666">
      <c r="A12666" s="1" t="str">
        <f>IFERROR(__xludf.DUMMYFUNCTION("""COMPUTED_VALUE"""),"129409;INF109KB1EJ4;-;ICICI Prudential Fixed Maturity Plan Series 74 368 Days Plan H Dividend Option;12.9080;17-Jul-2017")</f>
        <v>129409;INF109KB1EJ4;-;ICICI Prudential Fixed Maturity Plan Series 74 368 Days Plan H Dividend Option;12.9080;17-Jul-2017</v>
      </c>
      <c r="B12666" s="1"/>
    </row>
    <row r="12667">
      <c r="A12667" s="1" t="str">
        <f>IFERROR(__xludf.DUMMYFUNCTION("""COMPUTED_VALUE"""),"129644;INF109KB1EX5;-;ICICI Prudential Fixed Maturity Plan -Series 74 -368 Days Plan J Cumulative Option;12.9502;24-Jul-2017")</f>
        <v>129644;INF109KB1EX5;-;ICICI Prudential Fixed Maturity Plan -Series 74 -368 Days Plan J Cumulative Option;12.9502;24-Jul-2017</v>
      </c>
      <c r="B12667" s="1"/>
    </row>
    <row r="12668">
      <c r="A12668" s="1" t="str">
        <f>IFERROR(__xludf.DUMMYFUNCTION("""COMPUTED_VALUE"""),"129642;INF109KB1FA0;-;ICICI Prudential Fixed Maturity Plan -Series 74 -368 Days Plan J Direct Plan Dividend Option;12.9222;24-Jul-2017")</f>
        <v>129642;INF109KB1FA0;-;ICICI Prudential Fixed Maturity Plan -Series 74 -368 Days Plan J Direct Plan Dividend Option;12.9222;24-Jul-2017</v>
      </c>
      <c r="B12668" s="1"/>
    </row>
    <row r="12669">
      <c r="A12669" s="1" t="str">
        <f>IFERROR(__xludf.DUMMYFUNCTION("""COMPUTED_VALUE"""),"129643;INF109KB1EZ0;-;ICICI Prudential Fixed Maturity Plan -Series 74 -368 Days Plan J Direct Plan-Cumulative Option;12.9816;24-Jul-2017")</f>
        <v>129643;INF109KB1EZ0;-;ICICI Prudential Fixed Maturity Plan -Series 74 -368 Days Plan J Direct Plan-Cumulative Option;12.9816;24-Jul-2017</v>
      </c>
      <c r="B12669" s="1"/>
    </row>
    <row r="12670">
      <c r="A12670" s="1" t="str">
        <f>IFERROR(__xludf.DUMMYFUNCTION("""COMPUTED_VALUE"""),"129645;INF109KB1EY3;-;ICICI Prudential Fixed Maturity Plan -Series 74 -368 Days Plan J Dividend Option;12.8908;24-Jul-2017")</f>
        <v>129645;INF109KB1EY3;-;ICICI Prudential Fixed Maturity Plan -Series 74 -368 Days Plan J Dividend Option;12.8908;24-Jul-2017</v>
      </c>
      <c r="B12670" s="1"/>
    </row>
    <row r="12671">
      <c r="A12671" s="1" t="str">
        <f>IFERROR(__xludf.DUMMYFUNCTION("""COMPUTED_VALUE"""),"129026;INF109KB1CT7;-;ICICI Prudential Fixed Maturity Plan-Series 74-369 Days Plan B - Cumulative;13.8978;10-Jul-2018")</f>
        <v>129026;INF109KB1CT7;-;ICICI Prudential Fixed Maturity Plan-Series 74-369 Days Plan B - Cumulative;13.8978;10-Jul-2018</v>
      </c>
      <c r="B12671" s="1"/>
    </row>
    <row r="12672">
      <c r="A12672" s="1" t="str">
        <f>IFERROR(__xludf.DUMMYFUNCTION("""COMPUTED_VALUE"""),"129028;INF109KB1CV3;-;ICICI Prudential Fixed Maturity Plan-Series 74-369 Days Plan B - Direct Plan - Cumulative;13.9616;10-Jul-2018")</f>
        <v>129028;INF109KB1CV3;-;ICICI Prudential Fixed Maturity Plan-Series 74-369 Days Plan B - Direct Plan - Cumulative;13.9616;10-Jul-2018</v>
      </c>
      <c r="B12672" s="1"/>
    </row>
    <row r="12673">
      <c r="A12673" s="1" t="str">
        <f>IFERROR(__xludf.DUMMYFUNCTION("""COMPUTED_VALUE"""),"129029;INF109KB1CW1;-;ICICI Prudential Fixed Maturity Plan-Series 74-369 Days Plan B - Direct Plan - Dividend;13.8436;10-Jul-2018")</f>
        <v>129029;INF109KB1CW1;-;ICICI Prudential Fixed Maturity Plan-Series 74-369 Days Plan B - Direct Plan - Dividend;13.8436;10-Jul-2018</v>
      </c>
      <c r="B12673" s="1"/>
    </row>
    <row r="12674">
      <c r="A12674" s="1" t="str">
        <f>IFERROR(__xludf.DUMMYFUNCTION("""COMPUTED_VALUE"""),"129027;INF109KB1CU5;-;ICICI Prudential Fixed Maturity Plan-Series 74-369 Days Plan B - Dividend;13.7801;10-Jul-2018")</f>
        <v>129027;INF109KB1CU5;-;ICICI Prudential Fixed Maturity Plan-Series 74-369 Days Plan B - Dividend;13.7801;10-Jul-2018</v>
      </c>
      <c r="B12674" s="1"/>
    </row>
    <row r="12675">
      <c r="A12675" s="1" t="str">
        <f>IFERROR(__xludf.DUMMYFUNCTION("""COMPUTED_VALUE"""),"129248;INF109KB1CX9;-;ICICI Prudential Fixed Maturity Plan-Series 74-369 Days Plan F - Cumulative;13.8231;10-Jul-2018")</f>
        <v>129248;INF109KB1CX9;-;ICICI Prudential Fixed Maturity Plan-Series 74-369 Days Plan F - Cumulative;13.8231;10-Jul-2018</v>
      </c>
      <c r="B12675" s="1"/>
    </row>
    <row r="12676">
      <c r="A12676" s="1" t="str">
        <f>IFERROR(__xludf.DUMMYFUNCTION("""COMPUTED_VALUE"""),"129249;INF109KB1CZ4;-;ICICI Prudential Fixed Maturity Plan-Series 74-369 Days Plan F - Direct Plan - Cumulative;13.8717;10-Jul-2018")</f>
        <v>129249;INF109KB1CZ4;-;ICICI Prudential Fixed Maturity Plan-Series 74-369 Days Plan F - Direct Plan - Cumulative;13.8717;10-Jul-2018</v>
      </c>
      <c r="B12676" s="1"/>
    </row>
    <row r="12677">
      <c r="A12677" s="1" t="str">
        <f>IFERROR(__xludf.DUMMYFUNCTION("""COMPUTED_VALUE"""),"129472;INF109KB1FB8;-;ICICI Prudential Fixed Maturity Plan -Series 74 -369 Days Plan I - Cumulative Option;12.9887;24-Jul-2017")</f>
        <v>129472;INF109KB1FB8;-;ICICI Prudential Fixed Maturity Plan -Series 74 -369 Days Plan I - Cumulative Option;12.9887;24-Jul-2017</v>
      </c>
      <c r="B12677" s="1"/>
    </row>
    <row r="12678">
      <c r="A12678" s="1" t="str">
        <f>IFERROR(__xludf.DUMMYFUNCTION("""COMPUTED_VALUE"""),"129471;INF109KB1FC6;-;ICICI Prudential Fixed Maturity Plan -Series 74 -369 Days Plan I - Dividend Option;10.9302;12-May-2015")</f>
        <v>129471;INF109KB1FC6;-;ICICI Prudential Fixed Maturity Plan -Series 74 -369 Days Plan I - Dividend Option;10.9302;12-May-2015</v>
      </c>
      <c r="B12678" s="1"/>
    </row>
    <row r="12679">
      <c r="A12679" s="1" t="str">
        <f>IFERROR(__xludf.DUMMYFUNCTION("""COMPUTED_VALUE"""),"129473;INF109KB1FE2;-;ICICI Prudential Fixed Maturity Plan -Series 74 -369 Days Plan I Direct Plan Dividend Option;12.9655;24-Jul-2017")</f>
        <v>129473;INF109KB1FE2;-;ICICI Prudential Fixed Maturity Plan -Series 74 -369 Days Plan I Direct Plan Dividend Option;12.9655;24-Jul-2017</v>
      </c>
      <c r="B12679" s="1"/>
    </row>
    <row r="12680">
      <c r="A12680" s="1" t="str">
        <f>IFERROR(__xludf.DUMMYFUNCTION("""COMPUTED_VALUE"""),"129470;INF109KB1FD4;-;ICICI Prudential Fixed Maturity Plan -Series 74-369 Days Plan I Direct Plan Cumulative Option;13.0251;24-Jul-2017")</f>
        <v>129470;INF109KB1FD4;-;ICICI Prudential Fixed Maturity Plan -Series 74-369 Days Plan I Direct Plan Cumulative Option;13.0251;24-Jul-2017</v>
      </c>
      <c r="B12680" s="1"/>
    </row>
    <row r="12681">
      <c r="A12681" s="1" t="str">
        <f>IFERROR(__xludf.DUMMYFUNCTION("""COMPUTED_VALUE"""),"129716;INF109KB1FM5;-;ICICI Prudential Fixed Maturity Plan - Series 74 - 369 Days Plan K - Cumulative Option;12.9072;27-Jul-2017")</f>
        <v>129716;INF109KB1FM5;-;ICICI Prudential Fixed Maturity Plan - Series 74 - 369 Days Plan K - Cumulative Option;12.9072;27-Jul-2017</v>
      </c>
      <c r="B12681" s="1"/>
    </row>
    <row r="12682">
      <c r="A12682" s="1" t="str">
        <f>IFERROR(__xludf.DUMMYFUNCTION("""COMPUTED_VALUE"""),"129717;INF109KB1FJ1;-;ICICI Prudential Fixed Maturity Plan - Series 74 - 369 Days Plan K Direct Plan Dividend Option;10.9092;26-May-2015")</f>
        <v>129717;INF109KB1FJ1;-;ICICI Prudential Fixed Maturity Plan - Series 74 - 369 Days Plan K Direct Plan Dividend Option;10.9092;26-May-2015</v>
      </c>
      <c r="B12682" s="1"/>
    </row>
    <row r="12683">
      <c r="A12683" s="1" t="str">
        <f>IFERROR(__xludf.DUMMYFUNCTION("""COMPUTED_VALUE"""),"129715;INF109KB1FL7;-;ICICI Prudential Fixed Maturity Plan -Series 74 - 369 Days Plan K - Dividend Option;12.8480;27-Jul-2017")</f>
        <v>129715;INF109KB1FL7;-;ICICI Prudential Fixed Maturity Plan -Series 74 - 369 Days Plan K - Dividend Option;12.8480;27-Jul-2017</v>
      </c>
      <c r="B12683" s="1"/>
    </row>
    <row r="12684">
      <c r="A12684" s="1" t="str">
        <f>IFERROR(__xludf.DUMMYFUNCTION("""COMPUTED_VALUE"""),"129718;INF109KB1FK9;-;ICICI Prudential Fixed Maturity Plan -Series 74 -369 Days Plan K Direct Plan Cumulative Option;12.9387;27-Jul-2017")</f>
        <v>129718;INF109KB1FK9;-;ICICI Prudential Fixed Maturity Plan -Series 74 -369 Days Plan K Direct Plan Cumulative Option;12.9387;27-Jul-2017</v>
      </c>
      <c r="B12684" s="1"/>
    </row>
    <row r="12685">
      <c r="A12685" s="1" t="str">
        <f>IFERROR(__xludf.DUMMYFUNCTION("""COMPUTED_VALUE"""),"129916;INF109KB1GR2;-;ICICI Prudential Fixed Maturity Plan -Series 74 -369 Days Plan L - Cumulative Option;12.8812;27-Jul-2017")</f>
        <v>129916;INF109KB1GR2;-;ICICI Prudential Fixed Maturity Plan -Series 74 -369 Days Plan L - Cumulative Option;12.8812;27-Jul-2017</v>
      </c>
      <c r="B12685" s="1"/>
    </row>
    <row r="12686">
      <c r="A12686" s="1" t="str">
        <f>IFERROR(__xludf.DUMMYFUNCTION("""COMPUTED_VALUE"""),"129913;INF109KB1GS0;-;ICICI Prudential Fixed Maturity Plan -Series 74 -369 Days Plan L - Dividend Option;12.8233;27-Jul-2017")</f>
        <v>129913;INF109KB1GS0;-;ICICI Prudential Fixed Maturity Plan -Series 74 -369 Days Plan L - Dividend Option;12.8233;27-Jul-2017</v>
      </c>
      <c r="B12686" s="1"/>
    </row>
    <row r="12687">
      <c r="A12687" s="1" t="str">
        <f>IFERROR(__xludf.DUMMYFUNCTION("""COMPUTED_VALUE"""),"129915;INF109KB1GP6;-;ICICI Prudential Fixed Maturity Plan -Series 74 -369 Days Plan L Direct Plan Cumulative Option;12.9043;27-Jul-2017")</f>
        <v>129915;INF109KB1GP6;-;ICICI Prudential Fixed Maturity Plan -Series 74 -369 Days Plan L Direct Plan Cumulative Option;12.9043;27-Jul-2017</v>
      </c>
      <c r="B12687" s="1"/>
    </row>
    <row r="12688">
      <c r="A12688" s="1" t="str">
        <f>IFERROR(__xludf.DUMMYFUNCTION("""COMPUTED_VALUE"""),"129914;INF109KB1GQ4;-;ICICI Prudential Fixed Maturity Plan-Series 74- 369 Days Plan L Direct Plan Dividend Option;10.9025;01-Jun-2015")</f>
        <v>129914;INF109KB1GQ4;-;ICICI Prudential Fixed Maturity Plan-Series 74- 369 Days Plan L Direct Plan Dividend Option;10.9025;01-Jun-2015</v>
      </c>
      <c r="B12688" s="1"/>
    </row>
    <row r="12689">
      <c r="A12689" s="1" t="str">
        <f>IFERROR(__xludf.DUMMYFUNCTION("""COMPUTED_VALUE"""),"129024;INF109KB1CL4;-;ICICI Prudential Fixed Maturity Plan-Series 74-370 Days Plan A - Cumulative;13.8662;10-Jul-2018")</f>
        <v>129024;INF109KB1CL4;-;ICICI Prudential Fixed Maturity Plan-Series 74-370 Days Plan A - Cumulative;13.8662;10-Jul-2018</v>
      </c>
      <c r="B12689" s="1"/>
    </row>
    <row r="12690">
      <c r="A12690" s="1" t="str">
        <f>IFERROR(__xludf.DUMMYFUNCTION("""COMPUTED_VALUE"""),"129022;INF109KB1CN0;-;ICICI Prudential Fixed Maturity Plan-Series 74-370 Days Plan A - Direct Plan - Cumulative;13.9004;10-Jul-2018")</f>
        <v>129022;INF109KB1CN0;-;ICICI Prudential Fixed Maturity Plan-Series 74-370 Days Plan A - Direct Plan - Cumulative;13.9004;10-Jul-2018</v>
      </c>
      <c r="B12690" s="1"/>
    </row>
    <row r="12691">
      <c r="A12691" s="1" t="str">
        <f>IFERROR(__xludf.DUMMYFUNCTION("""COMPUTED_VALUE"""),"129023;INF109KB1CO8;-;ICICI Prudential Fixed Maturity Plan-Series 74-370 Days Plan A - Direct Plan - Dividend;12.7388;27-Apr-2017")</f>
        <v>129023;INF109KB1CO8;-;ICICI Prudential Fixed Maturity Plan-Series 74-370 Days Plan A - Direct Plan - Dividend;12.7388;27-Apr-2017</v>
      </c>
      <c r="B12691" s="1"/>
    </row>
    <row r="12692">
      <c r="A12692" s="1" t="str">
        <f>IFERROR(__xludf.DUMMYFUNCTION("""COMPUTED_VALUE"""),"129025;INF109KB1CM2;-;ICICI Prudential Fixed Maturity Plan-Series 74-370 Days Plan A - Dividend;12.7039;27-Apr-2017")</f>
        <v>129025;INF109KB1CM2;-;ICICI Prudential Fixed Maturity Plan-Series 74-370 Days Plan A - Dividend;12.7039;27-Apr-2017</v>
      </c>
      <c r="B12692" s="1"/>
    </row>
    <row r="12693">
      <c r="A12693" s="1" t="str">
        <f>IFERROR(__xludf.DUMMYFUNCTION("""COMPUTED_VALUE"""),"130005;INF109KB1HV2;-;ICICI Prudential Fixed Maturity Plan -Series 74 -370 Days Plan S  Cumulative Option;12.7833;27-Jul-2017")</f>
        <v>130005;INF109KB1HV2;-;ICICI Prudential Fixed Maturity Plan -Series 74 -370 Days Plan S  Cumulative Option;12.7833;27-Jul-2017</v>
      </c>
      <c r="B12693" s="1"/>
    </row>
    <row r="12694">
      <c r="A12694" s="1" t="str">
        <f>IFERROR(__xludf.DUMMYFUNCTION("""COMPUTED_VALUE"""),"130008;INF109KB1HX8;-;ICICI Prudential Fixed Maturity Plan -Series 74 -370 Days Plan S Direct Plan Cumulative Option;12.8002;27-Jul-2017")</f>
        <v>130008;INF109KB1HX8;-;ICICI Prudential Fixed Maturity Plan -Series 74 -370 Days Plan S Direct Plan Cumulative Option;12.8002;27-Jul-2017</v>
      </c>
      <c r="B12694" s="1"/>
    </row>
    <row r="12695">
      <c r="A12695" s="1" t="str">
        <f>IFERROR(__xludf.DUMMYFUNCTION("""COMPUTED_VALUE"""),"130007;INF109KB1HY6;-;ICICI Prudential Fixed Maturity Plan -Series 74 -370 Days Plan S Direct Plan Dividend Option;12.4505;27-Jul-2017")</f>
        <v>130007;INF109KB1HY6;-;ICICI Prudential Fixed Maturity Plan -Series 74 -370 Days Plan S Direct Plan Dividend Option;12.4505;27-Jul-2017</v>
      </c>
      <c r="B12695" s="1"/>
    </row>
    <row r="12696">
      <c r="A12696" s="1" t="str">
        <f>IFERROR(__xludf.DUMMYFUNCTION("""COMPUTED_VALUE"""),"130006;INF109KB1HW0;-;ICICI Prudential Fixed Maturity Plan -Series 74 -370 Days Plan S Dividend Option;12.4358;27-Jul-2017")</f>
        <v>130006;INF109KB1HW0;-;ICICI Prudential Fixed Maturity Plan -Series 74 -370 Days Plan S Dividend Option;12.4358;27-Jul-2017</v>
      </c>
      <c r="B12696" s="1"/>
    </row>
    <row r="12697">
      <c r="A12697" s="1" t="str">
        <f>IFERROR(__xludf.DUMMYFUNCTION("""COMPUTED_VALUE"""),"135717;INF109KB1ON5;-;ICICI Prudential Multiple Yield Fund - Series 10 - 1775 Days Plan A Cumulative Option;13.8900;16-Oct-2020")</f>
        <v>135717;INF109KB1ON5;-;ICICI Prudential Multiple Yield Fund - Series 10 - 1775 Days Plan A Cumulative Option;13.8900;16-Oct-2020</v>
      </c>
      <c r="B12697" s="1"/>
    </row>
    <row r="12698">
      <c r="A12698" s="1" t="str">
        <f>IFERROR(__xludf.DUMMYFUNCTION("""COMPUTED_VALUE"""),"135718;INF109KB1OP0;-;ICICI Prudential Multiple Yield Fund - Series 10 - 1775 Days Plan A Direct Plan Cumulative Option;14.2742;16-Oct-2020")</f>
        <v>135718;INF109KB1OP0;-;ICICI Prudential Multiple Yield Fund - Series 10 - 1775 Days Plan A Direct Plan Cumulative Option;14.2742;16-Oct-2020</v>
      </c>
      <c r="B12698" s="1"/>
    </row>
    <row r="12699">
      <c r="A12699" s="1" t="str">
        <f>IFERROR(__xludf.DUMMYFUNCTION("""COMPUTED_VALUE"""),"135719;INF109KB1OQ8;-;ICICI Prudential Multiple Yield Fund - Series 10 - 1775 Days Plan A Direct Plan Dividend Option;14.2742;16-Oct-2020")</f>
        <v>135719;INF109KB1OQ8;-;ICICI Prudential Multiple Yield Fund - Series 10 - 1775 Days Plan A Direct Plan Dividend Option;14.2742;16-Oct-2020</v>
      </c>
      <c r="B12699" s="1"/>
    </row>
    <row r="12700">
      <c r="A12700" s="1" t="str">
        <f>IFERROR(__xludf.DUMMYFUNCTION("""COMPUTED_VALUE"""),"135720;INF109KB1OO3;-;ICICI Prudential Multiple Yield Fund - Series 10 - 1775 Days Plan A Dividend Option;13.8900;16-Oct-2020")</f>
        <v>135720;INF109KB1OO3;-;ICICI Prudential Multiple Yield Fund - Series 10 - 1775 Days Plan A Dividend Option;13.8900;16-Oct-2020</v>
      </c>
      <c r="B12700" s="1"/>
    </row>
    <row r="12701">
      <c r="A12701" s="1" t="str">
        <f>IFERROR(__xludf.DUMMYFUNCTION("""COMPUTED_VALUE"""),"135927;INF109KB1PD3;-;ICICI Prudential Multiple Yield Fund - Series 10 - 1825 Days Plan B Cumulative Option;14.2247;11-Jan-2021")</f>
        <v>135927;INF109KB1PD3;-;ICICI Prudential Multiple Yield Fund - Series 10 - 1825 Days Plan B Cumulative Option;14.2247;11-Jan-2021</v>
      </c>
      <c r="B12701" s="1"/>
    </row>
    <row r="12702">
      <c r="A12702" s="1" t="str">
        <f>IFERROR(__xludf.DUMMYFUNCTION("""COMPUTED_VALUE"""),"135924;INF109KB1PE1;-;ICICI Prudential Multiple Yield Fund - Series 10 - 1825 Days Plan B Direct Plan Cumulative Option;15.0573;11-Jan-2021")</f>
        <v>135924;INF109KB1PE1;-;ICICI Prudential Multiple Yield Fund - Series 10 - 1825 Days Plan B Direct Plan Cumulative Option;15.0573;11-Jan-2021</v>
      </c>
      <c r="B12702" s="1"/>
    </row>
    <row r="12703">
      <c r="A12703" s="1" t="str">
        <f>IFERROR(__xludf.DUMMYFUNCTION("""COMPUTED_VALUE"""),"135926;INF109KB1PF8;-;ICICI Prudential Multiple Yield Fund - Series 10 - 1825 Days Plan B Direct Plan Dividend Option;15.0573;11-Jan-2021")</f>
        <v>135926;INF109KB1PF8;-;ICICI Prudential Multiple Yield Fund - Series 10 - 1825 Days Plan B Direct Plan Dividend Option;15.0573;11-Jan-2021</v>
      </c>
      <c r="B12703" s="1"/>
    </row>
    <row r="12704">
      <c r="A12704" s="1" t="str">
        <f>IFERROR(__xludf.DUMMYFUNCTION("""COMPUTED_VALUE"""),"135925;INF109KB1PG6;-;ICICI Prudential Multiple Yield Fund - Series 10 - 1825 Days Plan B Dividend Option;14.2247;11-Jan-2021")</f>
        <v>135925;INF109KB1PG6;-;ICICI Prudential Multiple Yield Fund - Series 10 - 1825 Days Plan B Dividend Option;14.2247;11-Jan-2021</v>
      </c>
      <c r="B12704" s="1"/>
    </row>
    <row r="12705">
      <c r="A12705" s="1" t="str">
        <f>IFERROR(__xludf.DUMMYFUNCTION("""COMPUTED_VALUE"""),"139590;INF109KB1YE3;-;ICICI Prudential Multiple Yield Fund - Series 11 - Plan A 1427 Days Cumulative Option;12.9263;01-Jul-2020")</f>
        <v>139590;INF109KB1YE3;-;ICICI Prudential Multiple Yield Fund - Series 11 - Plan A 1427 Days Cumulative Option;12.9263;01-Jul-2020</v>
      </c>
      <c r="B12705" s="1"/>
    </row>
    <row r="12706">
      <c r="A12706" s="1" t="str">
        <f>IFERROR(__xludf.DUMMYFUNCTION("""COMPUTED_VALUE"""),"139592;INF109KB1YC7;-;ICICI Prudential Multiple Yield Fund - Series 11 - Plan A 1427 Days Direct Plan Cumulative Option;13.4892;01-Jul-2020")</f>
        <v>139592;INF109KB1YC7;-;ICICI Prudential Multiple Yield Fund - Series 11 - Plan A 1427 Days Direct Plan Cumulative Option;13.4892;01-Jul-2020</v>
      </c>
      <c r="B12706" s="1"/>
    </row>
    <row r="12707">
      <c r="A12707" s="1" t="str">
        <f>IFERROR(__xludf.DUMMYFUNCTION("""COMPUTED_VALUE"""),"139593;INF109KB1YD5;-;ICICI Prudential Multiple Yield Fund - Series 11 - Plan A 1427 Days Direct Plan Dividend Option;13.4892;01-Jul-2020")</f>
        <v>139593;INF109KB1YD5;-;ICICI Prudential Multiple Yield Fund - Series 11 - Plan A 1427 Days Direct Plan Dividend Option;13.4892;01-Jul-2020</v>
      </c>
      <c r="B12707" s="1"/>
    </row>
    <row r="12708">
      <c r="A12708" s="1" t="str">
        <f>IFERROR(__xludf.DUMMYFUNCTION("""COMPUTED_VALUE"""),"139591;INF109KB1YF0;-;ICICI Prudential Multiple Yield Fund - Series 11 - Plan A 1427 Days Dividend Option;12.9263;01-Jul-2020")</f>
        <v>139591;INF109KB1YF0;-;ICICI Prudential Multiple Yield Fund - Series 11 - Plan A 1427 Days Dividend Option;12.9263;01-Jul-2020</v>
      </c>
      <c r="B12708" s="1"/>
    </row>
    <row r="12709">
      <c r="A12709" s="1" t="str">
        <f>IFERROR(__xludf.DUMMYFUNCTION("""COMPUTED_VALUE"""),"139763;INF109KB1ZW2;-;ICICI Prudential Multiple Yield Fund - Series 11 - Plan B 1394 Days Cumulative Option;12.5765;03-Jul-2020")</f>
        <v>139763;INF109KB1ZW2;-;ICICI Prudential Multiple Yield Fund - Series 11 - Plan B 1394 Days Cumulative Option;12.5765;03-Jul-2020</v>
      </c>
      <c r="B12709" s="1"/>
    </row>
    <row r="12710">
      <c r="A12710" s="1" t="str">
        <f>IFERROR(__xludf.DUMMYFUNCTION("""COMPUTED_VALUE"""),"139764;INF109KB1ZU6;-;ICICI Prudential Multiple Yield Fund - Series 11 - Plan B 1394 Days Direct Plan Cumulative Option;13.0290;03-Jul-2020")</f>
        <v>139764;INF109KB1ZU6;-;ICICI Prudential Multiple Yield Fund - Series 11 - Plan B 1394 Days Direct Plan Cumulative Option;13.0290;03-Jul-2020</v>
      </c>
      <c r="B12710" s="1"/>
    </row>
    <row r="12711">
      <c r="A12711" s="1" t="str">
        <f>IFERROR(__xludf.DUMMYFUNCTION("""COMPUTED_VALUE"""),"139765;INF109KB1ZV4;-;ICICI Prudential Multiple Yield Fund - Series 11 - Plan B 1394 Days Direct Plan Dividend Option;13.0290;03-Jul-2020")</f>
        <v>139765;INF109KB1ZV4;-;ICICI Prudential Multiple Yield Fund - Series 11 - Plan B 1394 Days Direct Plan Dividend Option;13.0290;03-Jul-2020</v>
      </c>
      <c r="B12711" s="1"/>
    </row>
    <row r="12712">
      <c r="A12712" s="1" t="str">
        <f>IFERROR(__xludf.DUMMYFUNCTION("""COMPUTED_VALUE"""),"139766;INF109KB1ZX0;-;ICICI Prudential Multiple Yield Fund - Series 11 - Plan B 1394 Days Dividend Option;12.5765;03-Jul-2020")</f>
        <v>139766;INF109KB1ZX0;-;ICICI Prudential Multiple Yield Fund - Series 11 - Plan B 1394 Days Dividend Option;12.5765;03-Jul-2020</v>
      </c>
      <c r="B12712" s="1"/>
    </row>
    <row r="12713">
      <c r="A12713" s="1" t="str">
        <f>IFERROR(__xludf.DUMMYFUNCTION("""COMPUTED_VALUE"""),"139996;INF109KB1G50;-;ICICI Prudential Multiple Yield Fund - Series 11 - Plan C 1387 Days Cumulative Option;12.2091;03-Aug-2020")</f>
        <v>139996;INF109KB1G50;-;ICICI Prudential Multiple Yield Fund - Series 11 - Plan C 1387 Days Cumulative Option;12.2091;03-Aug-2020</v>
      </c>
      <c r="B12713" s="1"/>
    </row>
    <row r="12714">
      <c r="A12714" s="1" t="str">
        <f>IFERROR(__xludf.DUMMYFUNCTION("""COMPUTED_VALUE"""),"139993;INF109KB1G35;-;ICICI Prudential Multiple Yield Fund - Series 11 - Plan C 1387 Days Direct Plan Cumulative Option;12.6591;03-Aug-2020")</f>
        <v>139993;INF109KB1G35;-;ICICI Prudential Multiple Yield Fund - Series 11 - Plan C 1387 Days Direct Plan Cumulative Option;12.6591;03-Aug-2020</v>
      </c>
      <c r="B12714" s="1"/>
    </row>
    <row r="12715">
      <c r="A12715" s="1" t="str">
        <f>IFERROR(__xludf.DUMMYFUNCTION("""COMPUTED_VALUE"""),"139995;INF109KB1G27;-;ICICI Prudential Multiple Yield Fund - Series 11 - Plan C 1387 Days Direct Plan Dividend Option;12.6591;03-Aug-2020")</f>
        <v>139995;INF109KB1G27;-;ICICI Prudential Multiple Yield Fund - Series 11 - Plan C 1387 Days Direct Plan Dividend Option;12.6591;03-Aug-2020</v>
      </c>
      <c r="B12715" s="1"/>
    </row>
    <row r="12716">
      <c r="A12716" s="1" t="str">
        <f>IFERROR(__xludf.DUMMYFUNCTION("""COMPUTED_VALUE"""),"139994;INF109KB1G43;-;ICICI Prudential Multiple Yield Fund - Series 11 - Plan C 1387 Days Dividend Option;12.2091;03-Aug-2020")</f>
        <v>139994;INF109KB1G43;-;ICICI Prudential Multiple Yield Fund - Series 11 - Plan C 1387 Days Dividend Option;12.2091;03-Aug-2020</v>
      </c>
      <c r="B12716" s="1"/>
    </row>
    <row r="12717">
      <c r="A12717" s="1" t="str">
        <f>IFERROR(__xludf.DUMMYFUNCTION("""COMPUTED_VALUE"""),"140060;INF109KB1J24;-;ICICI Prudential Multiple Yield Fund - Series 11 - Plan D 1361 Days - Cumulative Option;12.2695;30-Jul-2020")</f>
        <v>140060;INF109KB1J24;-;ICICI Prudential Multiple Yield Fund - Series 11 - Plan D 1361 Days - Cumulative Option;12.2695;30-Jul-2020</v>
      </c>
      <c r="B12717" s="1"/>
    </row>
    <row r="12718">
      <c r="A12718" s="1" t="str">
        <f>IFERROR(__xludf.DUMMYFUNCTION("""COMPUTED_VALUE"""),"140058;INF109KB1J08;-;ICICI Prudential Multiple Yield Fund - Series 11 - Plan D 1361 Days - Direct Plan - Cumulative Option;12.7366;30-Jul-2020")</f>
        <v>140058;INF109KB1J08;-;ICICI Prudential Multiple Yield Fund - Series 11 - Plan D 1361 Days - Direct Plan - Cumulative Option;12.7366;30-Jul-2020</v>
      </c>
      <c r="B12718" s="1"/>
    </row>
    <row r="12719">
      <c r="A12719" s="1" t="str">
        <f>IFERROR(__xludf.DUMMYFUNCTION("""COMPUTED_VALUE"""),"140059;INF109KB1J16;-;ICICI Prudential Multiple Yield Fund - Series 11 - Plan D 1361 Days - Direct Plan - Dividend Option;12.7366;30-Jul-2020")</f>
        <v>140059;INF109KB1J16;-;ICICI Prudential Multiple Yield Fund - Series 11 - Plan D 1361 Days - Direct Plan - Dividend Option;12.7366;30-Jul-2020</v>
      </c>
      <c r="B12719" s="1"/>
    </row>
    <row r="12720">
      <c r="A12720" s="1" t="str">
        <f>IFERROR(__xludf.DUMMYFUNCTION("""COMPUTED_VALUE"""),"140057;INF109KB1J32;-;ICICI Prudential Multiple Yield Fund - Series 11 - Plan D 1361 Days - Dividend Option;12.2695;30-Jul-2020")</f>
        <v>140057;INF109KB1J32;-;ICICI Prudential Multiple Yield Fund - Series 11 - Plan D 1361 Days - Dividend Option;12.2695;30-Jul-2020</v>
      </c>
      <c r="B12720" s="1"/>
    </row>
    <row r="12721">
      <c r="A12721" s="1" t="str">
        <f>IFERROR(__xludf.DUMMYFUNCTION("""COMPUTED_VALUE"""),"142381;INF109KC1630;-;ICICI Prudential Multiple Yield Fund - Series 14 - Plan A 1228 Days Cumulative Option;12.6723;02-Jul-2021")</f>
        <v>142381;INF109KC1630;-;ICICI Prudential Multiple Yield Fund - Series 14 - Plan A 1228 Days Cumulative Option;12.6723;02-Jul-2021</v>
      </c>
      <c r="B12721" s="1"/>
    </row>
    <row r="12722">
      <c r="A12722" s="1" t="str">
        <f>IFERROR(__xludf.DUMMYFUNCTION("""COMPUTED_VALUE"""),"142382;INF109KC1655;-;ICICI Prudential Multiple Yield Fund - Series 14 - Plan A 1228 Days Direct Plan Cumulative Option;12.9582;02-Jul-2021")</f>
        <v>142382;INF109KC1655;-;ICICI Prudential Multiple Yield Fund - Series 14 - Plan A 1228 Days Direct Plan Cumulative Option;12.9582;02-Jul-2021</v>
      </c>
      <c r="B12722" s="1"/>
    </row>
    <row r="12723">
      <c r="A12723" s="1" t="str">
        <f>IFERROR(__xludf.DUMMYFUNCTION("""COMPUTED_VALUE"""),"142379;INF109KC1663;-;ICICI Prudential Multiple Yield Fund - Series 14 - Plan A 1228 Days Direct Plan IDCW Option;12.9582;02-Jul-2021")</f>
        <v>142379;INF109KC1663;-;ICICI Prudential Multiple Yield Fund - Series 14 - Plan A 1228 Days Direct Plan IDCW Option;12.9582;02-Jul-2021</v>
      </c>
      <c r="B12723" s="1"/>
    </row>
    <row r="12724">
      <c r="A12724" s="1" t="str">
        <f>IFERROR(__xludf.DUMMYFUNCTION("""COMPUTED_VALUE"""),"142380;INF109KC1648;-;ICICI Prudential Multiple Yield Fund - Series 14 - Plan A 1228 Days IDCW Option;12.6723;02-Jul-2021")</f>
        <v>142380;INF109KC1648;-;ICICI Prudential Multiple Yield Fund - Series 14 - Plan A 1228 Days IDCW Option;12.6723;02-Jul-2021</v>
      </c>
      <c r="B12724" s="1"/>
    </row>
    <row r="12725">
      <c r="A12725" s="1" t="str">
        <f>IFERROR(__xludf.DUMMYFUNCTION("""COMPUTED_VALUE"""),"121513;INF109K017R5;-;ICICI Prudential Multiple Yield Fund - Series 3 - Plan A - Cumulative;13.6795;31-Mar-2016")</f>
        <v>121513;INF109K017R5;-;ICICI Prudential Multiple Yield Fund - Series 3 - Plan A - Cumulative;13.6795;31-Mar-2016</v>
      </c>
      <c r="B12725" s="1"/>
    </row>
    <row r="12726">
      <c r="A12726" s="1" t="str">
        <f>IFERROR(__xludf.DUMMYFUNCTION("""COMPUTED_VALUE"""),"121510;INF109K019R1;-;ICICI Prudential Multiple Yield Fund - Series 3 - Plan A - Direct Plan - Cumulative;14.1491;31-Mar-2016")</f>
        <v>121510;INF109K019R1;-;ICICI Prudential Multiple Yield Fund - Series 3 - Plan A - Direct Plan - Cumulative;14.1491;31-Mar-2016</v>
      </c>
      <c r="B12726" s="1"/>
    </row>
    <row r="12727">
      <c r="A12727" s="1" t="str">
        <f>IFERROR(__xludf.DUMMYFUNCTION("""COMPUTED_VALUE"""),"121512;INF109K010S8;-;ICICI Prudential Multiple Yield Fund - Series 3 - Plan A - Direct Plan - Dividend;12.1627;31-Mar-2016")</f>
        <v>121512;INF109K010S8;-;ICICI Prudential Multiple Yield Fund - Series 3 - Plan A - Direct Plan - Dividend;12.1627;31-Mar-2016</v>
      </c>
      <c r="B12727" s="1"/>
    </row>
    <row r="12728">
      <c r="A12728" s="1" t="str">
        <f>IFERROR(__xludf.DUMMYFUNCTION("""COMPUTED_VALUE"""),"121511;INF109K018R3;-;ICICI Prudential Multiple Yield Fund - Series 3 - Plan A -Dividend;11.9359;31-Mar-2016")</f>
        <v>121511;INF109K018R3;-;ICICI Prudential Multiple Yield Fund - Series 3 - Plan A -Dividend;11.9359;31-Mar-2016</v>
      </c>
      <c r="B12728" s="1"/>
    </row>
    <row r="12729">
      <c r="A12729" s="1" t="str">
        <f>IFERROR(__xludf.DUMMYFUNCTION("""COMPUTED_VALUE"""),"122251;INF109K013X2;-;ICICI Prudential Multiple Yield Fund - Series 3 - Plan B - Cumulative;13.4418;09-May-2016")</f>
        <v>122251;INF109K013X2;-;ICICI Prudential Multiple Yield Fund - Series 3 - Plan B - Cumulative;13.4418;09-May-2016</v>
      </c>
      <c r="B12729" s="1"/>
    </row>
    <row r="12730">
      <c r="A12730" s="1" t="str">
        <f>IFERROR(__xludf.DUMMYFUNCTION("""COMPUTED_VALUE"""),"122249;INF109K015X7;-;ICICI Prudential Multiple Yield Fund - Series 3 - Plan B - Direct Plan - Cumulative;13.9543;09-May-2016")</f>
        <v>122249;INF109K015X7;-;ICICI Prudential Multiple Yield Fund - Series 3 - Plan B - Direct Plan - Cumulative;13.9543;09-May-2016</v>
      </c>
      <c r="B12730" s="1"/>
    </row>
    <row r="12731">
      <c r="A12731" s="1" t="str">
        <f>IFERROR(__xludf.DUMMYFUNCTION("""COMPUTED_VALUE"""),"122250;INF109K016X5;-;ICICI Prudential Multiple Yield Fund - Series 3 - Plan B - Direct Plan - Dividend;12.2117;09-May-2016")</f>
        <v>122250;INF109K016X5;-;ICICI Prudential Multiple Yield Fund - Series 3 - Plan B - Direct Plan - Dividend;12.2117;09-May-2016</v>
      </c>
      <c r="B12731" s="1"/>
    </row>
    <row r="12732">
      <c r="A12732" s="1" t="str">
        <f>IFERROR(__xludf.DUMMYFUNCTION("""COMPUTED_VALUE"""),"122252;INF109K014X0;-;ICICI Prudential Multiple Yield Fund - Series 3 - Plan B -Dividend;11.9416;09-May-2016")</f>
        <v>122252;INF109K014X0;-;ICICI Prudential Multiple Yield Fund - Series 3 - Plan B -Dividend;11.9416;09-May-2016</v>
      </c>
      <c r="B12732" s="1"/>
    </row>
    <row r="12733">
      <c r="A12733" s="1" t="str">
        <f>IFERROR(__xludf.DUMMYFUNCTION("""COMPUTED_VALUE"""),"122402;INF109KA1087;-;ICICI Prudential Multiple Yield Fund - Series 3 - Plan C - Cumulative;15.5680;15-Apr-2019")</f>
        <v>122402;INF109KA1087;-;ICICI Prudential Multiple Yield Fund - Series 3 - Plan C - Cumulative;15.5680;15-Apr-2019</v>
      </c>
      <c r="B12733" s="1"/>
    </row>
    <row r="12734">
      <c r="A12734" s="1" t="str">
        <f>IFERROR(__xludf.DUMMYFUNCTION("""COMPUTED_VALUE"""),"122403;INF109KA1079;-;ICICI Prudential Multiple Yield Fund - Series 3 - Plan C - Direct Plan - Cumulative;16.6135;15-Apr-2019")</f>
        <v>122403;INF109KA1079;-;ICICI Prudential Multiple Yield Fund - Series 3 - Plan C - Direct Plan - Cumulative;16.6135;15-Apr-2019</v>
      </c>
      <c r="B12734" s="1"/>
    </row>
    <row r="12735">
      <c r="A12735" s="1" t="str">
        <f>IFERROR(__xludf.DUMMYFUNCTION("""COMPUTED_VALUE"""),"122401;INF109KA1061;-;ICICI Prudential Multiple Yield Fund - Series 3 - Plan C - Direct Plan - Dividend;11.9706;24-May-2016")</f>
        <v>122401;INF109KA1061;-;ICICI Prudential Multiple Yield Fund - Series 3 - Plan C - Direct Plan - Dividend;11.9706;24-May-2016</v>
      </c>
      <c r="B12735" s="1"/>
    </row>
    <row r="12736">
      <c r="A12736" s="1" t="str">
        <f>IFERROR(__xludf.DUMMYFUNCTION("""COMPUTED_VALUE"""),"122404;INF109KA1095;-;ICICI Prudential Multiple Yield Fund - Series 3 - Plan C -Dividend;11.7260;24-May-2016")</f>
        <v>122404;INF109KA1095;-;ICICI Prudential Multiple Yield Fund - Series 3 - Plan C -Dividend;11.7260;24-May-2016</v>
      </c>
      <c r="B12736" s="1"/>
    </row>
    <row r="12737">
      <c r="A12737" s="1" t="str">
        <f>IFERROR(__xludf.DUMMYFUNCTION("""COMPUTED_VALUE"""),"122441;INF109KB1WM0;-;ICICI Prudential Multiple Yield Fund - Series 3 - Plan D - Cumulative;15.6067;15-Apr-2019")</f>
        <v>122441;INF109KB1WM0;-;ICICI Prudential Multiple Yield Fund - Series 3 - Plan D - Cumulative;15.6067;15-Apr-2019</v>
      </c>
      <c r="B12737" s="1"/>
    </row>
    <row r="12738">
      <c r="A12738" s="1" t="str">
        <f>IFERROR(__xludf.DUMMYFUNCTION("""COMPUTED_VALUE"""),"122439;INF109KB1WO6;-;ICICI Prudential Multiple Yield Fund - Series 3 - Plan D - Direct Plan - Cumulative;16.5876;15-Apr-2019")</f>
        <v>122439;INF109KB1WO6;-;ICICI Prudential Multiple Yield Fund - Series 3 - Plan D - Direct Plan - Cumulative;16.5876;15-Apr-2019</v>
      </c>
      <c r="B12738" s="1"/>
    </row>
    <row r="12739">
      <c r="A12739" s="1" t="str">
        <f>IFERROR(__xludf.DUMMYFUNCTION("""COMPUTED_VALUE"""),"122440;INF109KB1WP3;-;ICICI Prudential Multiple Yield Fund - Series 3 - Plan D - Direct Plan - Dividend;14.3827;15-Apr-2019")</f>
        <v>122440;INF109KB1WP3;-;ICICI Prudential Multiple Yield Fund - Series 3 - Plan D - Direct Plan - Dividend;14.3827;15-Apr-2019</v>
      </c>
      <c r="B12739" s="1"/>
    </row>
    <row r="12740">
      <c r="A12740" s="1" t="str">
        <f>IFERROR(__xludf.DUMMYFUNCTION("""COMPUTED_VALUE"""),"122442;INF109KB1WN8;-;ICICI Prudential Multiple Yield Fund - Series 3 - Plan D -Dividend;13.7375;15-Apr-2019")</f>
        <v>122442;INF109KB1WN8;-;ICICI Prudential Multiple Yield Fund - Series 3 - Plan D -Dividend;13.7375;15-Apr-2019</v>
      </c>
      <c r="B12740" s="1"/>
    </row>
    <row r="12741">
      <c r="A12741" s="1" t="str">
        <f>IFERROR(__xludf.DUMMYFUNCTION("""COMPUTED_VALUE"""),"122662;INF109KA1442;-;ICICI Prudential Multiple Yield Fund - Series 4 - 1100 Days - Plan C - Cumulative;13.5471;07-Jul-2016")</f>
        <v>122662;INF109KA1442;-;ICICI Prudential Multiple Yield Fund - Series 4 - 1100 Days - Plan C - Cumulative;13.5471;07-Jul-2016</v>
      </c>
      <c r="B12741" s="1"/>
    </row>
    <row r="12742">
      <c r="A12742" s="1" t="str">
        <f>IFERROR(__xludf.DUMMYFUNCTION("""COMPUTED_VALUE"""),"122661;INF109KA1467;-;ICICI Prudential Multiple Yield Fund - Series 4 - 1100 Days - Plan C - Direct Plan - Cumulative;14.0558;07-Jul-2016")</f>
        <v>122661;INF109KA1467;-;ICICI Prudential Multiple Yield Fund - Series 4 - 1100 Days - Plan C - Direct Plan - Cumulative;14.0558;07-Jul-2016</v>
      </c>
      <c r="B12742" s="1"/>
    </row>
    <row r="12743">
      <c r="A12743" s="1" t="str">
        <f>IFERROR(__xludf.DUMMYFUNCTION("""COMPUTED_VALUE"""),"122664;INF109KA1475;-;ICICI Prudential Multiple Yield Fund - Series 4 - 1100 Days - Plan C - Direct Plan - Dividend;12.1789;07-Jul-2016")</f>
        <v>122664;INF109KA1475;-;ICICI Prudential Multiple Yield Fund - Series 4 - 1100 Days - Plan C - Direct Plan - Dividend;12.1789;07-Jul-2016</v>
      </c>
      <c r="B12743" s="1"/>
    </row>
    <row r="12744">
      <c r="A12744" s="1" t="str">
        <f>IFERROR(__xludf.DUMMYFUNCTION("""COMPUTED_VALUE"""),"122663;INF109KA1459;-;ICICI Prudential Multiple Yield Fund - Series 4 - 1100 Days - Plan C - Dividend;11.9043;07-Jul-2016")</f>
        <v>122663;INF109KA1459;-;ICICI Prudential Multiple Yield Fund - Series 4 - 1100 Days - Plan C - Dividend;11.9043;07-Jul-2016</v>
      </c>
      <c r="B12744" s="1"/>
    </row>
    <row r="12745">
      <c r="A12745" s="1" t="str">
        <f>IFERROR(__xludf.DUMMYFUNCTION("""COMPUTED_VALUE"""),"122853;INF109KA1806;-;ICICI Prudential Multiple Yield Fund - Series 4 - 1100 Days - Plan E - Cumulative;13.8680;28-Jul-2016")</f>
        <v>122853;INF109KA1806;-;ICICI Prudential Multiple Yield Fund - Series 4 - 1100 Days - Plan E - Cumulative;13.8680;28-Jul-2016</v>
      </c>
      <c r="B12745" s="1"/>
    </row>
    <row r="12746">
      <c r="A12746" s="1" t="str">
        <f>IFERROR(__xludf.DUMMYFUNCTION("""COMPUTED_VALUE"""),"122850;INF109KA1822;-;ICICI Prudential Multiple Yield Fund - Series 4 - 1100 Days - Plan E - Direct Plan - Cumulative;14.3494;28-Jul-2016")</f>
        <v>122850;INF109KA1822;-;ICICI Prudential Multiple Yield Fund - Series 4 - 1100 Days - Plan E - Direct Plan - Cumulative;14.3494;28-Jul-2016</v>
      </c>
      <c r="B12746" s="1"/>
    </row>
    <row r="12747">
      <c r="A12747" s="1" t="str">
        <f>IFERROR(__xludf.DUMMYFUNCTION("""COMPUTED_VALUE"""),"122852;INF109KA1830;-;ICICI Prudential Multiple Yield Fund - Series 4 - 1100 Days - Plan E - Direct Plan - Dividend;12.5218;28-Jul-2016")</f>
        <v>122852;INF109KA1830;-;ICICI Prudential Multiple Yield Fund - Series 4 - 1100 Days - Plan E - Direct Plan - Dividend;12.5218;28-Jul-2016</v>
      </c>
      <c r="B12747" s="1"/>
    </row>
    <row r="12748">
      <c r="A12748" s="1" t="str">
        <f>IFERROR(__xludf.DUMMYFUNCTION("""COMPUTED_VALUE"""),"122851;INF109KA1814;-;ICICI Prudential Multiple Yield Fund - Series 4 - 1100 Days - Plan E -Dividend;12.2607;28-Jul-2016")</f>
        <v>122851;INF109KA1814;-;ICICI Prudential Multiple Yield Fund - Series 4 - 1100 Days - Plan E -Dividend;12.2607;28-Jul-2016</v>
      </c>
      <c r="B12748" s="1"/>
    </row>
    <row r="12749">
      <c r="A12749" s="1" t="str">
        <f>IFERROR(__xludf.DUMMYFUNCTION("""COMPUTED_VALUE"""),"122532;INF109KA1285;-;ICICI Prudential Multiple Yield Fund - Series 4 - 1825 Days - Plan A - Direct Plan - Cumulative;17.3967;04-Jun-2018")</f>
        <v>122532;INF109KA1285;-;ICICI Prudential Multiple Yield Fund - Series 4 - 1825 Days - Plan A - Direct Plan - Cumulative;17.3967;04-Jun-2018</v>
      </c>
      <c r="B12749" s="1"/>
    </row>
    <row r="12750">
      <c r="A12750" s="1" t="str">
        <f>IFERROR(__xludf.DUMMYFUNCTION("""COMPUTED_VALUE"""),"122533;INF109KA1293;-;ICICI Prudential Multiple Yield Fund - Series 4 - 1825 Days - Plan A - Direct Plan - Dividend;14.5419;04-Jun-2018")</f>
        <v>122533;INF109KA1293;-;ICICI Prudential Multiple Yield Fund - Series 4 - 1825 Days - Plan A - Direct Plan - Dividend;14.5419;04-Jun-2018</v>
      </c>
      <c r="B12750" s="1"/>
    </row>
    <row r="12751">
      <c r="A12751" s="1" t="str">
        <f>IFERROR(__xludf.DUMMYFUNCTION("""COMPUTED_VALUE"""),"122534;INF109KA1277;-;ICICI Prudential Multiple Yield Fund - Series 4 - 1825 Days - Plan A - Dividend;14.0620;04-Jun-2018")</f>
        <v>122534;INF109KA1277;-;ICICI Prudential Multiple Yield Fund - Series 4 - 1825 Days - Plan A - Dividend;14.0620;04-Jun-2018</v>
      </c>
      <c r="B12751" s="1"/>
    </row>
    <row r="12752">
      <c r="A12752" s="1" t="str">
        <f>IFERROR(__xludf.DUMMYFUNCTION("""COMPUTED_VALUE"""),"122535;INF109KA1269;-;ICICI Prudential Multiple Yield Fund - Series 4 - 1825 Days - Plan A -Cumulative;16.5747;04-Jun-2018")</f>
        <v>122535;INF109KA1269;-;ICICI Prudential Multiple Yield Fund - Series 4 - 1825 Days - Plan A -Cumulative;16.5747;04-Jun-2018</v>
      </c>
      <c r="B12752" s="1"/>
    </row>
    <row r="12753">
      <c r="A12753" s="1" t="str">
        <f>IFERROR(__xludf.DUMMYFUNCTION("""COMPUTED_VALUE"""),"122658;INF109KA1483;-;ICICI Prudential Multiple Yield Fund - Series 4 - 1825 Days - Plan B - Cumulative;16.5577;02-Jul-2018")</f>
        <v>122658;INF109KA1483;-;ICICI Prudential Multiple Yield Fund - Series 4 - 1825 Days - Plan B - Cumulative;16.5577;02-Jul-2018</v>
      </c>
      <c r="B12753" s="1"/>
    </row>
    <row r="12754">
      <c r="A12754" s="1" t="str">
        <f>IFERROR(__xludf.DUMMYFUNCTION("""COMPUTED_VALUE"""),"122659;INF109KA1509;-;ICICI Prudential Multiple Yield Fund - Series 4 - 1825 Days - Plan B - Direct Plan - Cumulative;17.5395;02-Jul-2018")</f>
        <v>122659;INF109KA1509;-;ICICI Prudential Multiple Yield Fund - Series 4 - 1825 Days - Plan B - Direct Plan - Cumulative;17.5395;02-Jul-2018</v>
      </c>
      <c r="B12754" s="1"/>
    </row>
    <row r="12755">
      <c r="A12755" s="1" t="str">
        <f>IFERROR(__xludf.DUMMYFUNCTION("""COMPUTED_VALUE"""),"122657;INF109KA1517;-;ICICI Prudential Multiple Yield Fund - Series 4 - 1825 Days - Plan B - Direct Plan - Dividend;14.6872;02-Jul-2018")</f>
        <v>122657;INF109KA1517;-;ICICI Prudential Multiple Yield Fund - Series 4 - 1825 Days - Plan B - Direct Plan - Dividend;14.6872;02-Jul-2018</v>
      </c>
      <c r="B12755" s="1"/>
    </row>
    <row r="12756">
      <c r="A12756" s="1" t="str">
        <f>IFERROR(__xludf.DUMMYFUNCTION("""COMPUTED_VALUE"""),"122660;INF109KA1491;-;ICICI Prudential Multiple Yield Fund - Series 4 - 1825 Days - Plan B -Dividend;14.0745;02-Jul-2018")</f>
        <v>122660;INF109KA1491;-;ICICI Prudential Multiple Yield Fund - Series 4 - 1825 Days - Plan B -Dividend;14.0745;02-Jul-2018</v>
      </c>
      <c r="B12756" s="1"/>
    </row>
    <row r="12757">
      <c r="A12757" s="1" t="str">
        <f>IFERROR(__xludf.DUMMYFUNCTION("""COMPUTED_VALUE"""),"122755;INF109KA1566;-;ICICI Prudential Multiple Yield Fund - Series 4 - 1825 Days - Plan D - Cumulative;16.4553;03-Jul-2018")</f>
        <v>122755;INF109KA1566;-;ICICI Prudential Multiple Yield Fund - Series 4 - 1825 Days - Plan D - Cumulative;16.4553;03-Jul-2018</v>
      </c>
      <c r="B12757" s="1"/>
    </row>
    <row r="12758">
      <c r="A12758" s="1" t="str">
        <f>IFERROR(__xludf.DUMMYFUNCTION("""COMPUTED_VALUE"""),"122754;INF109KA1582;-;ICICI Prudential Multiple Yield Fund - Series 4 - 1825 Days - Plan D - Direct Plan - Cumulative;17.2792;03-Jul-2018")</f>
        <v>122754;INF109KA1582;-;ICICI Prudential Multiple Yield Fund - Series 4 - 1825 Days - Plan D - Direct Plan - Cumulative;17.2792;03-Jul-2018</v>
      </c>
      <c r="B12758" s="1"/>
    </row>
    <row r="12759">
      <c r="A12759" s="1" t="str">
        <f>IFERROR(__xludf.DUMMYFUNCTION("""COMPUTED_VALUE"""),"122753;INF109KA1590;-;ICICI Prudential Multiple Yield Fund - Series 4 - 1825 Days - Plan D - Direct Plan - Dividend;14.3576;03-Jul-2018")</f>
        <v>122753;INF109KA1590;-;ICICI Prudential Multiple Yield Fund - Series 4 - 1825 Days - Plan D - Direct Plan - Dividend;14.3576;03-Jul-2018</v>
      </c>
      <c r="B12759" s="1"/>
    </row>
    <row r="12760">
      <c r="A12760" s="1" t="str">
        <f>IFERROR(__xludf.DUMMYFUNCTION("""COMPUTED_VALUE"""),"122756;INF109KA1574;-;ICICI Prudential Multiple Yield Fund - Series 4 - 1825 Days - Plan D -Dividend;13.883;03-Jul-2018")</f>
        <v>122756;INF109KA1574;-;ICICI Prudential Multiple Yield Fund - Series 4 - 1825 Days - Plan D -Dividend;13.883;03-Jul-2018</v>
      </c>
      <c r="B12760" s="1"/>
    </row>
    <row r="12761">
      <c r="A12761" s="1" t="str">
        <f>IFERROR(__xludf.DUMMYFUNCTION("""COMPUTED_VALUE"""),"124138;INF109KA1DH1;-;ICICI Prudential Multiple Yield Fund - Series 5 - 1100 Days - Plan A - Cumulative;14.1024;27-Sep-2016")</f>
        <v>124138;INF109KA1DH1;-;ICICI Prudential Multiple Yield Fund - Series 5 - 1100 Days - Plan A - Cumulative;14.1024;27-Sep-2016</v>
      </c>
      <c r="B12761" s="1"/>
    </row>
    <row r="12762">
      <c r="A12762" s="1" t="str">
        <f>IFERROR(__xludf.DUMMYFUNCTION("""COMPUTED_VALUE"""),"124140;INF109KA1DF5;-;ICICI Prudential Multiple Yield Fund - Series 5 - 1100 Days - Plan A - Direct Plan - Cumulative;14.7044;27-Sep-2016")</f>
        <v>124140;INF109KA1DF5;-;ICICI Prudential Multiple Yield Fund - Series 5 - 1100 Days - Plan A - Direct Plan - Cumulative;14.7044;27-Sep-2016</v>
      </c>
      <c r="B12762" s="1"/>
    </row>
    <row r="12763">
      <c r="A12763" s="1" t="str">
        <f>IFERROR(__xludf.DUMMYFUNCTION("""COMPUTED_VALUE"""),"124141;INF109KA1DG3;-;ICICI Prudential Multiple Yield Fund - Series 5 - 1100 Days - Plan A - Direct Plan - Dividend;12.8852;27-Sep-2016")</f>
        <v>124141;INF109KA1DG3;-;ICICI Prudential Multiple Yield Fund - Series 5 - 1100 Days - Plan A - Direct Plan - Dividend;12.8852;27-Sep-2016</v>
      </c>
      <c r="B12763" s="1"/>
    </row>
    <row r="12764">
      <c r="A12764" s="1" t="str">
        <f>IFERROR(__xludf.DUMMYFUNCTION("""COMPUTED_VALUE"""),"124139;INF109KA1DI9;-;ICICI Prudential Multiple Yield Fund - Series 5 - 1100 Days - Plan A - Dividend;12.5433;27-Sep-2016")</f>
        <v>124139;INF109KA1DI9;-;ICICI Prudential Multiple Yield Fund - Series 5 - 1100 Days - Plan A - Dividend;12.5433;27-Sep-2016</v>
      </c>
      <c r="B12764" s="1"/>
    </row>
    <row r="12765">
      <c r="A12765" s="1" t="str">
        <f>IFERROR(__xludf.DUMMYFUNCTION("""COMPUTED_VALUE"""),"125263;INF109KA1HB5;-;ICICI Prudential Multiple Yield Fund - Series 5 - 1100 Days - Plan B - Direct Plan - Cumulative;13.7804;07-Dec-2016")</f>
        <v>125263;INF109KA1HB5;-;ICICI Prudential Multiple Yield Fund - Series 5 - 1100 Days - Plan B - Direct Plan - Cumulative;13.7804;07-Dec-2016</v>
      </c>
      <c r="B12765" s="1"/>
    </row>
    <row r="12766">
      <c r="A12766" s="1" t="str">
        <f>IFERROR(__xludf.DUMMYFUNCTION("""COMPUTED_VALUE"""),"125260;INF109KA1HC3;-;ICICI Prudential Multiple Yield Fund - Series 5 - 1100 Days - Plan B - Direct Plan - Dividend;12.5216;07-Dec-2016")</f>
        <v>125260;INF109KA1HC3;-;ICICI Prudential Multiple Yield Fund - Series 5 - 1100 Days - Plan B - Direct Plan - Dividend;12.5216;07-Dec-2016</v>
      </c>
      <c r="B12766" s="1"/>
    </row>
    <row r="12767">
      <c r="A12767" s="1" t="str">
        <f>IFERROR(__xludf.DUMMYFUNCTION("""COMPUTED_VALUE"""),"125262;INF109KA1HE9;-;ICICI Prudential Multiple Yield Fund - Series 5 - 1100 Days - Plan B - Dividend;12.1846;07-Dec-2016")</f>
        <v>125262;INF109KA1HE9;-;ICICI Prudential Multiple Yield Fund - Series 5 - 1100 Days - Plan B - Dividend;12.1846;07-Dec-2016</v>
      </c>
      <c r="B12767" s="1"/>
    </row>
    <row r="12768">
      <c r="A12768" s="1" t="str">
        <f>IFERROR(__xludf.DUMMYFUNCTION("""COMPUTED_VALUE"""),"125261;INF109KA1HD1;-;ICICI Prudential Multiple Yield Fund - Series 5 - 1100 Days - Plan B -Cumulative;13.2516;07-Dec-2016")</f>
        <v>125261;INF109KA1HD1;-;ICICI Prudential Multiple Yield Fund - Series 5 - 1100 Days - Plan B -Cumulative;13.2516;07-Dec-2016</v>
      </c>
      <c r="B12768" s="1"/>
    </row>
    <row r="12769">
      <c r="A12769" s="1" t="str">
        <f>IFERROR(__xludf.DUMMYFUNCTION("""COMPUTED_VALUE"""),"126114;INF109KA1JP1;-;ICICI Prudential Multiple Yield Fund - Series 5 - 1100 Days - Plan D - Direct Plan - Cumulative;14.0847;01-Feb-2017")</f>
        <v>126114;INF109KA1JP1;-;ICICI Prudential Multiple Yield Fund - Series 5 - 1100 Days - Plan D - Direct Plan - Cumulative;14.0847;01-Feb-2017</v>
      </c>
      <c r="B12769" s="1"/>
    </row>
    <row r="12770">
      <c r="A12770" s="1" t="str">
        <f>IFERROR(__xludf.DUMMYFUNCTION("""COMPUTED_VALUE"""),"126115;INF109KA1JQ9;-;ICICI Prudential Multiple Yield Fund - Series 5 - 1100 Days - Plan D - Direct Plan - Dividend;12.8260;01-Feb-2017")</f>
        <v>126115;INF109KA1JQ9;-;ICICI Prudential Multiple Yield Fund - Series 5 - 1100 Days - Plan D - Direct Plan - Dividend;12.8260;01-Feb-2017</v>
      </c>
      <c r="B12770" s="1"/>
    </row>
    <row r="12771">
      <c r="A12771" s="1" t="str">
        <f>IFERROR(__xludf.DUMMYFUNCTION("""COMPUTED_VALUE"""),"126116;INF109KA1JN6;-;ICICI Prudential Multiple Yield Fund - Series 5 - 1100 Days - Plan D -Cumulative;13.4961;01-Feb-2017")</f>
        <v>126116;INF109KA1JN6;-;ICICI Prudential Multiple Yield Fund - Series 5 - 1100 Days - Plan D -Cumulative;13.4961;01-Feb-2017</v>
      </c>
      <c r="B12771" s="1"/>
    </row>
    <row r="12772">
      <c r="A12772" s="1" t="str">
        <f>IFERROR(__xludf.DUMMYFUNCTION("""COMPUTED_VALUE"""),"126113;INF109KA1JO4;-;ICICI Prudential Multiple Yield Fund - Series 5 - 1100 Days - Plan D -Dividend;12.4104;01-Feb-2017")</f>
        <v>126113;INF109KA1JO4;-;ICICI Prudential Multiple Yield Fund - Series 5 - 1100 Days - Plan D -Dividend;12.4104;01-Feb-2017</v>
      </c>
      <c r="B12772" s="1"/>
    </row>
    <row r="12773">
      <c r="A12773" s="1" t="str">
        <f>IFERROR(__xludf.DUMMYFUNCTION("""COMPUTED_VALUE"""),"126086;INF109KA1JJ4;-;ICICI Prudential Multiple Yield Fund - Series 5 - 1825 Days - Plan C - Cumulative;15.5410;07-Jan-2019")</f>
        <v>126086;INF109KA1JJ4;-;ICICI Prudential Multiple Yield Fund - Series 5 - 1825 Days - Plan C - Cumulative;15.5410;07-Jan-2019</v>
      </c>
      <c r="B12773" s="1"/>
    </row>
    <row r="12774">
      <c r="A12774" s="1" t="str">
        <f>IFERROR(__xludf.DUMMYFUNCTION("""COMPUTED_VALUE"""),"126088;INF109KA1JL0;-;ICICI Prudential Multiple Yield Fund - Series 5 - 1825 Days - Plan C - Direct Plan - Cumulative;16.5513;07-Jan-2019")</f>
        <v>126088;INF109KA1JL0;-;ICICI Prudential Multiple Yield Fund - Series 5 - 1825 Days - Plan C - Direct Plan - Cumulative;16.5513;07-Jan-2019</v>
      </c>
      <c r="B12774" s="1"/>
    </row>
    <row r="12775">
      <c r="A12775" s="1" t="str">
        <f>IFERROR(__xludf.DUMMYFUNCTION("""COMPUTED_VALUE"""),"126087;INF109KA1JK2;-;ICICI Prudential Multiple Yield Fund - Series 5 - 1825 Days - Plan C - Dividend;13.8636;07-Jan-2019")</f>
        <v>126087;INF109KA1JK2;-;ICICI Prudential Multiple Yield Fund - Series 5 - 1825 Days - Plan C - Dividend;13.8636;07-Jan-2019</v>
      </c>
      <c r="B12775" s="1"/>
    </row>
    <row r="12776">
      <c r="A12776" s="1" t="str">
        <f>IFERROR(__xludf.DUMMYFUNCTION("""COMPUTED_VALUE"""),"127129;INF109KA1ND9;-;ICICI Prudential Multiple Yield Fund - Series 6 - 1100 Days - Plan A - Direct Plan - Cumulative;13.9143;28-Feb-2017")</f>
        <v>127129;INF109KA1ND9;-;ICICI Prudential Multiple Yield Fund - Series 6 - 1100 Days - Plan A - Direct Plan - Cumulative;13.9143;28-Feb-2017</v>
      </c>
      <c r="B12776" s="1"/>
    </row>
    <row r="12777">
      <c r="A12777" s="1" t="str">
        <f>IFERROR(__xludf.DUMMYFUNCTION("""COMPUTED_VALUE"""),"127131;INF109KA1NB3;-;ICICI Prudential Multiple Yield Fund - Series 6 - 1100 Days - Plan A -Cumulative;13.3560;28-Feb-2017")</f>
        <v>127131;INF109KA1NB3;-;ICICI Prudential Multiple Yield Fund - Series 6 - 1100 Days - Plan A -Cumulative;13.3560;28-Feb-2017</v>
      </c>
      <c r="B12777" s="1"/>
    </row>
    <row r="12778">
      <c r="A12778" s="1" t="str">
        <f>IFERROR(__xludf.DUMMYFUNCTION("""COMPUTED_VALUE"""),"127132;INF109KA1NC1;-;ICICI Prudential Multiple Yield Fund - Series 6 - 1100 Days - Plan A -Dividend;12.3592;28-Feb-2017")</f>
        <v>127132;INF109KA1NC1;-;ICICI Prudential Multiple Yield Fund - Series 6 - 1100 Days - Plan A -Dividend;12.3592;28-Feb-2017</v>
      </c>
      <c r="B12778" s="1"/>
    </row>
    <row r="12779">
      <c r="A12779" s="1" t="str">
        <f>IFERROR(__xludf.DUMMYFUNCTION("""COMPUTED_VALUE"""),"129068;INF109KA1SP2;-;ICICI Prudential Multiple Yield Fund - Series 6 - 1100 Days - Plan E - Direct Plan - Cumulative;13.5358;02-May-2017")</f>
        <v>129068;INF109KA1SP2;-;ICICI Prudential Multiple Yield Fund - Series 6 - 1100 Days - Plan E - Direct Plan - Cumulative;13.5358;02-May-2017</v>
      </c>
      <c r="B12779" s="1"/>
    </row>
    <row r="12780">
      <c r="A12780" s="1" t="str">
        <f>IFERROR(__xludf.DUMMYFUNCTION("""COMPUTED_VALUE"""),"129067;INF109KA1SQ0;-;ICICI Prudential Multiple Yield Fund - Series 6 - 1100 Days - Plan E - Direct Plan - Dividend;12.6864;02-May-2017")</f>
        <v>129067;INF109KA1SQ0;-;ICICI Prudential Multiple Yield Fund - Series 6 - 1100 Days - Plan E - Direct Plan - Dividend;12.6864;02-May-2017</v>
      </c>
      <c r="B12780" s="1"/>
    </row>
    <row r="12781">
      <c r="A12781" s="1" t="str">
        <f>IFERROR(__xludf.DUMMYFUNCTION("""COMPUTED_VALUE"""),"129066;INF109KA1SN7;-;ICICI Prudential Multiple Yield Fund - Series 6 - 1100 Days - Plan E -Cumulative;12.9746;02-May-2017")</f>
        <v>129066;INF109KA1SN7;-;ICICI Prudential Multiple Yield Fund - Series 6 - 1100 Days - Plan E -Cumulative;12.9746;02-May-2017</v>
      </c>
      <c r="B12781" s="1"/>
    </row>
    <row r="12782">
      <c r="A12782" s="1" t="str">
        <f>IFERROR(__xludf.DUMMYFUNCTION("""COMPUTED_VALUE"""),"129069;INF109KA1SO5;-;ICICI Prudential Multiple Yield Fund - Series 6 - 1100 Days - Plan E -Dividend;12.2433;02-May-2017")</f>
        <v>129069;INF109KA1SO5;-;ICICI Prudential Multiple Yield Fund - Series 6 - 1100 Days - Plan E -Dividend;12.2433;02-May-2017</v>
      </c>
      <c r="B12782" s="1"/>
    </row>
    <row r="12783">
      <c r="A12783" s="1" t="str">
        <f>IFERROR(__xludf.DUMMYFUNCTION("""COMPUTED_VALUE"""),"128207;INF109KA1PP8;-;ICICI Prudential Multiple Yield Fund - Series 6 - 1125 Days - Plan B - Cumulative;13.1596;24-Apr-2017")</f>
        <v>128207;INF109KA1PP8;-;ICICI Prudential Multiple Yield Fund - Series 6 - 1125 Days - Plan B - Cumulative;13.1596;24-Apr-2017</v>
      </c>
      <c r="B12783" s="1"/>
    </row>
    <row r="12784">
      <c r="A12784" s="1" t="str">
        <f>IFERROR(__xludf.DUMMYFUNCTION("""COMPUTED_VALUE"""),"128205;INF109KA1PR4;-;ICICI Prudential Multiple Yield Fund - Series 6 - 1125 Days - Plan B - Direct Plan - Cumulative;13.7037;24-Apr-2017")</f>
        <v>128205;INF109KA1PR4;-;ICICI Prudential Multiple Yield Fund - Series 6 - 1125 Days - Plan B - Direct Plan - Cumulative;13.7037;24-Apr-2017</v>
      </c>
      <c r="B12784" s="1"/>
    </row>
    <row r="12785">
      <c r="A12785" s="1" t="str">
        <f>IFERROR(__xludf.DUMMYFUNCTION("""COMPUTED_VALUE"""),"128206;INF109KA1PS2;-;ICICI Prudential Multiple Yield Fund - Series 6 - 1125 Days - Plan B - Direct Plan - Dividend;12.7917;24-Apr-2017")</f>
        <v>128206;INF109KA1PS2;-;ICICI Prudential Multiple Yield Fund - Series 6 - 1125 Days - Plan B - Direct Plan - Dividend;12.7917;24-Apr-2017</v>
      </c>
      <c r="B12785" s="1"/>
    </row>
    <row r="12786">
      <c r="A12786" s="1" t="str">
        <f>IFERROR(__xludf.DUMMYFUNCTION("""COMPUTED_VALUE"""),"128208;INF109KA1PQ6;-;ICICI Prudential Multiple Yield Fund - Series 6 - 1125 Days - Plan B - Dividend;12.3721;24-Apr-2017")</f>
        <v>128208;INF109KA1PQ6;-;ICICI Prudential Multiple Yield Fund - Series 6 - 1125 Days - Plan B - Dividend;12.3721;24-Apr-2017</v>
      </c>
      <c r="B12786" s="1"/>
    </row>
    <row r="12787">
      <c r="A12787" s="1" t="str">
        <f>IFERROR(__xludf.DUMMYFUNCTION("""COMPUTED_VALUE"""),"128492;INF109KA1RD0;-;ICICI Prudential Multiple Yield Fund - Series 6 - 1825 Days - Plan C - Cumulative;15.2060;05-Apr-2019")</f>
        <v>128492;INF109KA1RD0;-;ICICI Prudential Multiple Yield Fund - Series 6 - 1825 Days - Plan C - Cumulative;15.2060;05-Apr-2019</v>
      </c>
      <c r="B12787" s="1"/>
    </row>
    <row r="12788">
      <c r="A12788" s="1" t="str">
        <f>IFERROR(__xludf.DUMMYFUNCTION("""COMPUTED_VALUE"""),"128494;INF109KA1RF5;-;ICICI Prudential Multiple Yield Fund - Series 6 - 1825 Days - Plan C - Direct Plan - Cumulative;16.2612;05-Apr-2019")</f>
        <v>128494;INF109KA1RF5;-;ICICI Prudential Multiple Yield Fund - Series 6 - 1825 Days - Plan C - Direct Plan - Cumulative;16.2612;05-Apr-2019</v>
      </c>
      <c r="B12788" s="1"/>
    </row>
    <row r="12789">
      <c r="A12789" s="1" t="str">
        <f>IFERROR(__xludf.DUMMYFUNCTION("""COMPUTED_VALUE"""),"128495;INF109KA1RG3;-;ICICI Prudential Multiple Yield Fund - Series 6 - 1825 Days - Plan C - Direct Plan - Dividend;14.8062;05-Apr-2019")</f>
        <v>128495;INF109KA1RG3;-;ICICI Prudential Multiple Yield Fund - Series 6 - 1825 Days - Plan C - Direct Plan - Dividend;14.8062;05-Apr-2019</v>
      </c>
      <c r="B12789" s="1"/>
    </row>
    <row r="12790">
      <c r="A12790" s="1" t="str">
        <f>IFERROR(__xludf.DUMMYFUNCTION("""COMPUTED_VALUE"""),"128493;INF109KA1RE8;-;ICICI Prudential Multiple Yield Fund - Series 6 - 1825 Days - Plan C -Dividend;13.9493;05-Apr-2019")</f>
        <v>128493;INF109KA1RE8;-;ICICI Prudential Multiple Yield Fund - Series 6 - 1825 Days - Plan C -Dividend;13.9493;05-Apr-2019</v>
      </c>
      <c r="B12790" s="1"/>
    </row>
    <row r="12791">
      <c r="A12791" s="1" t="str">
        <f>IFERROR(__xludf.DUMMYFUNCTION("""COMPUTED_VALUE"""),"129232;INF109KA1TT2;-;ICICI Prudential Multiple Yield Fund - Series 6 - 1825 Days Plan D Cumulative Option;14.9292;06-May-2019")</f>
        <v>129232;INF109KA1TT2;-;ICICI Prudential Multiple Yield Fund - Series 6 - 1825 Days Plan D Cumulative Option;14.9292;06-May-2019</v>
      </c>
      <c r="B12791" s="1"/>
    </row>
    <row r="12792">
      <c r="A12792" s="1" t="str">
        <f>IFERROR(__xludf.DUMMYFUNCTION("""COMPUTED_VALUE"""),"129231;INF109KA1TV8;-;ICICI Prudential Multiple Yield Fund - Series 6 - 1825 Days Plan D Direct Plan Cumulative Option;15.8208;06-May-2019")</f>
        <v>129231;INF109KA1TV8;-;ICICI Prudential Multiple Yield Fund - Series 6 - 1825 Days Plan D Direct Plan Cumulative Option;15.8208;06-May-2019</v>
      </c>
      <c r="B12792" s="1"/>
    </row>
    <row r="12793">
      <c r="A12793" s="1" t="str">
        <f>IFERROR(__xludf.DUMMYFUNCTION("""COMPUTED_VALUE"""),"129230;INF109KA1TW6;-;ICICI Prudential Multiple Yield Fund - Series 6 - 1825 Days Plan D Direct Plan- Dividend Option;14.7375;06-May-2019")</f>
        <v>129230;INF109KA1TW6;-;ICICI Prudential Multiple Yield Fund - Series 6 - 1825 Days Plan D Direct Plan- Dividend Option;14.7375;06-May-2019</v>
      </c>
      <c r="B12793" s="1"/>
    </row>
    <row r="12794">
      <c r="A12794" s="1" t="str">
        <f>IFERROR(__xludf.DUMMYFUNCTION("""COMPUTED_VALUE"""),"129233;INF109KA1TU0;-;ICICI Prudential Multiple Yield Fund - Series 6 - 1825 Days Plan D Dividend Option;13.9943;06-May-2019")</f>
        <v>129233;INF109KA1TU0;-;ICICI Prudential Multiple Yield Fund - Series 6 - 1825 Days Plan D Dividend Option;13.9943;06-May-2019</v>
      </c>
      <c r="B12794" s="1"/>
    </row>
    <row r="12795">
      <c r="A12795" s="1" t="str">
        <f>IFERROR(__xludf.DUMMYFUNCTION("""COMPUTED_VALUE"""),"131352;INF109KA1T81;-;ICICI Prudential Multiple Yield Fund - Series 7 - 1100 Days Plan F Cumulative Option;12.2797;12-Oct-2017")</f>
        <v>131352;INF109KA1T81;-;ICICI Prudential Multiple Yield Fund - Series 7 - 1100 Days Plan F Cumulative Option;12.2797;12-Oct-2017</v>
      </c>
      <c r="B12795" s="1"/>
    </row>
    <row r="12796">
      <c r="A12796" s="1" t="str">
        <f>IFERROR(__xludf.DUMMYFUNCTION("""COMPUTED_VALUE"""),"131353;INF109KA1U05;-;ICICI Prudential Multiple Yield Fund - Series 7 - 1100 Days Plan F Direct Plan Cumulative Option;12.7499;12-Oct-2017")</f>
        <v>131353;INF109KA1U05;-;ICICI Prudential Multiple Yield Fund - Series 7 - 1100 Days Plan F Direct Plan Cumulative Option;12.7499;12-Oct-2017</v>
      </c>
      <c r="B12796" s="1"/>
    </row>
    <row r="12797">
      <c r="A12797" s="1" t="str">
        <f>IFERROR(__xludf.DUMMYFUNCTION("""COMPUTED_VALUE"""),"131350;INF109KA1U13;-;ICICI Prudential Multiple Yield Fund - Series 7 - 1100 Days Plan F Direct Plan Dividend Option;12.7499;12-Oct-2017")</f>
        <v>131350;INF109KA1U13;-;ICICI Prudential Multiple Yield Fund - Series 7 - 1100 Days Plan F Direct Plan Dividend Option;12.7499;12-Oct-2017</v>
      </c>
      <c r="B12797" s="1"/>
    </row>
    <row r="12798">
      <c r="A12798" s="1" t="str">
        <f>IFERROR(__xludf.DUMMYFUNCTION("""COMPUTED_VALUE"""),"131351;INF109KA1T99;-;ICICI Prudential Multiple Yield Fund - Series 7 - 1100 Days Plan F Dividend Option;12.2797;12-Oct-2017")</f>
        <v>131351;INF109KA1T99;-;ICICI Prudential Multiple Yield Fund - Series 7 - 1100 Days Plan F Dividend Option;12.2797;12-Oct-2017</v>
      </c>
      <c r="B12798" s="1"/>
    </row>
    <row r="12799">
      <c r="A12799" s="1" t="str">
        <f>IFERROR(__xludf.DUMMYFUNCTION("""COMPUTED_VALUE"""),"131262;INF109KA1R75;-;ICICI Prudential Multiple Yield Fund - Series 7 - 1338 Days Plan D  Dividend Option;12.7190;29-May-2018")</f>
        <v>131262;INF109KA1R75;-;ICICI Prudential Multiple Yield Fund - Series 7 - 1338 Days Plan D  Dividend Option;12.7190;29-May-2018</v>
      </c>
      <c r="B12799" s="1"/>
    </row>
    <row r="12800">
      <c r="A12800" s="1" t="str">
        <f>IFERROR(__xludf.DUMMYFUNCTION("""COMPUTED_VALUE"""),"131264;INF109KA1R67;-;ICICI Prudential Multiple Yield Fund - Series 7 - 1338 Days Plan D Cumulative Option;12.7190;29-May-2018")</f>
        <v>131264;INF109KA1R67;-;ICICI Prudential Multiple Yield Fund - Series 7 - 1338 Days Plan D Cumulative Option;12.7190;29-May-2018</v>
      </c>
      <c r="B12800" s="1"/>
    </row>
    <row r="12801">
      <c r="A12801" s="1" t="str">
        <f>IFERROR(__xludf.DUMMYFUNCTION("""COMPUTED_VALUE"""),"131263;INF109KA1R83;-;ICICI Prudential Multiple Yield Fund - Series 7 - 1338 Days Plan D Direct Plan Cumulative Option;13.2675;29-May-2018")</f>
        <v>131263;INF109KA1R83;-;ICICI Prudential Multiple Yield Fund - Series 7 - 1338 Days Plan D Direct Plan Cumulative Option;13.2675;29-May-2018</v>
      </c>
      <c r="B12801" s="1"/>
    </row>
    <row r="12802">
      <c r="A12802" s="1" t="str">
        <f>IFERROR(__xludf.DUMMYFUNCTION("""COMPUTED_VALUE"""),"131261;INF109KA1R91;-;ICICI Prudential Multiple Yield Fund - Series 7 - 1338 Days Plan D Direct Plan Dividend Option;13.2675;29-May-2018")</f>
        <v>131261;INF109KA1R91;-;ICICI Prudential Multiple Yield Fund - Series 7 - 1338 Days Plan D Direct Plan Dividend Option;13.2675;29-May-2018</v>
      </c>
      <c r="B12802" s="1"/>
    </row>
    <row r="12803">
      <c r="A12803" s="1" t="str">
        <f>IFERROR(__xludf.DUMMYFUNCTION("""COMPUTED_VALUE"""),"130440;INF109KA1YP0;-;ICICI Prudential Multiple Yield Fund - Series 7 - 1825 Days Plan B Cumulative Option;14.3276;22-Jul-2019")</f>
        <v>130440;INF109KA1YP0;-;ICICI Prudential Multiple Yield Fund - Series 7 - 1825 Days Plan B Cumulative Option;14.3276;22-Jul-2019</v>
      </c>
      <c r="B12803" s="1"/>
    </row>
    <row r="12804">
      <c r="A12804" s="1" t="str">
        <f>IFERROR(__xludf.DUMMYFUNCTION("""COMPUTED_VALUE"""),"130438;INF109KA1YN5;-;ICICI Prudential Multiple Yield Fund - Series 7 - 1825 Days Plan B Direct Plan Cumulative Option;15.1065;22-Jul-2019")</f>
        <v>130438;INF109KA1YN5;-;ICICI Prudential Multiple Yield Fund - Series 7 - 1825 Days Plan B Direct Plan Cumulative Option;15.1065;22-Jul-2019</v>
      </c>
      <c r="B12804" s="1"/>
    </row>
    <row r="12805">
      <c r="A12805" s="1" t="str">
        <f>IFERROR(__xludf.DUMMYFUNCTION("""COMPUTED_VALUE"""),"130439;INF109KA1YO3;-;ICICI Prudential Multiple Yield Fund - Series 7 - 1825 Days Plan B Direct Plan Dividend Option;15.1065;22-Jul-2019")</f>
        <v>130439;INF109KA1YO3;-;ICICI Prudential Multiple Yield Fund - Series 7 - 1825 Days Plan B Direct Plan Dividend Option;15.1065;22-Jul-2019</v>
      </c>
      <c r="B12805" s="1"/>
    </row>
    <row r="12806">
      <c r="A12806" s="1" t="str">
        <f>IFERROR(__xludf.DUMMYFUNCTION("""COMPUTED_VALUE"""),"130441;INF109KA1YQ8;-;ICICI Prudential Multiple Yield Fund - Series 7 - 1825 Days Plan B Dividend Option;14.3276;22-Jul-2019")</f>
        <v>130441;INF109KA1YQ8;-;ICICI Prudential Multiple Yield Fund - Series 7 - 1825 Days Plan B Dividend Option;14.3276;22-Jul-2019</v>
      </c>
      <c r="B12806" s="1"/>
    </row>
    <row r="12807">
      <c r="A12807" s="1" t="str">
        <f>IFERROR(__xludf.DUMMYFUNCTION("""COMPUTED_VALUE"""),"130990;INF109KA1J83;-;ICICI Prudential Multiple Yield Fund - Series 7 - 1825 Days Plan C Cumulative Option;13.9758;03-Sep-2019")</f>
        <v>130990;INF109KA1J83;-;ICICI Prudential Multiple Yield Fund - Series 7 - 1825 Days Plan C Cumulative Option;13.9758;03-Sep-2019</v>
      </c>
      <c r="B12807" s="1"/>
    </row>
    <row r="12808">
      <c r="A12808" s="1" t="str">
        <f>IFERROR(__xludf.DUMMYFUNCTION("""COMPUTED_VALUE"""),"130991;INF109KA1K07;-;ICICI Prudential Multiple Yield Fund - Series 7 - 1825 Days Plan C Direct Plan Cumulative Option;14.7231;03-Sep-2019")</f>
        <v>130991;INF109KA1K07;-;ICICI Prudential Multiple Yield Fund - Series 7 - 1825 Days Plan C Direct Plan Cumulative Option;14.7231;03-Sep-2019</v>
      </c>
      <c r="B12808" s="1"/>
    </row>
    <row r="12809">
      <c r="A12809" s="1" t="str">
        <f>IFERROR(__xludf.DUMMYFUNCTION("""COMPUTED_VALUE"""),"130989;INF109KA1K15;-;ICICI Prudential Multiple Yield Fund - Series 7 - 1825 Days Plan C Direct Plan Dividend Option;14.7231;03-Sep-2019")</f>
        <v>130989;INF109KA1K15;-;ICICI Prudential Multiple Yield Fund - Series 7 - 1825 Days Plan C Direct Plan Dividend Option;14.7231;03-Sep-2019</v>
      </c>
      <c r="B12809" s="1"/>
    </row>
    <row r="12810">
      <c r="A12810" s="1" t="str">
        <f>IFERROR(__xludf.DUMMYFUNCTION("""COMPUTED_VALUE"""),"130992;INF109KA1J91;-;ICICI Prudential Multiple Yield Fund - Series 7 - 1825 Days Plan C Dividend Option;13.9758;03-Sep-2019")</f>
        <v>130992;INF109KA1J91;-;ICICI Prudential Multiple Yield Fund - Series 7 - 1825 Days Plan C Dividend Option;13.9758;03-Sep-2019</v>
      </c>
      <c r="B12810" s="1"/>
    </row>
    <row r="12811">
      <c r="A12811" s="1" t="str">
        <f>IFERROR(__xludf.DUMMYFUNCTION("""COMPUTED_VALUE"""),"131314;INF109KA1S25;-;ICICI Prudential Multiple Yield Fund - Series 7 - 1825 Days Plan E Cumulative Option;13.8672;07-Oct-2019")</f>
        <v>131314;INF109KA1S25;-;ICICI Prudential Multiple Yield Fund - Series 7 - 1825 Days Plan E Cumulative Option;13.8672;07-Oct-2019</v>
      </c>
      <c r="B12811" s="1"/>
    </row>
    <row r="12812">
      <c r="A12812" s="1" t="str">
        <f>IFERROR(__xludf.DUMMYFUNCTION("""COMPUTED_VALUE"""),"131316;INF109KA1S41;-;ICICI Prudential Multiple Yield Fund - Series 7 - 1825 Days Plan E Direct Plan Cumulative Option;14.6180;07-Oct-2019")</f>
        <v>131316;INF109KA1S41;-;ICICI Prudential Multiple Yield Fund - Series 7 - 1825 Days Plan E Direct Plan Cumulative Option;14.6180;07-Oct-2019</v>
      </c>
      <c r="B12812" s="1"/>
    </row>
    <row r="12813">
      <c r="A12813" s="1" t="str">
        <f>IFERROR(__xludf.DUMMYFUNCTION("""COMPUTED_VALUE"""),"131313;INF109KA1S58;-;ICICI Prudential Multiple Yield Fund - Series 7 - 1825 Days Plan E Direct Plan Dividend Option;14.6180;07-Oct-2019")</f>
        <v>131313;INF109KA1S58;-;ICICI Prudential Multiple Yield Fund - Series 7 - 1825 Days Plan E Direct Plan Dividend Option;14.6180;07-Oct-2019</v>
      </c>
      <c r="B12813" s="1"/>
    </row>
    <row r="12814">
      <c r="A12814" s="1" t="str">
        <f>IFERROR(__xludf.DUMMYFUNCTION("""COMPUTED_VALUE"""),"131315;INF109KA1S33;-;ICICI Prudential Multiple Yield Fund - Series 7 - 1825 Days Plan E Dividend Option;13.8672;07-Oct-2019")</f>
        <v>131315;INF109KA1S33;-;ICICI Prudential Multiple Yield Fund - Series 7 - 1825 Days Plan E Dividend Option;13.8672;07-Oct-2019</v>
      </c>
      <c r="B12814" s="1"/>
    </row>
    <row r="12815">
      <c r="A12815" s="1" t="str">
        <f>IFERROR(__xludf.DUMMYFUNCTION("""COMPUTED_VALUE"""),"133172;INF109KA16L4;-;ICICI Prudential Multiple Yield Fund - Series 8 -1101 Days Plan E Cumulative Option;12.0937;26-Dec-2017")</f>
        <v>133172;INF109KA16L4;-;ICICI Prudential Multiple Yield Fund - Series 8 -1101 Days Plan E Cumulative Option;12.0937;26-Dec-2017</v>
      </c>
      <c r="B12815" s="1"/>
    </row>
    <row r="12816">
      <c r="A12816" s="1" t="str">
        <f>IFERROR(__xludf.DUMMYFUNCTION("""COMPUTED_VALUE"""),"133174;INF109KA18L0;-;ICICI Prudential Multiple Yield Fund - Series 8 -1101 Days Plan E Direct Plan Cumulative Option;12.6249;26-Dec-2017")</f>
        <v>133174;INF109KA18L0;-;ICICI Prudential Multiple Yield Fund - Series 8 -1101 Days Plan E Direct Plan Cumulative Option;12.6249;26-Dec-2017</v>
      </c>
      <c r="B12816" s="1"/>
    </row>
    <row r="12817">
      <c r="A12817" s="1" t="str">
        <f>IFERROR(__xludf.DUMMYFUNCTION("""COMPUTED_VALUE"""),"133173;INF109KA17L2;-;ICICI Prudential Multiple Yield Fund - Series 8 -1101 Days Plan E Dividend Option;12.0937;26-Dec-2017")</f>
        <v>133173;INF109KA17L2;-;ICICI Prudential Multiple Yield Fund - Series 8 -1101 Days Plan E Dividend Option;12.0937;26-Dec-2017</v>
      </c>
      <c r="B12817" s="1"/>
    </row>
    <row r="12818">
      <c r="A12818" s="1" t="str">
        <f>IFERROR(__xludf.DUMMYFUNCTION("""COMPUTED_VALUE"""),"132954;INF109KA16F6;-;ICICI Prudential Multiple Yield Fund - Series 8 - 1103 Days Plan C Cumulative Option;12.0248;04-Dec-2017")</f>
        <v>132954;INF109KA16F6;-;ICICI Prudential Multiple Yield Fund - Series 8 - 1103 Days Plan C Cumulative Option;12.0248;04-Dec-2017</v>
      </c>
      <c r="B12818" s="1"/>
    </row>
    <row r="12819">
      <c r="A12819" s="1" t="str">
        <f>IFERROR(__xludf.DUMMYFUNCTION("""COMPUTED_VALUE"""),"132951;INF109KA18F2;-;ICICI Prudential Multiple Yield Fund - Series 8 - 1103 Days Plan C Direct Plan Cumulative Option;12.5700;04-Dec-2017")</f>
        <v>132951;INF109KA18F2;-;ICICI Prudential Multiple Yield Fund - Series 8 - 1103 Days Plan C Direct Plan Cumulative Option;12.5700;04-Dec-2017</v>
      </c>
      <c r="B12819" s="1"/>
    </row>
    <row r="12820">
      <c r="A12820" s="1" t="str">
        <f>IFERROR(__xludf.DUMMYFUNCTION("""COMPUTED_VALUE"""),"132953;INF109KA19F0;-;ICICI Prudential Multiple Yield Fund - Series 8 - 1103 Days Plan C Direct Plan Dividend Option;12.5700;04-Dec-2017")</f>
        <v>132953;INF109KA19F0;-;ICICI Prudential Multiple Yield Fund - Series 8 - 1103 Days Plan C Direct Plan Dividend Option;12.5700;04-Dec-2017</v>
      </c>
      <c r="B12820" s="1"/>
    </row>
    <row r="12821">
      <c r="A12821" s="1" t="str">
        <f>IFERROR(__xludf.DUMMYFUNCTION("""COMPUTED_VALUE"""),"132952;INF109KA17F4;-;ICICI Prudential Multiple Yield Fund - Series 8 - 1103 Days Plan C Dividend Option;12.0248;04-Dec-2017")</f>
        <v>132952;INF109KA17F4;-;ICICI Prudential Multiple Yield Fund - Series 8 - 1103 Days Plan C Dividend Option;12.0248;04-Dec-2017</v>
      </c>
      <c r="B12821" s="1"/>
    </row>
    <row r="12822">
      <c r="A12822" s="1" t="str">
        <f>IFERROR(__xludf.DUMMYFUNCTION("""COMPUTED_VALUE"""),"133578;INF109KA10T0;-;ICICI Prudential Multiple Yield Fund - Series 8 - 1103 Days Plan F Cumulative Option;11.7925;20-Feb-2018")</f>
        <v>133578;INF109KA10T0;-;ICICI Prudential Multiple Yield Fund - Series 8 - 1103 Days Plan F Cumulative Option;11.7925;20-Feb-2018</v>
      </c>
      <c r="B12822" s="1"/>
    </row>
    <row r="12823">
      <c r="A12823" s="1" t="str">
        <f>IFERROR(__xludf.DUMMYFUNCTION("""COMPUTED_VALUE"""),"133577;INF109KA12T6;-;ICICI Prudential Multiple Yield Fund - Series 8 - 1103 Days Plan F Direct Plan Cumulative Option;12.3399;20-Feb-2018")</f>
        <v>133577;INF109KA12T6;-;ICICI Prudential Multiple Yield Fund - Series 8 - 1103 Days Plan F Direct Plan Cumulative Option;12.3399;20-Feb-2018</v>
      </c>
      <c r="B12823" s="1"/>
    </row>
    <row r="12824">
      <c r="A12824" s="1" t="str">
        <f>IFERROR(__xludf.DUMMYFUNCTION("""COMPUTED_VALUE"""),"133580;INF109KA13T4;-;ICICI Prudential Multiple Yield Fund - Series 8 - 1103 Days Plan F Direct Plan Dividend Option;12.3399;20-Feb-2018")</f>
        <v>133580;INF109KA13T4;-;ICICI Prudential Multiple Yield Fund - Series 8 - 1103 Days Plan F Direct Plan Dividend Option;12.3399;20-Feb-2018</v>
      </c>
      <c r="B12824" s="1"/>
    </row>
    <row r="12825">
      <c r="A12825" s="1" t="str">
        <f>IFERROR(__xludf.DUMMYFUNCTION("""COMPUTED_VALUE"""),"133579;INF109KA11T8;-;ICICI Prudential Multiple Yield Fund - Series 8 - 1103 Days Plan F Dividend Option;11.7925;20-Feb-2018")</f>
        <v>133579;INF109KA11T8;-;ICICI Prudential Multiple Yield Fund - Series 8 - 1103 Days Plan F Dividend Option;11.7925;20-Feb-2018</v>
      </c>
      <c r="B12825" s="1"/>
    </row>
    <row r="12826">
      <c r="A12826" s="1" t="str">
        <f>IFERROR(__xludf.DUMMYFUNCTION("""COMPUTED_VALUE"""),"133112;INF109KA18J4;-;ICICI Prudential Multiple Yield Fund - Series 8 -1822 Days Plan D Cumulative Option;13.5995;12-Dec-2019")</f>
        <v>133112;INF109KA18J4;-;ICICI Prudential Multiple Yield Fund - Series 8 -1822 Days Plan D Cumulative Option;13.5995;12-Dec-2019</v>
      </c>
      <c r="B12826" s="1"/>
    </row>
    <row r="12827">
      <c r="A12827" s="1" t="str">
        <f>IFERROR(__xludf.DUMMYFUNCTION("""COMPUTED_VALUE"""),"133110;INF109KA10K9;-;ICICI Prudential Multiple Yield Fund - Series 8 -1822 Days Plan D Direct Plan Cumulative Option;14.3826;12-Dec-2019")</f>
        <v>133110;INF109KA10K9;-;ICICI Prudential Multiple Yield Fund - Series 8 -1822 Days Plan D Direct Plan Cumulative Option;14.3826;12-Dec-2019</v>
      </c>
      <c r="B12827" s="1"/>
    </row>
    <row r="12828">
      <c r="A12828" s="1" t="str">
        <f>IFERROR(__xludf.DUMMYFUNCTION("""COMPUTED_VALUE"""),"133111;INF109KA11K7;-;ICICI Prudential Multiple Yield Fund - Series 8 -1822 Days Plan D Direct Plan Dividend Option;14.3826;12-Dec-2019")</f>
        <v>133111;INF109KA11K7;-;ICICI Prudential Multiple Yield Fund - Series 8 -1822 Days Plan D Direct Plan Dividend Option;14.3826;12-Dec-2019</v>
      </c>
      <c r="B12828" s="1"/>
    </row>
    <row r="12829">
      <c r="A12829" s="1" t="str">
        <f>IFERROR(__xludf.DUMMYFUNCTION("""COMPUTED_VALUE"""),"133113;INF109KA19J2;-;ICICI Prudential Multiple Yield Fund - Series 8 -1822 Days Plan D Dividend Option;13.5995;12-Dec-2019")</f>
        <v>133113;INF109KA19J2;-;ICICI Prudential Multiple Yield Fund - Series 8 -1822 Days Plan D Dividend Option;13.5995;12-Dec-2019</v>
      </c>
      <c r="B12829" s="1"/>
    </row>
    <row r="12830">
      <c r="A12830" s="1" t="str">
        <f>IFERROR(__xludf.DUMMYFUNCTION("""COMPUTED_VALUE"""),"131574;INF109KA16B5;-;ICICI Prudential Multiple Yield Fund - Series 8 - 1824 Days Plan A Cumulative Option;13.4760;07-Nov-2019")</f>
        <v>131574;INF109KA16B5;-;ICICI Prudential Multiple Yield Fund - Series 8 - 1824 Days Plan A Cumulative Option;13.4760;07-Nov-2019</v>
      </c>
      <c r="B12830" s="1"/>
    </row>
    <row r="12831">
      <c r="A12831" s="1" t="str">
        <f>IFERROR(__xludf.DUMMYFUNCTION("""COMPUTED_VALUE"""),"131577;INF109KA18B1;-;ICICI Prudential Multiple Yield Fund - Series 8 - 1824 Days Plan A Direct Plan Cumulative Option;14.2589;07-Nov-2019")</f>
        <v>131577;INF109KA18B1;-;ICICI Prudential Multiple Yield Fund - Series 8 - 1824 Days Plan A Direct Plan Cumulative Option;14.2589;07-Nov-2019</v>
      </c>
      <c r="B12831" s="1"/>
    </row>
    <row r="12832">
      <c r="A12832" s="1" t="str">
        <f>IFERROR(__xludf.DUMMYFUNCTION("""COMPUTED_VALUE"""),"131576;INF109KA19B9;-;ICICI Prudential Multiple Yield Fund - Series 8 - 1824 Days Plan A Direct Plan Dividend Option;14.2589;07-Nov-2019")</f>
        <v>131576;INF109KA19B9;-;ICICI Prudential Multiple Yield Fund - Series 8 - 1824 Days Plan A Direct Plan Dividend Option;14.2589;07-Nov-2019</v>
      </c>
      <c r="B12832" s="1"/>
    </row>
    <row r="12833">
      <c r="A12833" s="1" t="str">
        <f>IFERROR(__xludf.DUMMYFUNCTION("""COMPUTED_VALUE"""),"131575;INF109KA17B3;-;ICICI Prudential Multiple Yield Fund - Series 8 - 1824 Days Plan A Dividend Option;13.4760;07-Nov-2019")</f>
        <v>131575;INF109KA17B3;-;ICICI Prudential Multiple Yield Fund - Series 8 - 1824 Days Plan A Dividend Option;13.4760;07-Nov-2019</v>
      </c>
      <c r="B12833" s="1"/>
    </row>
    <row r="12834">
      <c r="A12834" s="1" t="str">
        <f>IFERROR(__xludf.DUMMYFUNCTION("""COMPUTED_VALUE"""),"134262;INF109KB1714;-;ICICI Prudential Multiple Yield Fund - Series 9 - 1140 Days Plan A Cumulative Option;11.2828;22-May-2018")</f>
        <v>134262;INF109KB1714;-;ICICI Prudential Multiple Yield Fund - Series 9 - 1140 Days Plan A Cumulative Option;11.2828;22-May-2018</v>
      </c>
      <c r="B12834" s="1"/>
    </row>
    <row r="12835">
      <c r="A12835" s="1" t="str">
        <f>IFERROR(__xludf.DUMMYFUNCTION("""COMPUTED_VALUE"""),"134259;INF109KB1730;-;ICICI Prudential Multiple Yield Fund - Series 9 - 1140 Days Plan A Direct Plan Cumulative Option;11.7593;22-May-2018")</f>
        <v>134259;INF109KB1730;-;ICICI Prudential Multiple Yield Fund - Series 9 - 1140 Days Plan A Direct Plan Cumulative Option;11.7593;22-May-2018</v>
      </c>
      <c r="B12835" s="1"/>
    </row>
    <row r="12836">
      <c r="A12836" s="1" t="str">
        <f>IFERROR(__xludf.DUMMYFUNCTION("""COMPUTED_VALUE"""),"134260;INF109KB1748;-;ICICI Prudential Multiple Yield Fund - Series 9 - 1140 Days Plan A Direct Plan Dividend Option;11.7593;22-May-2018")</f>
        <v>134260;INF109KB1748;-;ICICI Prudential Multiple Yield Fund - Series 9 - 1140 Days Plan A Direct Plan Dividend Option;11.7593;22-May-2018</v>
      </c>
      <c r="B12836" s="1"/>
    </row>
    <row r="12837">
      <c r="A12837" s="1" t="str">
        <f>IFERROR(__xludf.DUMMYFUNCTION("""COMPUTED_VALUE"""),"134261;INF109KB1722;-;ICICI Prudential Multiple Yield Fund - Series 9 - 1140 Days Plan A Dividend Option;11.2828;22-May-2018")</f>
        <v>134261;INF109KB1722;-;ICICI Prudential Multiple Yield Fund - Series 9 - 1140 Days Plan A Dividend Option;11.2828;22-May-2018</v>
      </c>
      <c r="B12837" s="1"/>
    </row>
    <row r="12838">
      <c r="A12838" s="1" t="str">
        <f>IFERROR(__xludf.DUMMYFUNCTION("""COMPUTED_VALUE"""),"129742;INF109KA1UX2;-;ICICI Prudential Multiple Yield Fund - Series 6 - 1100 Days Plan F Cumulative Option;12.8982;01-Jun-2017")</f>
        <v>129742;INF109KA1UX2;-;ICICI Prudential Multiple Yield Fund - Series 6 - 1100 Days Plan F Cumulative Option;12.8982;01-Jun-2017</v>
      </c>
      <c r="B12838" s="1"/>
    </row>
    <row r="12839">
      <c r="A12839" s="1" t="str">
        <f>IFERROR(__xludf.DUMMYFUNCTION("""COMPUTED_VALUE"""),"129741;INF109KA1UZ7;-;ICICI Prudential Multiple Yield Fund - Series 6 - 1100 Days Plan F Direct Plan Cumulative Option;13.4508;01-Jun-2017")</f>
        <v>129741;INF109KA1UZ7;-;ICICI Prudential Multiple Yield Fund - Series 6 - 1100 Days Plan F Direct Plan Cumulative Option;13.4508;01-Jun-2017</v>
      </c>
      <c r="B12839" s="1"/>
    </row>
    <row r="12840">
      <c r="A12840" s="1" t="str">
        <f>IFERROR(__xludf.DUMMYFUNCTION("""COMPUTED_VALUE"""),"129744;INF109KA1VA8;-;ICICI Prudential Multiple Yield Fund - Series 6 - 1100 Days Plan F Direct Plan- Dividend Option;12.6492;01-Jun-2017")</f>
        <v>129744;INF109KA1VA8;-;ICICI Prudential Multiple Yield Fund - Series 6 - 1100 Days Plan F Direct Plan- Dividend Option;12.6492;01-Jun-2017</v>
      </c>
      <c r="B12840" s="1"/>
    </row>
    <row r="12841">
      <c r="A12841" s="1" t="str">
        <f>IFERROR(__xludf.DUMMYFUNCTION("""COMPUTED_VALUE"""),"129743;INF109KA1UY0;-;ICICI Prudential Multiple Yield Fund - Series 6 - 1100 Days Plan F Dividend Option;12.1949;01-Jun-2017")</f>
        <v>129743;INF109KA1UY0;-;ICICI Prudential Multiple Yield Fund - Series 6 - 1100 Days Plan F Dividend Option;12.1949;01-Jun-2017</v>
      </c>
      <c r="B12841" s="1"/>
    </row>
    <row r="12842">
      <c r="A12842" s="1" t="str">
        <f>IFERROR(__xludf.DUMMYFUNCTION("""COMPUTED_VALUE"""),"130148;INF109KA1WV2;-;ICICI Prudential Multiple Yield Fund - Series 7 - 1100 Days Plan A Cumulative Option;12.4342;28-Jun-2017")</f>
        <v>130148;INF109KA1WV2;-;ICICI Prudential Multiple Yield Fund - Series 7 - 1100 Days Plan A Cumulative Option;12.4342;28-Jun-2017</v>
      </c>
      <c r="B12842" s="1"/>
    </row>
    <row r="12843">
      <c r="A12843" s="1" t="str">
        <f>IFERROR(__xludf.DUMMYFUNCTION("""COMPUTED_VALUE"""),"130146;INF109KA1WX8;-;ICICI Prudential Multiple Yield Fund - Series 7 - 1100 Days Plan A Direct Plan Cumulative Option;12.9747;28-Jun-2017")</f>
        <v>130146;INF109KA1WX8;-;ICICI Prudential Multiple Yield Fund - Series 7 - 1100 Days Plan A Direct Plan Cumulative Option;12.9747;28-Jun-2017</v>
      </c>
      <c r="B12843" s="1"/>
    </row>
    <row r="12844">
      <c r="A12844" s="1" t="str">
        <f>IFERROR(__xludf.DUMMYFUNCTION("""COMPUTED_VALUE"""),"130145;INF109KA1WY6;-;ICICI Prudential Multiple Yield Fund - Series 7 - 1100 Days Plan A Direct Plan Dividend Option;12.6366;28-Jun-2017")</f>
        <v>130145;INF109KA1WY6;-;ICICI Prudential Multiple Yield Fund - Series 7 - 1100 Days Plan A Direct Plan Dividend Option;12.6366;28-Jun-2017</v>
      </c>
      <c r="B12844" s="1"/>
    </row>
    <row r="12845">
      <c r="A12845" s="1" t="str">
        <f>IFERROR(__xludf.DUMMYFUNCTION("""COMPUTED_VALUE"""),"130147;INF109KA1WW0;-;ICICI Prudential Multiple Yield Fund - Series 7 - 1100 Days Plan A Dividend Option;12.1680;28-Jun-2017")</f>
        <v>130147;INF109KA1WW0;-;ICICI Prudential Multiple Yield Fund - Series 7 - 1100 Days Plan A Dividend Option;12.1680;28-Jun-2017</v>
      </c>
      <c r="B12845" s="1"/>
    </row>
    <row r="12846">
      <c r="A12846" s="1"/>
      <c r="B12846" s="1"/>
    </row>
    <row r="12847">
      <c r="A12847" s="1" t="str">
        <f>IFERROR(__xludf.DUMMYFUNCTION("""COMPUTED_VALUE"""),"IIFCL Mutual Fund (IDF)")</f>
        <v>IIFCL Mutual Fund (IDF)</v>
      </c>
      <c r="B12847" s="1"/>
    </row>
    <row r="12848">
      <c r="A12848" s="1"/>
      <c r="B12848" s="1"/>
    </row>
    <row r="12849">
      <c r="A12849" s="1" t="str">
        <f>IFERROR(__xludf.DUMMYFUNCTION("""COMPUTED_VALUE"""),"127615;INF017Q01011;NA;IIFCL MUTUAL FUND INFRASTRUCTURE DEBT FUND SERIES I;1537578.27;30-Jun-2023")</f>
        <v>127615;INF017Q01011;NA;IIFCL MUTUAL FUND INFRASTRUCTURE DEBT FUND SERIES I;1537578.27;30-Jun-2023</v>
      </c>
      <c r="B12849" s="1"/>
    </row>
    <row r="12850">
      <c r="A12850" s="1" t="str">
        <f>IFERROR(__xludf.DUMMYFUNCTION("""COMPUTED_VALUE"""),"141615;INF017Q01029;-;IIFCL MUTUAL FUND INFRASTRUCTURE DEBT FUND SERIES II;910384.1966;30-Jun-2023")</f>
        <v>141615;INF017Q01029;-;IIFCL MUTUAL FUND INFRASTRUCTURE DEBT FUND SERIES II;910384.1966;30-Jun-2023</v>
      </c>
      <c r="B12850" s="1"/>
    </row>
    <row r="12851">
      <c r="A12851" s="1"/>
      <c r="B12851" s="1"/>
    </row>
    <row r="12852">
      <c r="A12852" s="1" t="str">
        <f>IFERROR(__xludf.DUMMYFUNCTION("""COMPUTED_VALUE"""),"IL&amp;FS Mutual Fund (IDF)")</f>
        <v>IL&amp;FS Mutual Fund (IDF)</v>
      </c>
      <c r="B12852" s="1"/>
    </row>
    <row r="12853">
      <c r="A12853" s="1"/>
      <c r="B12853" s="1"/>
    </row>
    <row r="12854">
      <c r="A12854" s="1" t="str">
        <f>IFERROR(__xludf.DUMMYFUNCTION("""COMPUTED_VALUE"""),"130565;INF613Q01025;-;IL&amp;FS Infrastructure Debt Fund Series 1A - Dividend payout option;1680494.0463;31-Dec-2018")</f>
        <v>130565;INF613Q01025;-;IL&amp;FS Infrastructure Debt Fund Series 1A - Dividend payout option;1680494.0463;31-Dec-2018</v>
      </c>
      <c r="B12854" s="1"/>
    </row>
    <row r="12855">
      <c r="A12855" s="1" t="str">
        <f>IFERROR(__xludf.DUMMYFUNCTION("""COMPUTED_VALUE"""),"129287;INF613Q01017;-;IL&amp;FS Infrastructure Debt Fund Series 1A - Growth;1680494.0463;31-Dec-2018")</f>
        <v>129287;INF613Q01017;-;IL&amp;FS Infrastructure Debt Fund Series 1A - Growth;1680494.0463;31-Dec-2018</v>
      </c>
      <c r="B12855" s="1"/>
    </row>
    <row r="12856">
      <c r="A12856" s="1" t="str">
        <f>IFERROR(__xludf.DUMMYFUNCTION("""COMPUTED_VALUE"""),"129288;INF613Q01058;-;IL&amp;FS Infrastructure Debt Fund Series 1C - Growth;1918470.3924;30-Jun-2023")</f>
        <v>129288;INF613Q01058;-;IL&amp;FS Infrastructure Debt Fund Series 1C - Growth;1918470.3924;30-Jun-2023</v>
      </c>
      <c r="B12856" s="1"/>
    </row>
    <row r="12857">
      <c r="A12857" s="1" t="str">
        <f>IFERROR(__xludf.DUMMYFUNCTION("""COMPUTED_VALUE"""),"130567;INF613Q01066;-;IL&amp;FS Infrastructure Debt Fund Series 1C- Dividend Payout Option;1918470.3931;30-Jun-2023")</f>
        <v>130567;INF613Q01066;-;IL&amp;FS Infrastructure Debt Fund Series 1C- Dividend Payout Option;1918470.3931;30-Jun-2023</v>
      </c>
      <c r="B12857" s="1"/>
    </row>
    <row r="12858">
      <c r="A12858" s="1" t="str">
        <f>IFERROR(__xludf.DUMMYFUNCTION("""COMPUTED_VALUE"""),"148397;-;-;IL&amp;FS Infrastructure Debt Fund Series 2A - Growth - Direct;842113.8977;30-Jun-2023")</f>
        <v>148397;-;-;IL&amp;FS Infrastructure Debt Fund Series 2A - Growth - Direct;842113.8977;30-Jun-2023</v>
      </c>
      <c r="B12858" s="1"/>
    </row>
    <row r="12859">
      <c r="A12859" s="1" t="str">
        <f>IFERROR(__xludf.DUMMYFUNCTION("""COMPUTED_VALUE"""),"148398;-;-;IL&amp;FS Infrastructure Debt Fund Series 2B - Growth - Direct;1262182.6151;30-Jun-2023")</f>
        <v>148398;-;-;IL&amp;FS Infrastructure Debt Fund Series 2B - Growth - Direct;1262182.6151;30-Jun-2023</v>
      </c>
      <c r="B12859" s="1"/>
    </row>
    <row r="12860">
      <c r="A12860" s="1" t="str">
        <f>IFERROR(__xludf.DUMMYFUNCTION("""COMPUTED_VALUE"""),"148399;-;-;IL&amp;FS Infrastructure Debt Fund Series 2C - Growth - Direct;1343966.8357;30-Jun-2023")</f>
        <v>148399;-;-;IL&amp;FS Infrastructure Debt Fund Series 2C - Growth - Direct;1343966.8357;30-Jun-2023</v>
      </c>
      <c r="B12860" s="1"/>
    </row>
    <row r="12861">
      <c r="A12861" s="1" t="str">
        <f>IFERROR(__xludf.DUMMYFUNCTION("""COMPUTED_VALUE"""),"142700;INF613Q01082;-;IL&amp;FS Infrastructure Debt Fund Series 3A - Dividend payout option - Direct;1213044.969;31-Dec-2022")</f>
        <v>142700;INF613Q01082;-;IL&amp;FS Infrastructure Debt Fund Series 3A - Dividend payout option - Direct;1213044.969;31-Dec-2022</v>
      </c>
      <c r="B12861" s="1"/>
    </row>
    <row r="12862">
      <c r="A12862" s="1" t="str">
        <f>IFERROR(__xludf.DUMMYFUNCTION("""COMPUTED_VALUE"""),"142701;INF613Q01074;-;IL&amp;FS Infrastructure Debt Fund Series 3A - Growth - Direct;1213045.0145;31-Dec-2022")</f>
        <v>142701;INF613Q01074;-;IL&amp;FS Infrastructure Debt Fund Series 3A - Growth - Direct;1213045.0145;31-Dec-2022</v>
      </c>
      <c r="B12862" s="1"/>
    </row>
    <row r="12863">
      <c r="A12863" s="1" t="str">
        <f>IFERROR(__xludf.DUMMYFUNCTION("""COMPUTED_VALUE"""),"142702;INF613Q01090;-;IL&amp;FS Infrastructure Debt Fund Series 3A - Growth - Regular;1211636.7662;31-Dec-2022")</f>
        <v>142702;INF613Q01090;-;IL&amp;FS Infrastructure Debt Fund Series 3A - Growth - Regular;1211636.7662;31-Dec-2022</v>
      </c>
      <c r="B12863" s="1"/>
    </row>
    <row r="12864">
      <c r="A12864" s="1" t="str">
        <f>IFERROR(__xludf.DUMMYFUNCTION("""COMPUTED_VALUE"""),"143397;INF613Q01116;-;IL&amp;FS Infrastructure Debt Fund Series 3B - Dividend payout option;1390584.8758;30-Jun-2023")</f>
        <v>143397;INF613Q01116;-;IL&amp;FS Infrastructure Debt Fund Series 3B - Dividend payout option;1390584.8758;30-Jun-2023</v>
      </c>
      <c r="B12864" s="1"/>
    </row>
    <row r="12865">
      <c r="A12865" s="1" t="str">
        <f>IFERROR(__xludf.DUMMYFUNCTION("""COMPUTED_VALUE"""),"143396;INF613Q01108;-;IL&amp;FS Infrastructure Debt Fund Series 3B - Growth - Direct;1390584.8849;30-Jun-2023")</f>
        <v>143396;INF613Q01108;-;IL&amp;FS Infrastructure Debt Fund Series 3B - Growth - Direct;1390584.8849;30-Jun-2023</v>
      </c>
      <c r="B12865" s="1"/>
    </row>
    <row r="12866">
      <c r="A12866" s="1" t="str">
        <f>IFERROR(__xludf.DUMMYFUNCTION("""COMPUTED_VALUE"""),"130566;INF613Q01041;-;IL&amp;FS Infrastructure Debt Fund Series 1B - Dividend Payout;1456756.8966;31-Mar-2021")</f>
        <v>130566;INF613Q01041;-;IL&amp;FS Infrastructure Debt Fund Series 1B - Dividend Payout;1456756.8966;31-Mar-2021</v>
      </c>
      <c r="B12866" s="1"/>
    </row>
    <row r="12867">
      <c r="A12867" s="1" t="str">
        <f>IFERROR(__xludf.DUMMYFUNCTION("""COMPUTED_VALUE"""),"129286;INF613Q01033;-;IL&amp;FS Infrastructure Debt Fund Series 1B - Growth;1456756.8971;31-Mar-2021")</f>
        <v>129286;INF613Q01033;-;IL&amp;FS Infrastructure Debt Fund Series 1B - Growth;1456756.8971;31-Mar-2021</v>
      </c>
      <c r="B12867" s="1"/>
    </row>
    <row r="12868">
      <c r="A12868" s="1"/>
      <c r="B12868" s="1"/>
    </row>
    <row r="12869">
      <c r="A12869" s="1" t="str">
        <f>IFERROR(__xludf.DUMMYFUNCTION("""COMPUTED_VALUE"""),"Kotak Mahindra Mutual Fund")</f>
        <v>Kotak Mahindra Mutual Fund</v>
      </c>
      <c r="B12869" s="1"/>
    </row>
    <row r="12870">
      <c r="A12870" s="1"/>
      <c r="B12870" s="1"/>
    </row>
    <row r="12871">
      <c r="A12871" s="1" t="str">
        <f>IFERROR(__xludf.DUMMYFUNCTION("""COMPUTED_VALUE"""),"135331;INF174K01U50;-;Kotak Capital Protection Oriented Scheme - Series 1 - Direct Dividend;10.000002;03-Oct-2018")</f>
        <v>135331;INF174K01U50;-;Kotak Capital Protection Oriented Scheme - Series 1 - Direct Dividend;10.000002;03-Oct-2018</v>
      </c>
      <c r="B12871" s="1"/>
    </row>
    <row r="12872">
      <c r="A12872" s="1" t="str">
        <f>IFERROR(__xludf.DUMMYFUNCTION("""COMPUTED_VALUE"""),"135328;INF174K01U43;-;Kotak Capital Protection Oriented Scheme - Series 1 - Direct Growth;12.14146666;03-Oct-2018")</f>
        <v>135328;INF174K01U43;-;Kotak Capital Protection Oriented Scheme - Series 1 - Direct Growth;12.14146666;03-Oct-2018</v>
      </c>
      <c r="B12872" s="1"/>
    </row>
    <row r="12873">
      <c r="A12873" s="1" t="str">
        <f>IFERROR(__xludf.DUMMYFUNCTION("""COMPUTED_VALUE"""),"135329;INF174K01U35;-;Kotak Capital Protection Oriented Scheme - Series 1 - Regular Dividend;10.00001671;03-Oct-2018")</f>
        <v>135329;INF174K01U35;-;Kotak Capital Protection Oriented Scheme - Series 1 - Regular Dividend;10.00001671;03-Oct-2018</v>
      </c>
      <c r="B12873" s="1"/>
    </row>
    <row r="12874">
      <c r="A12874" s="1" t="str">
        <f>IFERROR(__xludf.DUMMYFUNCTION("""COMPUTED_VALUE"""),"135330;INF174K01U27;-;Kotak Capital Protection Oriented Scheme - Series 1 - Regular Growth;11.9437053;03-Oct-2018")</f>
        <v>135330;INF174K01U27;-;Kotak Capital Protection Oriented Scheme - Series 1 - Regular Growth;11.9437053;03-Oct-2018</v>
      </c>
      <c r="B12874" s="1"/>
    </row>
    <row r="12875">
      <c r="A12875" s="1" t="str">
        <f>IFERROR(__xludf.DUMMYFUNCTION("""COMPUTED_VALUE"""),"135748;INF174K011A4;-;Kotak Capital Protection Oriented Scheme - Series 2 - Direct Dividend;10.000014;11-Dec-2018")</f>
        <v>135748;INF174K011A4;-;Kotak Capital Protection Oriented Scheme - Series 2 - Direct Dividend;10.000014;11-Dec-2018</v>
      </c>
      <c r="B12875" s="1"/>
    </row>
    <row r="12876">
      <c r="A12876" s="1" t="str">
        <f>IFERROR(__xludf.DUMMYFUNCTION("""COMPUTED_VALUE"""),"135746;INF174K010A6;-;Kotak Capital Protection Oriented Scheme - Series 2 - Direct Growth;12.24230938;11-Dec-2018")</f>
        <v>135746;INF174K010A6;-;Kotak Capital Protection Oriented Scheme - Series 2 - Direct Growth;12.24230938;11-Dec-2018</v>
      </c>
      <c r="B12876" s="1"/>
    </row>
    <row r="12877">
      <c r="A12877" s="1" t="str">
        <f>IFERROR(__xludf.DUMMYFUNCTION("""COMPUTED_VALUE"""),"135745;INF174K01Z97;-;Kotak Capital Protection Oriented Scheme - Series 2 - Dividend;10.00000026;11-Dec-2018")</f>
        <v>135745;INF174K01Z97;-;Kotak Capital Protection Oriented Scheme - Series 2 - Dividend;10.00000026;11-Dec-2018</v>
      </c>
      <c r="B12877" s="1"/>
    </row>
    <row r="12878">
      <c r="A12878" s="1" t="str">
        <f>IFERROR(__xludf.DUMMYFUNCTION("""COMPUTED_VALUE"""),"135747;INF174K01Z89;-;Kotak Capital Protection Oriented Scheme - Series 2 - Growth;12.04826466;11-Dec-2018")</f>
        <v>135747;INF174K01Z89;-;Kotak Capital Protection Oriented Scheme - Series 2 - Growth;12.04826466;11-Dec-2018</v>
      </c>
      <c r="B12878" s="1"/>
    </row>
    <row r="12879">
      <c r="A12879" s="1" t="str">
        <f>IFERROR(__xludf.DUMMYFUNCTION("""COMPUTED_VALUE"""),"136284;INF174K010E8;-;Kotak Capital Protection Oriented Scheme Series 3 - Direct Growth;12.01316151;25-Apr-2019")</f>
        <v>136284;INF174K010E8;-;Kotak Capital Protection Oriented Scheme Series 3 - Direct Growth;12.01316151;25-Apr-2019</v>
      </c>
      <c r="B12879" s="1"/>
    </row>
    <row r="12880">
      <c r="A12880" s="1" t="str">
        <f>IFERROR(__xludf.DUMMYFUNCTION("""COMPUTED_VALUE"""),"136287;INF174K019D1;-;Kotak Capital Protection Oriented Scheme Series 3 Regular Dividend Payout;10.00000414;25-Apr-2019")</f>
        <v>136287;INF174K019D1;-;Kotak Capital Protection Oriented Scheme Series 3 Regular Dividend Payout;10.00000414;25-Apr-2019</v>
      </c>
      <c r="B12880" s="1"/>
    </row>
    <row r="12881">
      <c r="A12881" s="1" t="str">
        <f>IFERROR(__xludf.DUMMYFUNCTION("""COMPUTED_VALUE"""),"136286;INF174K018D3;-;Kotak Capital Protection Oriented Scheme Series 3 Regular Growth;11.79653915;25-Apr-2019")</f>
        <v>136286;INF174K018D3;-;Kotak Capital Protection Oriented Scheme Series 3 Regular Growth;11.79653915;25-Apr-2019</v>
      </c>
      <c r="B12881" s="1"/>
    </row>
    <row r="12882">
      <c r="A12882" s="1" t="str">
        <f>IFERROR(__xludf.DUMMYFUNCTION("""COMPUTED_VALUE"""),"139361;INF174K015G2;-;Kotak Capital Protection Oriented Scheme - Series 4 - Direct Dividend;10.000003;10-Jun-2019")</f>
        <v>139361;INF174K015G2;-;Kotak Capital Protection Oriented Scheme - Series 4 - Direct Dividend;10.000003;10-Jun-2019</v>
      </c>
      <c r="B12882" s="1"/>
    </row>
    <row r="12883">
      <c r="A12883" s="1" t="str">
        <f>IFERROR(__xludf.DUMMYFUNCTION("""COMPUTED_VALUE"""),"139362;INF174K014G5;-;Kotak Capital Protection Oriented Scheme - Series 4 - Direct Growth;11.91227152;10-Jun-2019")</f>
        <v>139362;INF174K014G5;-;Kotak Capital Protection Oriented Scheme - Series 4 - Direct Growth;11.91227152;10-Jun-2019</v>
      </c>
      <c r="B12883" s="1"/>
    </row>
    <row r="12884">
      <c r="A12884" s="1" t="str">
        <f>IFERROR(__xludf.DUMMYFUNCTION("""COMPUTED_VALUE"""),"139359;INF174K013G7;-;Kotak Capital Protection Oriented Scheme - Series 4 - Regular Dividend;10.00000281;10-Jun-2019")</f>
        <v>139359;INF174K013G7;-;Kotak Capital Protection Oriented Scheme - Series 4 - Regular Dividend;10.00000281;10-Jun-2019</v>
      </c>
      <c r="B12884" s="1"/>
    </row>
    <row r="12885">
      <c r="A12885" s="1" t="str">
        <f>IFERROR(__xludf.DUMMYFUNCTION("""COMPUTED_VALUE"""),"139360;INF174K012G9;-;Kotak Capital Protection Oriented Scheme - Series 4 - Regular Growth;11.72408936;10-Jun-2019")</f>
        <v>139360;INF174K012G9;-;Kotak Capital Protection Oriented Scheme - Series 4 - Regular Growth;11.72408936;10-Jun-2019</v>
      </c>
      <c r="B12885" s="1"/>
    </row>
    <row r="12886">
      <c r="A12886" s="1" t="str">
        <f>IFERROR(__xludf.DUMMYFUNCTION("""COMPUTED_VALUE"""),"123106;INF174K01ZA0;-;Kotak FMP Series 105 Direct Dividend;12.75752;08-Aug-2017")</f>
        <v>123106;INF174K01ZA0;-;Kotak FMP Series 105 Direct Dividend;12.75752;08-Aug-2017</v>
      </c>
      <c r="B12886" s="1"/>
    </row>
    <row r="12887">
      <c r="A12887" s="1" t="str">
        <f>IFERROR(__xludf.DUMMYFUNCTION("""COMPUTED_VALUE"""),"123108;INF174K01YZ0;-;Kotak FMP Series 105 Direct Growth;14.0608253;08-Aug-2017")</f>
        <v>123108;INF174K01YZ0;-;Kotak FMP Series 105 Direct Growth;14.0608253;08-Aug-2017</v>
      </c>
      <c r="B12887" s="1"/>
    </row>
    <row r="12888">
      <c r="A12888" s="1" t="str">
        <f>IFERROR(__xludf.DUMMYFUNCTION("""COMPUTED_VALUE"""),"123109;INF174K01OY4;-;Kotak FMP Series 105 Dividend;10.00005272;04-Aug-2014")</f>
        <v>123109;INF174K01OY4;-;Kotak FMP Series 105 Dividend;10.00005272;04-Aug-2014</v>
      </c>
      <c r="B12888" s="1"/>
    </row>
    <row r="12889">
      <c r="A12889" s="1" t="str">
        <f>IFERROR(__xludf.DUMMYFUNCTION("""COMPUTED_VALUE"""),"123107;INF174K01YX5;-;Kotak FMP Series 105 Growth;14.01012529;08-Aug-2017")</f>
        <v>123107;INF174K01YX5;-;Kotak FMP Series 105 Growth;14.01012529;08-Aug-2017</v>
      </c>
      <c r="B12889" s="1"/>
    </row>
    <row r="12890">
      <c r="A12890" s="1" t="str">
        <f>IFERROR(__xludf.DUMMYFUNCTION("""COMPUTED_VALUE"""),"123188;-;-;Kotak FMP Series 106 Direct Dividend;10.00000021;05-Aug-2014")</f>
        <v>123188;-;-;Kotak FMP Series 106 Direct Dividend;10.00000021;05-Aug-2014</v>
      </c>
      <c r="B12890" s="1"/>
    </row>
    <row r="12891">
      <c r="A12891" s="1" t="str">
        <f>IFERROR(__xludf.DUMMYFUNCTION("""COMPUTED_VALUE"""),"123189;INF174K01ZD4;-;Kotak FMP Series 106 Direct Growth;14.0569223;09-Aug-2017")</f>
        <v>123189;INF174K01ZD4;-;Kotak FMP Series 106 Direct Growth;14.0569223;09-Aug-2017</v>
      </c>
      <c r="B12891" s="1"/>
    </row>
    <row r="12892">
      <c r="A12892" s="1" t="str">
        <f>IFERROR(__xludf.DUMMYFUNCTION("""COMPUTED_VALUE"""),"123191;-;-;Kotak FMP Series 106 Dividend;10.0000024;05-Aug-2014")</f>
        <v>123191;-;-;Kotak FMP Series 106 Dividend;10.0000024;05-Aug-2014</v>
      </c>
      <c r="B12892" s="1"/>
    </row>
    <row r="12893">
      <c r="A12893" s="1" t="str">
        <f>IFERROR(__xludf.DUMMYFUNCTION("""COMPUTED_VALUE"""),"123190;INF174K01ZB8;-;Kotak FMP Series 106 Growth;14.01230223;09-Aug-2017")</f>
        <v>123190;INF174K01ZB8;-;Kotak FMP Series 106 Growth;14.01230223;09-Aug-2017</v>
      </c>
      <c r="B12893" s="1"/>
    </row>
    <row r="12894">
      <c r="A12894" s="1" t="str">
        <f>IFERROR(__xludf.DUMMYFUNCTION("""COMPUTED_VALUE"""),"123195;INF174K01ZI3;-;Kotak FMP Series 107 Direct Dividend;11.895659;08-Aug-2016")</f>
        <v>123195;INF174K01ZI3;-;Kotak FMP Series 107 Direct Dividend;11.895659;08-Aug-2016</v>
      </c>
      <c r="B12894" s="1"/>
    </row>
    <row r="12895">
      <c r="A12895" s="1" t="str">
        <f>IFERROR(__xludf.DUMMYFUNCTION("""COMPUTED_VALUE"""),"123193;INF174K01ZH5;-;Kotak FMP Series 107 Direct Growth;13.86302882;21-Aug-2017")</f>
        <v>123193;INF174K01ZH5;-;Kotak FMP Series 107 Direct Growth;13.86302882;21-Aug-2017</v>
      </c>
      <c r="B12895" s="1"/>
    </row>
    <row r="12896">
      <c r="A12896" s="1" t="str">
        <f>IFERROR(__xludf.DUMMYFUNCTION("""COMPUTED_VALUE"""),"123192;INF174K01ZG7;-;Kotak FMP Series 107 Dividend;12.603974;21-Aug-2017")</f>
        <v>123192;INF174K01ZG7;-;Kotak FMP Series 107 Dividend;12.603974;21-Aug-2017</v>
      </c>
      <c r="B12896" s="1"/>
    </row>
    <row r="12897">
      <c r="A12897" s="1" t="str">
        <f>IFERROR(__xludf.DUMMYFUNCTION("""COMPUTED_VALUE"""),"123194;INF174K01ZF9;-;Kotak FMP Series 107 Growth;13.826;22-Aug-2017")</f>
        <v>123194;INF174K01ZF9;-;Kotak FMP Series 107 Growth;13.826;22-Aug-2017</v>
      </c>
      <c r="B12897" s="1"/>
    </row>
    <row r="12898">
      <c r="A12898" s="1" t="str">
        <f>IFERROR(__xludf.DUMMYFUNCTION("""COMPUTED_VALUE"""),"123326;INF174K01PL8;-;Kotak FMP Series 108 Direct Growth;15.2861;13-Aug-2018")</f>
        <v>123326;INF174K01PL8;-;Kotak FMP Series 108 Direct Growth;15.2861;13-Aug-2018</v>
      </c>
      <c r="B12898" s="1"/>
    </row>
    <row r="12899">
      <c r="A12899" s="1" t="str">
        <f>IFERROR(__xludf.DUMMYFUNCTION("""COMPUTED_VALUE"""),"123327;INF174K01PK0;-;Kotak FMP Series 108 Dividend;15.1436;13-Aug-2018")</f>
        <v>123327;INF174K01PK0;-;Kotak FMP Series 108 Dividend;15.1436;13-Aug-2018</v>
      </c>
      <c r="B12899" s="1"/>
    </row>
    <row r="12900">
      <c r="A12900" s="1" t="str">
        <f>IFERROR(__xludf.DUMMYFUNCTION("""COMPUTED_VALUE"""),"123328;INF174K01PJ2;-;Kotak FMP Series 108 Growth;15.1436;13-Aug-2018")</f>
        <v>123328;INF174K01PJ2;-;Kotak FMP Series 108 Growth;15.1436;13-Aug-2018</v>
      </c>
      <c r="B12900" s="1"/>
    </row>
    <row r="12901">
      <c r="A12901" s="1" t="str">
        <f>IFERROR(__xludf.DUMMYFUNCTION("""COMPUTED_VALUE"""),"123793;INF174K01QG6;-;Kotak FMP Series 113 (1094 Days)  - Direct Dividend;14.12405644;12-Oct-2017")</f>
        <v>123793;INF174K01QG6;-;Kotak FMP Series 113 (1094 Days)  - Direct Dividend;14.12405644;12-Oct-2017</v>
      </c>
      <c r="B12901" s="1"/>
    </row>
    <row r="12902">
      <c r="A12902" s="1" t="str">
        <f>IFERROR(__xludf.DUMMYFUNCTION("""COMPUTED_VALUE"""),"123792;INF174K01QF8;-;Kotak FMP Series 113 (1094 Days) - Direct Growth;14.1240669;12-Oct-2017")</f>
        <v>123792;INF174K01QF8;-;Kotak FMP Series 113 (1094 Days) - Direct Growth;14.1240669;12-Oct-2017</v>
      </c>
      <c r="B12902" s="1"/>
    </row>
    <row r="12903">
      <c r="A12903" s="1" t="str">
        <f>IFERROR(__xludf.DUMMYFUNCTION("""COMPUTED_VALUE"""),"123791;INF174K01QE1;-;Kotak FMP Series 113 (1094 Days) - Dividend;13.12598706;07-Sep-2016")</f>
        <v>123791;INF174K01QE1;-;Kotak FMP Series 113 (1094 Days) - Dividend;13.12598706;07-Sep-2016</v>
      </c>
      <c r="B12903" s="1"/>
    </row>
    <row r="12904">
      <c r="A12904" s="1" t="str">
        <f>IFERROR(__xludf.DUMMYFUNCTION("""COMPUTED_VALUE"""),"123790;INF174K01QD3;-;Kotak FMP Series 113 (1094 Days) - Growth;13.92897592;12-Oct-2017")</f>
        <v>123790;INF174K01QD3;-;Kotak FMP Series 113 (1094 Days) - Growth;13.92897592;12-Oct-2017</v>
      </c>
      <c r="B12904" s="1"/>
    </row>
    <row r="12905">
      <c r="A12905" s="1" t="str">
        <f>IFERROR(__xludf.DUMMYFUNCTION("""COMPUTED_VALUE"""),"123971;INF174K01B04;-;Kotak FMP Series 115 (370 Days) - Direct Dividend;13.9816854;12-Oct-2017")</f>
        <v>123971;INF174K01B04;-;Kotak FMP Series 115 (370 Days) - Direct Dividend;13.9816854;12-Oct-2017</v>
      </c>
      <c r="B12905" s="1"/>
    </row>
    <row r="12906">
      <c r="A12906" s="1" t="str">
        <f>IFERROR(__xludf.DUMMYFUNCTION("""COMPUTED_VALUE"""),"123973;INF174K01A96;-;Kotak FMP Series 115 (370 Days) - Direct Growth;13.98165446;12-Oct-2017")</f>
        <v>123973;INF174K01A96;-;Kotak FMP Series 115 (370 Days) - Direct Growth;13.98165446;12-Oct-2017</v>
      </c>
      <c r="B12906" s="1"/>
    </row>
    <row r="12907">
      <c r="A12907" s="1" t="str">
        <f>IFERROR(__xludf.DUMMYFUNCTION("""COMPUTED_VALUE"""),"123972;-;-;Kotak FMP Series 115 (370 Days) - Dividend;11.05176745;08-Sep-2014")</f>
        <v>123972;-;-;Kotak FMP Series 115 (370 Days) - Dividend;11.05176745;08-Sep-2014</v>
      </c>
      <c r="B12907" s="1"/>
    </row>
    <row r="12908">
      <c r="A12908" s="1" t="str">
        <f>IFERROR(__xludf.DUMMYFUNCTION("""COMPUTED_VALUE"""),"123970;INF174K01A70;-;Kotak FMP Series 115 (370 Days) - Growth;13.90687362;12-Oct-2017")</f>
        <v>123970;INF174K01A70;-;Kotak FMP Series 115 (370 Days) - Growth;13.90687362;12-Oct-2017</v>
      </c>
      <c r="B12908" s="1"/>
    </row>
    <row r="12909">
      <c r="A12909" s="1" t="str">
        <f>IFERROR(__xludf.DUMMYFUNCTION("""COMPUTED_VALUE"""),"124034;INF174K01QS1;-;Kotak FMP Series 116 (370 Days) - Direct Dividend;11.0919;09-Sep-2014")</f>
        <v>124034;INF174K01QS1;-;Kotak FMP Series 116 (370 Days) - Direct Dividend;11.0919;09-Sep-2014</v>
      </c>
      <c r="B12909" s="1"/>
    </row>
    <row r="12910">
      <c r="A12910" s="1" t="str">
        <f>IFERROR(__xludf.DUMMYFUNCTION("""COMPUTED_VALUE"""),"124036;INF174K01B38;-;Kotak FMP Series 116 (370 Days) - Direct Growth;14.0495;12-Oct-2017")</f>
        <v>124036;INF174K01B38;-;Kotak FMP Series 116 (370 Days) - Direct Growth;14.0495;12-Oct-2017</v>
      </c>
      <c r="B12910" s="1"/>
    </row>
    <row r="12911">
      <c r="A12911" s="1" t="str">
        <f>IFERROR(__xludf.DUMMYFUNCTION("""COMPUTED_VALUE"""),"124035;INF174K01B12;-;Kotak FMP Series 116 (370 Days) - Growth;14.01739046;12-Oct-2017")</f>
        <v>124035;INF174K01B12;-;Kotak FMP Series 116 (370 Days) - Growth;14.01739046;12-Oct-2017</v>
      </c>
      <c r="B12911" s="1"/>
    </row>
    <row r="12912">
      <c r="A12912" s="1" t="str">
        <f>IFERROR(__xludf.DUMMYFUNCTION("""COMPUTED_VALUE"""),"124037;INF174K01QQ5;-;Kotak FMP Series 116 (370 Days)- Dividend;11.08650939;09-Sep-2014")</f>
        <v>124037;INF174K01QQ5;-;Kotak FMP Series 116 (370 Days)- Dividend;11.08650939;09-Sep-2014</v>
      </c>
      <c r="B12912" s="1"/>
    </row>
    <row r="12913">
      <c r="A12913" s="1" t="str">
        <f>IFERROR(__xludf.DUMMYFUNCTION("""COMPUTED_VALUE"""),"126052;INF174K01TB1;-;Kotak FMP Series 131 (1061 Days) - Direct Growth;13.40397152;21-Nov-2016")</f>
        <v>126052;INF174K01TB1;-;Kotak FMP Series 131 (1061 Days) - Direct Growth;13.40397152;21-Nov-2016</v>
      </c>
      <c r="B12913" s="1"/>
    </row>
    <row r="12914">
      <c r="A12914" s="1" t="str">
        <f>IFERROR(__xludf.DUMMYFUNCTION("""COMPUTED_VALUE"""),"126054;INF174K01TA3;-;Kotak FMP Series 131 (1061 Days) - Dividend;13.30711876;21-Nov-2016")</f>
        <v>126054;INF174K01TA3;-;Kotak FMP Series 131 (1061 Days) - Dividend;13.30711876;21-Nov-2016</v>
      </c>
      <c r="B12914" s="1"/>
    </row>
    <row r="12915">
      <c r="A12915" s="1" t="str">
        <f>IFERROR(__xludf.DUMMYFUNCTION("""COMPUTED_VALUE"""),"126053;INF174K01SZ2;-;Kotak FMP Series 131 (1061 Days) - Growth;13.63516786;17-Apr-2017")</f>
        <v>126053;INF174K01SZ2;-;Kotak FMP Series 131 (1061 Days) - Growth;13.63516786;17-Apr-2017</v>
      </c>
      <c r="B12915" s="1"/>
    </row>
    <row r="12916">
      <c r="A12916" s="1" t="str">
        <f>IFERROR(__xludf.DUMMYFUNCTION("""COMPUTED_VALUE"""),"126283;INF174K01TG0;-;Kotak FMP Series 132 (546 Days) - Direct Dividend;11.436448;08-Jul-2015")</f>
        <v>126283;INF174K01TG0;-;Kotak FMP Series 132 (546 Days) - Direct Dividend;11.436448;08-Jul-2015</v>
      </c>
      <c r="B12916" s="1"/>
    </row>
    <row r="12917">
      <c r="A12917" s="1" t="str">
        <f>IFERROR(__xludf.DUMMYFUNCTION("""COMPUTED_VALUE"""),"126281;INF174K01TF2;-;Kotak FMP Series 132 (546 Days) - Direct Growth;13.1022;06-Apr-2017")</f>
        <v>126281;INF174K01TF2;-;Kotak FMP Series 132 (546 Days) - Direct Growth;13.1022;06-Apr-2017</v>
      </c>
      <c r="B12917" s="1"/>
    </row>
    <row r="12918">
      <c r="A12918" s="1" t="str">
        <f>IFERROR(__xludf.DUMMYFUNCTION("""COMPUTED_VALUE"""),"126282;INF174K01TE5;-;Kotak FMP Series 132 (546 Days) - Dividend;12.98211685;05-Apr-2017")</f>
        <v>126282;INF174K01TE5;-;Kotak FMP Series 132 (546 Days) - Dividend;12.98211685;05-Apr-2017</v>
      </c>
      <c r="B12918" s="1"/>
    </row>
    <row r="12919">
      <c r="A12919" s="1" t="str">
        <f>IFERROR(__xludf.DUMMYFUNCTION("""COMPUTED_VALUE"""),"126280;INF174K01TD7;-;Kotak FMP Series 132 (546 Days) - Growth;12.98210634;05-Apr-2017")</f>
        <v>126280;INF174K01TD7;-;Kotak FMP Series 132 (546 Days) - Growth;12.98210634;05-Apr-2017</v>
      </c>
      <c r="B12919" s="1"/>
    </row>
    <row r="12920">
      <c r="A12920" s="1" t="str">
        <f>IFERROR(__xludf.DUMMYFUNCTION("""COMPUTED_VALUE"""),"126666;INF174K01TN6;-;Kotak FMP Series 133 (524 Days) - Direct Growth;13.0411;06-Apr-2017")</f>
        <v>126666;INF174K01TN6;-;Kotak FMP Series 133 (524 Days) - Direct Growth;13.0411;06-Apr-2017</v>
      </c>
      <c r="B12920" s="1"/>
    </row>
    <row r="12921">
      <c r="A12921" s="1" t="str">
        <f>IFERROR(__xludf.DUMMYFUNCTION("""COMPUTED_VALUE"""),"126665;INF174K01TL0;-;Kotak FMP Series 133 (524 Days) - Growth;12.94254112;05-Apr-2017")</f>
        <v>126665;INF174K01TL0;-;Kotak FMP Series 133 (524 Days) - Growth;12.94254112;05-Apr-2017</v>
      </c>
      <c r="B12921" s="1"/>
    </row>
    <row r="12922">
      <c r="A12922" s="1" t="str">
        <f>IFERROR(__xludf.DUMMYFUNCTION("""COMPUTED_VALUE"""),"126874;INF174K01P81;-;Kotak FMP Series 135 (455 Days) - Direct Growth;13.02230964;07-Feb-2017")</f>
        <v>126874;INF174K01P81;-;Kotak FMP Series 135 (455 Days) - Direct Growth;13.02230964;07-Feb-2017</v>
      </c>
      <c r="B12922" s="1"/>
    </row>
    <row r="12923">
      <c r="A12923" s="1" t="str">
        <f>IFERROR(__xludf.DUMMYFUNCTION("""COMPUTED_VALUE"""),"126873;INF174K01P65;-;Kotak FMP Series 135 (455 Days) - Growth;12.94497933;07-Feb-2017")</f>
        <v>126873;INF174K01P65;-;Kotak FMP Series 135 (455 Days) - Growth;12.94497933;07-Feb-2017</v>
      </c>
      <c r="B12923" s="1"/>
    </row>
    <row r="12924">
      <c r="A12924" s="1" t="str">
        <f>IFERROR(__xludf.DUMMYFUNCTION("""COMPUTED_VALUE"""),"127127;INF174K01H81;-;Kotak FMP Series 136 (376 Days) - Direct Growth;13.1268279;17-May-2017")</f>
        <v>127127;INF174K01H81;-;Kotak FMP Series 136 (376 Days) - Direct Growth;13.1268279;17-May-2017</v>
      </c>
      <c r="B12924" s="1"/>
    </row>
    <row r="12925">
      <c r="A12925" s="1" t="str">
        <f>IFERROR(__xludf.DUMMYFUNCTION("""COMPUTED_VALUE"""),"127128;INF174K01TY3;-;Kotak FMP Series 136 (376 Days) - Dividend;10.98559022;23-Feb-2015")</f>
        <v>127128;INF174K01TY3;-;Kotak FMP Series 136 (376 Days) - Dividend;10.98559022;23-Feb-2015</v>
      </c>
      <c r="B12925" s="1"/>
    </row>
    <row r="12926">
      <c r="A12926" s="1" t="str">
        <f>IFERROR(__xludf.DUMMYFUNCTION("""COMPUTED_VALUE"""),"127126;INF174K01H65;-;Kotak FMP Series 136 (376 Days) - Growth;13.07416784;17-May-2017")</f>
        <v>127126;INF174K01H65;-;Kotak FMP Series 136 (376 Days) - Growth;13.07416784;17-May-2017</v>
      </c>
      <c r="B12926" s="1"/>
    </row>
    <row r="12927">
      <c r="A12927" s="1" t="str">
        <f>IFERROR(__xludf.DUMMYFUNCTION("""COMPUTED_VALUE"""),"127256;INF174K01H40;-;Kotak FMP Series 137 (371 Days) -  Direct Growth;12.91911207;22-Feb-2017")</f>
        <v>127256;INF174K01H40;-;Kotak FMP Series 137 (371 Days) -  Direct Growth;12.91911207;22-Feb-2017</v>
      </c>
      <c r="B12927" s="1"/>
    </row>
    <row r="12928">
      <c r="A12928" s="1" t="str">
        <f>IFERROR(__xludf.DUMMYFUNCTION("""COMPUTED_VALUE"""),"127257;-;-;Kotak FMP Series 137 (371 Days) -  Dividend;10.9876902;23-Feb-2015")</f>
        <v>127257;-;-;Kotak FMP Series 137 (371 Days) -  Dividend;10.9876902;23-Feb-2015</v>
      </c>
      <c r="B12928" s="1"/>
    </row>
    <row r="12929">
      <c r="A12929" s="1" t="str">
        <f>IFERROR(__xludf.DUMMYFUNCTION("""COMPUTED_VALUE"""),"127258;-;-;Kotak FMP Series 137 (371 Days) - Direct Dividend;11.00823;23-Feb-2015")</f>
        <v>127258;-;-;Kotak FMP Series 137 (371 Days) - Direct Dividend;11.00823;23-Feb-2015</v>
      </c>
      <c r="B12929" s="1"/>
    </row>
    <row r="12930">
      <c r="A12930" s="1" t="str">
        <f>IFERROR(__xludf.DUMMYFUNCTION("""COMPUTED_VALUE"""),"127255;INF174K01H24;-;Kotak FMP Series 137 (371 Days) - Growth;12.89282548;22-Feb-2017")</f>
        <v>127255;INF174K01H24;-;Kotak FMP Series 137 (371 Days) - Growth;12.89282548;22-Feb-2017</v>
      </c>
      <c r="B12930" s="1"/>
    </row>
    <row r="12931">
      <c r="A12931" s="1" t="str">
        <f>IFERROR(__xludf.DUMMYFUNCTION("""COMPUTED_VALUE"""),"127390;INF174K01UQ7;-;Kotak FMP Series 140 (1095 Days) - Direct Dividend;13.25938744;27-Feb-2017")</f>
        <v>127390;INF174K01UQ7;-;Kotak FMP Series 140 (1095 Days) - Direct Dividend;13.25938744;27-Feb-2017</v>
      </c>
      <c r="B12931" s="1"/>
    </row>
    <row r="12932">
      <c r="A12932" s="1" t="str">
        <f>IFERROR(__xludf.DUMMYFUNCTION("""COMPUTED_VALUE"""),"127388;INF174K01UP9;-;Kotak FMP Series 140 (1095 Days) - Direct Growth;13.46592974;29-May-2017")</f>
        <v>127388;INF174K01UP9;-;Kotak FMP Series 140 (1095 Days) - Direct Growth;13.46592974;29-May-2017</v>
      </c>
      <c r="B12932" s="1"/>
    </row>
    <row r="12933">
      <c r="A12933" s="1" t="str">
        <f>IFERROR(__xludf.DUMMYFUNCTION("""COMPUTED_VALUE"""),"127389;INF174K01UO2;-;Kotak FMP Series 140 (1095 Days) - Dividend;13.04108916;27-Feb-2017")</f>
        <v>127389;INF174K01UO2;-;Kotak FMP Series 140 (1095 Days) - Dividend;13.04108916;27-Feb-2017</v>
      </c>
      <c r="B12933" s="1"/>
    </row>
    <row r="12934">
      <c r="A12934" s="1" t="str">
        <f>IFERROR(__xludf.DUMMYFUNCTION("""COMPUTED_VALUE"""),"127387;INF174K01UN4;-;Kotak FMP Series 140 (1095 Days) - Growth;13.24117348;29-May-2017")</f>
        <v>127387;INF174K01UN4;-;Kotak FMP Series 140 (1095 Days) - Growth;13.24117348;29-May-2017</v>
      </c>
      <c r="B12934" s="1"/>
    </row>
    <row r="12935">
      <c r="A12935" s="1" t="str">
        <f>IFERROR(__xludf.DUMMYFUNCTION("""COMPUTED_VALUE"""),"127403;-;-;Kotak FMP Series 141 (454 Days) - Direct Dividend;11.22644472;20-May-2015")</f>
        <v>127403;-;-;Kotak FMP Series 141 (454 Days) - Direct Dividend;11.22644472;20-May-2015</v>
      </c>
      <c r="B12935" s="1"/>
    </row>
    <row r="12936">
      <c r="A12936" s="1" t="str">
        <f>IFERROR(__xludf.DUMMYFUNCTION("""COMPUTED_VALUE"""),"127401;INF174K01Q31;-;Kotak FMP Series 141 (454 Days) - Direct Growth;13.10564654;30-May-2017")</f>
        <v>127401;INF174K01Q31;-;Kotak FMP Series 141 (454 Days) - Direct Growth;13.10564654;30-May-2017</v>
      </c>
      <c r="B12936" s="1"/>
    </row>
    <row r="12937">
      <c r="A12937" s="1" t="str">
        <f>IFERROR(__xludf.DUMMYFUNCTION("""COMPUTED_VALUE"""),"127402;INF174K01Q23;-;Kotak FMP Series 141 (454 Days) - Dividend;12.745592;27-Feb-2017")</f>
        <v>127402;INF174K01Q23;-;Kotak FMP Series 141 (454 Days) - Dividend;12.745592;27-Feb-2017</v>
      </c>
      <c r="B12937" s="1"/>
    </row>
    <row r="12938">
      <c r="A12938" s="1" t="str">
        <f>IFERROR(__xludf.DUMMYFUNCTION("""COMPUTED_VALUE"""),"127400;INF174K01Q07;-;Kotak FMP Series 141 (454 Days) - Growth;12.94329655;30-May-2017")</f>
        <v>127400;INF174K01Q07;-;Kotak FMP Series 141 (454 Days) - Growth;12.94329655;30-May-2017</v>
      </c>
      <c r="B12938" s="1"/>
    </row>
    <row r="12939">
      <c r="A12939" s="1" t="str">
        <f>IFERROR(__xludf.DUMMYFUNCTION("""COMPUTED_VALUE"""),"127651;INF174K01L10;-;Kotak FMP Series 142 (420 Days) - Direct Growth;12.93659605;05-Apr-2017")</f>
        <v>127651;INF174K01L10;-;Kotak FMP Series 142 (420 Days) - Direct Growth;12.93659605;05-Apr-2017</v>
      </c>
      <c r="B12939" s="1"/>
    </row>
    <row r="12940">
      <c r="A12940" s="1" t="str">
        <f>IFERROR(__xludf.DUMMYFUNCTION("""COMPUTED_VALUE"""),"127652;-;-;Kotak FMP Series 142 (420 Days) - Dividend;11.0881154;27-Apr-2015")</f>
        <v>127652;-;-;Kotak FMP Series 142 (420 Days) - Dividend;11.0881154;27-Apr-2015</v>
      </c>
      <c r="B12940" s="1"/>
    </row>
    <row r="12941">
      <c r="A12941" s="1" t="str">
        <f>IFERROR(__xludf.DUMMYFUNCTION("""COMPUTED_VALUE"""),"127650;INF174K01K86;-;Kotak FMP Series 142 (420 Days) - Growth;12.85510725;05-Apr-2017")</f>
        <v>127650;INF174K01K86;-;Kotak FMP Series 142 (420 Days) - Growth;12.85510725;05-Apr-2017</v>
      </c>
      <c r="B12941" s="1"/>
    </row>
    <row r="12942">
      <c r="A12942" s="1" t="str">
        <f>IFERROR(__xludf.DUMMYFUNCTION("""COMPUTED_VALUE"""),"127807;INF174K01J22;-;Kotak FMP Series 143 (370 Days) - Direct Growth;12.86922883;09-Mar-2017")</f>
        <v>127807;INF174K01J22;-;Kotak FMP Series 143 (370 Days) - Direct Growth;12.86922883;09-Mar-2017</v>
      </c>
      <c r="B12942" s="1"/>
    </row>
    <row r="12943">
      <c r="A12943" s="1" t="str">
        <f>IFERROR(__xludf.DUMMYFUNCTION("""COMPUTED_VALUE"""),"127808;INF174K01J14;-;Kotak FMP Series 143 (370 Days) - Dividend;12.83623775;09-Mar-2017")</f>
        <v>127808;INF174K01J14;-;Kotak FMP Series 143 (370 Days) - Dividend;12.83623775;09-Mar-2017</v>
      </c>
      <c r="B12943" s="1"/>
    </row>
    <row r="12944">
      <c r="A12944" s="1" t="str">
        <f>IFERROR(__xludf.DUMMYFUNCTION("""COMPUTED_VALUE"""),"127806;INF174K01J06;-;Kotak FMP Series 143 (370 Days) - Growth;12.83623795;09-Mar-2017")</f>
        <v>127806;INF174K01J06;-;Kotak FMP Series 143 (370 Days) - Growth;12.83623795;09-Mar-2017</v>
      </c>
      <c r="B12944" s="1"/>
    </row>
    <row r="12945">
      <c r="A12945" s="1" t="str">
        <f>IFERROR(__xludf.DUMMYFUNCTION("""COMPUTED_VALUE"""),"128268;-;-;Kotak FMP Series 145 (390 Days) - Direct Dividend;11.0309;06-Apr-2015")</f>
        <v>128268;-;-;Kotak FMP Series 145 (390 Days) - Direct Dividend;11.0309;06-Apr-2015</v>
      </c>
      <c r="B12945" s="1"/>
    </row>
    <row r="12946">
      <c r="A12946" s="1" t="str">
        <f>IFERROR(__xludf.DUMMYFUNCTION("""COMPUTED_VALUE"""),"128266;INF174K01L93;-;Kotak FMP Series 145 (390 Days) - Direct Growth;13.9980544;10-Apr-2018")</f>
        <v>128266;INF174K01L93;-;Kotak FMP Series 145 (390 Days) - Direct Growth;13.9980544;10-Apr-2018</v>
      </c>
      <c r="B12946" s="1"/>
    </row>
    <row r="12947">
      <c r="A12947" s="1" t="str">
        <f>IFERROR(__xludf.DUMMYFUNCTION("""COMPUTED_VALUE"""),"128267;INF174K01P16;-;Kotak FMP Series 145 (390 Days) - Dividend;13.926788;10-Apr-2018")</f>
        <v>128267;INF174K01P16;-;Kotak FMP Series 145 (390 Days) - Dividend;13.926788;10-Apr-2018</v>
      </c>
      <c r="B12947" s="1"/>
    </row>
    <row r="12948">
      <c r="A12948" s="1" t="str">
        <f>IFERROR(__xludf.DUMMYFUNCTION("""COMPUTED_VALUE"""),"128265;INF174K01L51;-;Kotak FMP Series 145 (390 Days) - Growth;13.92670727;10-Apr-2018")</f>
        <v>128265;INF174K01L51;-;Kotak FMP Series 145 (390 Days) - Growth;13.92670727;10-Apr-2018</v>
      </c>
      <c r="B12948" s="1"/>
    </row>
    <row r="12949">
      <c r="A12949" s="1" t="str">
        <f>IFERROR(__xludf.DUMMYFUNCTION("""COMPUTED_VALUE"""),"128365;INF174K01M35;-;Kotak FMP Series 146 (388 Days) - Direct Growth;13.97907359;10-Apr-2018")</f>
        <v>128365;INF174K01M35;-;Kotak FMP Series 146 (388 Days) - Direct Growth;13.97907359;10-Apr-2018</v>
      </c>
      <c r="B12949" s="1"/>
    </row>
    <row r="12950">
      <c r="A12950" s="1" t="str">
        <f>IFERROR(__xludf.DUMMYFUNCTION("""COMPUTED_VALUE"""),"128362;-;-;Kotak FMP Series 146 (388 Days) - Dividend;10.991794;06-Apr-2015")</f>
        <v>128362;-;-;Kotak FMP Series 146 (388 Days) - Dividend;10.991794;06-Apr-2015</v>
      </c>
      <c r="B12950" s="1"/>
    </row>
    <row r="12951">
      <c r="A12951" s="1" t="str">
        <f>IFERROR(__xludf.DUMMYFUNCTION("""COMPUTED_VALUE"""),"128364;INF174K01M19;-;Kotak FMP Series 146 (388 Days) - Growth;13.91344572;10-Apr-2018")</f>
        <v>128364;INF174K01M19;-;Kotak FMP Series 146 (388 Days) - Growth;13.91344572;10-Apr-2018</v>
      </c>
      <c r="B12951" s="1"/>
    </row>
    <row r="12952">
      <c r="A12952" s="1" t="str">
        <f>IFERROR(__xludf.DUMMYFUNCTION("""COMPUTED_VALUE"""),"128575;INF174K01M76;-;Kotak FMP Series 147 (384 Days) - Direct Growth;13.94105794;12-Apr-2018")</f>
        <v>128575;INF174K01M76;-;Kotak FMP Series 147 (384 Days) - Direct Growth;13.94105794;12-Apr-2018</v>
      </c>
      <c r="B12952" s="1"/>
    </row>
    <row r="12953">
      <c r="A12953" s="1" t="str">
        <f>IFERROR(__xludf.DUMMYFUNCTION("""COMPUTED_VALUE"""),"128576;-;-;Kotak FMP Series 147 (384 Days) - Dividend;10.9754905;08-Apr-2015")</f>
        <v>128576;-;-;Kotak FMP Series 147 (384 Days) - Dividend;10.9754905;08-Apr-2015</v>
      </c>
      <c r="B12953" s="1"/>
    </row>
    <row r="12954">
      <c r="A12954" s="1" t="str">
        <f>IFERROR(__xludf.DUMMYFUNCTION("""COMPUTED_VALUE"""),"128574;INF174K01M50;-;Kotak FMP Series 147 (384 Days) - Growth;13.81277193;12-Apr-2018")</f>
        <v>128574;INF174K01M50;-;Kotak FMP Series 147 (384 Days) - Growth;13.81277193;12-Apr-2018</v>
      </c>
      <c r="B12954" s="1"/>
    </row>
    <row r="12955">
      <c r="A12955" s="1" t="str">
        <f>IFERROR(__xludf.DUMMYFUNCTION("""COMPUTED_VALUE"""),"128579;INF174K01N18;-;Kotak FMP Series 148 (388 Days) - Direct Growth;12.80118127;05-Apr-2017")</f>
        <v>128579;INF174K01N18;-;Kotak FMP Series 148 (388 Days) - Direct Growth;12.80118127;05-Apr-2017</v>
      </c>
      <c r="B12955" s="1"/>
    </row>
    <row r="12956">
      <c r="A12956" s="1" t="str">
        <f>IFERROR(__xludf.DUMMYFUNCTION("""COMPUTED_VALUE"""),"128580;-;-;Kotak FMP Series 148 (388 Days) - Dividend;10.97208832;16-Apr-2015")</f>
        <v>128580;-;-;Kotak FMP Series 148 (388 Days) - Dividend;10.97208832;16-Apr-2015</v>
      </c>
      <c r="B12956" s="1"/>
    </row>
    <row r="12957">
      <c r="A12957" s="1" t="str">
        <f>IFERROR(__xludf.DUMMYFUNCTION("""COMPUTED_VALUE"""),"128578;INF174K01M92;-;Kotak FMP Series 148 (388 Days) - Growth;12.75601298;05-Apr-2017")</f>
        <v>128578;INF174K01M92;-;Kotak FMP Series 148 (388 Days) - Growth;12.75601298;05-Apr-2017</v>
      </c>
      <c r="B12957" s="1"/>
    </row>
    <row r="12958">
      <c r="A12958" s="1" t="str">
        <f>IFERROR(__xludf.DUMMYFUNCTION("""COMPUTED_VALUE"""),"128758;INF174K01N59;-;Kotak FMP Series 149 (386 Days) - Direct Growth;12.804;06-Apr-2017")</f>
        <v>128758;INF174K01N59;-;Kotak FMP Series 149 (386 Days) - Direct Growth;12.804;06-Apr-2017</v>
      </c>
      <c r="B12958" s="1"/>
    </row>
    <row r="12959">
      <c r="A12959" s="1" t="str">
        <f>IFERROR(__xludf.DUMMYFUNCTION("""COMPUTED_VALUE"""),"128759;-;-;Kotak FMP Series 149 (386 Days) - Dividend;10.95417912;16-Apr-2015")</f>
        <v>128759;-;-;Kotak FMP Series 149 (386 Days) - Dividend;10.95417912;16-Apr-2015</v>
      </c>
      <c r="B12959" s="1"/>
    </row>
    <row r="12960">
      <c r="A12960" s="1" t="str">
        <f>IFERROR(__xludf.DUMMYFUNCTION("""COMPUTED_VALUE"""),"128756;INF174K01N34;-;Kotak FMP Series 149 (386 Days) - Growth;12.74600336;05-Apr-2017")</f>
        <v>128756;INF174K01N34;-;Kotak FMP Series 149 (386 Days) - Growth;12.74600336;05-Apr-2017</v>
      </c>
      <c r="B12960" s="1"/>
    </row>
    <row r="12961">
      <c r="A12961" s="1" t="str">
        <f>IFERROR(__xludf.DUMMYFUNCTION("""COMPUTED_VALUE"""),"128753;INF174K01WK6;-;Kotak FMP Series 150 (1109 Days) - Direct Dividend;13.12745199;06-Apr-2017")</f>
        <v>128753;INF174K01WK6;-;Kotak FMP Series 150 (1109 Days) - Direct Dividend;13.12745199;06-Apr-2017</v>
      </c>
      <c r="B12961" s="1"/>
    </row>
    <row r="12962">
      <c r="A12962" s="1" t="str">
        <f>IFERROR(__xludf.DUMMYFUNCTION("""COMPUTED_VALUE"""),"128755;INF174K01WJ8;-;Kotak FMP Series 150 (1109 Days) - Direct Growth;13.1274521;06-Apr-2017")</f>
        <v>128755;INF174K01WJ8;-;Kotak FMP Series 150 (1109 Days) - Direct Growth;13.1274521;06-Apr-2017</v>
      </c>
      <c r="B12962" s="1"/>
    </row>
    <row r="12963">
      <c r="A12963" s="1" t="str">
        <f>IFERROR(__xludf.DUMMYFUNCTION("""COMPUTED_VALUE"""),"128752;INF174K01WI0;-;Kotak FMP Series 150 (1109 Days) - Dividend;13.04040104;06-Apr-2017")</f>
        <v>128752;INF174K01WI0;-;Kotak FMP Series 150 (1109 Days) - Dividend;13.04040104;06-Apr-2017</v>
      </c>
      <c r="B12963" s="1"/>
    </row>
    <row r="12964">
      <c r="A12964" s="1" t="str">
        <f>IFERROR(__xludf.DUMMYFUNCTION("""COMPUTED_VALUE"""),"128754;INF174K01WH2;-;Kotak FMP Series 150 (1109 Days) - Growth;13.04040104;06-Apr-2017")</f>
        <v>128754;INF174K01WH2;-;Kotak FMP Series 150 (1109 Days) - Growth;13.04040104;06-Apr-2017</v>
      </c>
      <c r="B12964" s="1"/>
    </row>
    <row r="12965">
      <c r="A12965" s="1" t="str">
        <f>IFERROR(__xludf.DUMMYFUNCTION("""COMPUTED_VALUE"""),"128871;INF174K01N91;-;Kotak FMP Series 151 (388 Days) - Direct Growth;12.79384167;05-Apr-2017")</f>
        <v>128871;INF174K01N91;-;Kotak FMP Series 151 (388 Days) - Direct Growth;12.79384167;05-Apr-2017</v>
      </c>
      <c r="B12965" s="1"/>
    </row>
    <row r="12966">
      <c r="A12966" s="1" t="str">
        <f>IFERROR(__xludf.DUMMYFUNCTION("""COMPUTED_VALUE"""),"128869;INF174K01N83;-;Kotak FMP Series 151 (388 Days) - Dividend;12.7396344;05-Apr-2017")</f>
        <v>128869;INF174K01N83;-;Kotak FMP Series 151 (388 Days) - Dividend;12.7396344;05-Apr-2017</v>
      </c>
      <c r="B12966" s="1"/>
    </row>
    <row r="12967">
      <c r="A12967" s="1" t="str">
        <f>IFERROR(__xludf.DUMMYFUNCTION("""COMPUTED_VALUE"""),"128868;INF174K01N75;-;Kotak FMP Series 151 (388 Days) - Growth;12.73963475;05-Apr-2017")</f>
        <v>128868;INF174K01N75;-;Kotak FMP Series 151 (388 Days) - Growth;12.73963475;05-Apr-2017</v>
      </c>
      <c r="B12967" s="1"/>
    </row>
    <row r="12968">
      <c r="A12968" s="1" t="str">
        <f>IFERROR(__xludf.DUMMYFUNCTION("""COMPUTED_VALUE"""),"128905;INF174K01WZ4;-;Kotak FMP Series 153 (790 Days) - Direct Growth;13.16340155;29-May-2017")</f>
        <v>128905;INF174K01WZ4;-;Kotak FMP Series 153 (790 Days) - Direct Growth;13.16340155;29-May-2017</v>
      </c>
      <c r="B12968" s="1"/>
    </row>
    <row r="12969">
      <c r="A12969" s="1" t="str">
        <f>IFERROR(__xludf.DUMMYFUNCTION("""COMPUTED_VALUE"""),"128902;INF174K01WY7;-;Kotak FMP Series 153 (790 Days) - Dividend;13.007522;29-May-2017")</f>
        <v>128902;INF174K01WY7;-;Kotak FMP Series 153 (790 Days) - Dividend;13.007522;29-May-2017</v>
      </c>
      <c r="B12969" s="1"/>
    </row>
    <row r="12970">
      <c r="A12970" s="1" t="str">
        <f>IFERROR(__xludf.DUMMYFUNCTION("""COMPUTED_VALUE"""),"128904;INF174K01WX9;-;Kotak FMP Series 153 (790 Days) - Growth;13.00752188;29-May-2017")</f>
        <v>128904;INF174K01WX9;-;Kotak FMP Series 153 (790 Days) - Growth;13.00752188;29-May-2017</v>
      </c>
      <c r="B12970" s="1"/>
    </row>
    <row r="12971">
      <c r="A12971" s="1" t="str">
        <f>IFERROR(__xludf.DUMMYFUNCTION("""COMPUTED_VALUE"""),"128908;-;-;Kotak FMP Series 154 (390 Days) - Direct Dividend;11.10164585;23-Apr-2015")</f>
        <v>128908;-;-;Kotak FMP Series 154 (390 Days) - Direct Dividend;11.10164585;23-Apr-2015</v>
      </c>
      <c r="B12971" s="1"/>
    </row>
    <row r="12972">
      <c r="A12972" s="1" t="str">
        <f>IFERROR(__xludf.DUMMYFUNCTION("""COMPUTED_VALUE"""),"128909;INF174K01O33;-;Kotak FMP Series 154 (390 Days) - Direct Growth;12.9698;06-Apr-2017")</f>
        <v>128909;INF174K01O33;-;Kotak FMP Series 154 (390 Days) - Direct Growth;12.9698;06-Apr-2017</v>
      </c>
      <c r="B12972" s="1"/>
    </row>
    <row r="12973">
      <c r="A12973" s="1" t="str">
        <f>IFERROR(__xludf.DUMMYFUNCTION("""COMPUTED_VALUE"""),"128907;INF174K01O25;-;Kotak FMP Series 154 (390 Days) - Dividend;12.8355;06-Apr-2017")</f>
        <v>128907;INF174K01O25;-;Kotak FMP Series 154 (390 Days) - Dividend;12.8355;06-Apr-2017</v>
      </c>
      <c r="B12973" s="1"/>
    </row>
    <row r="12974">
      <c r="A12974" s="1" t="str">
        <f>IFERROR(__xludf.DUMMYFUNCTION("""COMPUTED_VALUE"""),"128906;INF174K01O17;-;Kotak FMP Series 154 (390 Days) - Growth;12.8244;06-Apr-2017")</f>
        <v>128906;INF174K01O17;-;Kotak FMP Series 154 (390 Days) - Growth;12.8244;06-Apr-2017</v>
      </c>
      <c r="B12974" s="1"/>
    </row>
    <row r="12975">
      <c r="A12975" s="1" t="str">
        <f>IFERROR(__xludf.DUMMYFUNCTION("""COMPUTED_VALUE"""),"129037;INF174K01K52;-;Kotak FMP Series 156 (370 Days) - Direct Dividend;12.79361175;18-Apr-2017")</f>
        <v>129037;INF174K01K52;-;Kotak FMP Series 156 (370 Days) - Direct Dividend;12.79361175;18-Apr-2017</v>
      </c>
      <c r="B12975" s="1"/>
    </row>
    <row r="12976">
      <c r="A12976" s="1" t="str">
        <f>IFERROR(__xludf.DUMMYFUNCTION("""COMPUTED_VALUE"""),"129034;INF174K01K45;-;Kotak FMP Series 156 (370 Days) - Direct Growth;12.79361109;18-Apr-2017")</f>
        <v>129034;INF174K01K45;-;Kotak FMP Series 156 (370 Days) - Direct Growth;12.79361109;18-Apr-2017</v>
      </c>
      <c r="B12976" s="1"/>
    </row>
    <row r="12977">
      <c r="A12977" s="1" t="str">
        <f>IFERROR(__xludf.DUMMYFUNCTION("""COMPUTED_VALUE"""),"129035;INF174K01P08;-;Kotak FMP Series 156 (370 Days) - Dividend;12.74601114;18-Apr-2017")</f>
        <v>129035;INF174K01P08;-;Kotak FMP Series 156 (370 Days) - Dividend;12.74601114;18-Apr-2017</v>
      </c>
      <c r="B12977" s="1"/>
    </row>
    <row r="12978">
      <c r="A12978" s="1" t="str">
        <f>IFERROR(__xludf.DUMMYFUNCTION("""COMPUTED_VALUE"""),"129036;INF174K01O90;-;Kotak FMP Series 156 (370 Days) - Growth;12.74601112;18-Apr-2017")</f>
        <v>129036;INF174K01O90;-;Kotak FMP Series 156 (370 Days) - Growth;12.74601112;18-Apr-2017</v>
      </c>
      <c r="B12978" s="1"/>
    </row>
    <row r="12979">
      <c r="A12979" s="1" t="str">
        <f>IFERROR(__xludf.DUMMYFUNCTION("""COMPUTED_VALUE"""),"129340;INF174K01L02;-;Kotak FMP Series 157 (370 Days) - Direct Growth;12.7898761;24-Apr-2017")</f>
        <v>129340;INF174K01L02;-;Kotak FMP Series 157 (370 Days) - Direct Growth;12.7898761;24-Apr-2017</v>
      </c>
      <c r="B12979" s="1"/>
    </row>
    <row r="12980">
      <c r="A12980" s="1" t="str">
        <f>IFERROR(__xludf.DUMMYFUNCTION("""COMPUTED_VALUE"""),"129341;-;-;Kotak FMP Series 157 (370 Days) - Dividend;10.92376877;22-Apr-2015")</f>
        <v>129341;-;-;Kotak FMP Series 157 (370 Days) - Dividend;10.92376877;22-Apr-2015</v>
      </c>
      <c r="B12980" s="1"/>
    </row>
    <row r="12981">
      <c r="A12981" s="1" t="str">
        <f>IFERROR(__xludf.DUMMYFUNCTION("""COMPUTED_VALUE"""),"129339;INF174K01K60;-;Kotak FMP Series 157 (370 Days) - Growth;12.7591034;24-Apr-2017")</f>
        <v>129339;INF174K01K60;-;Kotak FMP Series 157 (370 Days) - Growth;12.7591034;24-Apr-2017</v>
      </c>
      <c r="B12981" s="1"/>
    </row>
    <row r="12982">
      <c r="A12982" s="1" t="str">
        <f>IFERROR(__xludf.DUMMYFUNCTION("""COMPUTED_VALUE"""),"129354;-;-;Kotak FMP Series 158 (370 Days) - Direct Dividend;10.9618352;05-May-2015")</f>
        <v>129354;-;-;Kotak FMP Series 158 (370 Days) - Direct Dividend;10.9618352;05-May-2015</v>
      </c>
      <c r="B12982" s="1"/>
    </row>
    <row r="12983">
      <c r="A12983" s="1" t="str">
        <f>IFERROR(__xludf.DUMMYFUNCTION("""COMPUTED_VALUE"""),"129352;INF174K01L77;-;Kotak FMP Series 158 (370 Days) - Direct Growth;12.81478039;02-May-2017")</f>
        <v>129352;INF174K01L77;-;Kotak FMP Series 158 (370 Days) - Direct Growth;12.81478039;02-May-2017</v>
      </c>
      <c r="B12983" s="1"/>
    </row>
    <row r="12984">
      <c r="A12984" s="1" t="str">
        <f>IFERROR(__xludf.DUMMYFUNCTION("""COMPUTED_VALUE"""),"129353;INF174K01L69;-;Kotak FMP Series 158 (370 Days) - Dividend;12.7821113;02-May-2017")</f>
        <v>129353;INF174K01L69;-;Kotak FMP Series 158 (370 Days) - Dividend;12.7821113;02-May-2017</v>
      </c>
      <c r="B12984" s="1"/>
    </row>
    <row r="12985">
      <c r="A12985" s="1" t="str">
        <f>IFERROR(__xludf.DUMMYFUNCTION("""COMPUTED_VALUE"""),"129351;INF174K01L44;-;Kotak FMP Series 158 (370 Days) - Growth;12.78211083;02-May-2017")</f>
        <v>129351;INF174K01L44;-;Kotak FMP Series 158 (370 Days) - Growth;12.78211083;02-May-2017</v>
      </c>
      <c r="B12985" s="1"/>
    </row>
    <row r="12986">
      <c r="A12986" s="1" t="str">
        <f>IFERROR(__xludf.DUMMYFUNCTION("""COMPUTED_VALUE"""),"129408;INF174K01Q72;-;Kotak FMP Series 159 (370 Days) - Direct Growth;12.79883451;04-May-2017")</f>
        <v>129408;INF174K01Q72;-;Kotak FMP Series 159 (370 Days) - Direct Growth;12.79883451;04-May-2017</v>
      </c>
      <c r="B12986" s="1"/>
    </row>
    <row r="12987">
      <c r="A12987" s="1" t="str">
        <f>IFERROR(__xludf.DUMMYFUNCTION("""COMPUTED_VALUE"""),"129406;INF174K01Q64;-;Kotak FMP Series 159 (370 Days) - Dividend;12.7691112;04-May-2017")</f>
        <v>129406;INF174K01Q64;-;Kotak FMP Series 159 (370 Days) - Dividend;12.7691112;04-May-2017</v>
      </c>
      <c r="B12987" s="1"/>
    </row>
    <row r="12988">
      <c r="A12988" s="1" t="str">
        <f>IFERROR(__xludf.DUMMYFUNCTION("""COMPUTED_VALUE"""),"129405;INF174K01Q56;-;Kotak FMP Series 159 (370 Days) - Growth;12.76911111;04-May-2017")</f>
        <v>129405;INF174K01Q56;-;Kotak FMP Series 159 (370 Days) - Growth;12.76911111;04-May-2017</v>
      </c>
      <c r="B12988" s="1"/>
    </row>
    <row r="12989">
      <c r="A12989" s="1" t="str">
        <f>IFERROR(__xludf.DUMMYFUNCTION("""COMPUTED_VALUE"""),"129543;INF174K01YC9;-;Kotak FMP Series 160 (1039 Days) - Direct Dividend;12.817912;20-Mar-2017")</f>
        <v>129543;INF174K01YC9;-;Kotak FMP Series 160 (1039 Days) - Direct Dividend;12.817912;20-Mar-2017</v>
      </c>
      <c r="B12989" s="1"/>
    </row>
    <row r="12990">
      <c r="A12990" s="1" t="str">
        <f>IFERROR(__xludf.DUMMYFUNCTION("""COMPUTED_VALUE"""),"129541;INF174K01YB1;-;Kotak FMP Series 160 (1039 Days) - Direct Growth;13.0206481;21-Jun-2017")</f>
        <v>129541;INF174K01YB1;-;Kotak FMP Series 160 (1039 Days) - Direct Growth;13.0206481;21-Jun-2017</v>
      </c>
      <c r="B12990" s="1"/>
    </row>
    <row r="12991">
      <c r="A12991" s="1" t="str">
        <f>IFERROR(__xludf.DUMMYFUNCTION("""COMPUTED_VALUE"""),"129542;INF174K01YA3;-;Kotak FMP Series 160 (1039 Days) - Dividend;12.88314796;21-Jun-2017")</f>
        <v>129542;INF174K01YA3;-;Kotak FMP Series 160 (1039 Days) - Dividend;12.88314796;21-Jun-2017</v>
      </c>
      <c r="B12991" s="1"/>
    </row>
    <row r="12992">
      <c r="A12992" s="1" t="str">
        <f>IFERROR(__xludf.DUMMYFUNCTION("""COMPUTED_VALUE"""),"129540;INF174K01XZ2;-;Kotak FMP Series 160 (1039 Days) - Growth;12.88314796;21-Jun-2017")</f>
        <v>129540;INF174K01XZ2;-;Kotak FMP Series 160 (1039 Days) - Growth;12.88314796;21-Jun-2017</v>
      </c>
      <c r="B12992" s="1"/>
    </row>
    <row r="12993">
      <c r="A12993" s="1" t="str">
        <f>IFERROR(__xludf.DUMMYFUNCTION("""COMPUTED_VALUE"""),"129641;INF174K01R22;-;Kotak FMP Series 161 (370 Days) - Direct Dividend;12.700968;22-May-2017")</f>
        <v>129641;INF174K01R22;-;Kotak FMP Series 161 (370 Days) - Direct Dividend;12.700968;22-May-2017</v>
      </c>
      <c r="B12993" s="1"/>
    </row>
    <row r="12994">
      <c r="A12994" s="1" t="str">
        <f>IFERROR(__xludf.DUMMYFUNCTION("""COMPUTED_VALUE"""),"129639;INF174K01R14;-;Kotak FMP Series 161 (370 Days) - Direct Growth;12.70096773;22-May-2017")</f>
        <v>129639;INF174K01R14;-;Kotak FMP Series 161 (370 Days) - Direct Growth;12.70096773;22-May-2017</v>
      </c>
      <c r="B12994" s="1"/>
    </row>
    <row r="12995">
      <c r="A12995" s="1" t="str">
        <f>IFERROR(__xludf.DUMMYFUNCTION("""COMPUTED_VALUE"""),"129640;INF174K01R06;-;Kotak FMP Series 161 (370 Days) - Dividend;12.698666;22-May-2017")</f>
        <v>129640;INF174K01R06;-;Kotak FMP Series 161 (370 Days) - Dividend;12.698666;22-May-2017</v>
      </c>
      <c r="B12995" s="1"/>
    </row>
    <row r="12996">
      <c r="A12996" s="1" t="str">
        <f>IFERROR(__xludf.DUMMYFUNCTION("""COMPUTED_VALUE"""),"129638;INF174K01Q98;-;Kotak FMP Series 161 (370 Days) - Growth;12.69866061;22-May-2017")</f>
        <v>129638;INF174K01Q98;-;Kotak FMP Series 161 (370 Days) - Growth;12.69866061;22-May-2017</v>
      </c>
      <c r="B12996" s="1"/>
    </row>
    <row r="12997">
      <c r="A12997" s="1" t="str">
        <f>IFERROR(__xludf.DUMMYFUNCTION("""COMPUTED_VALUE"""),"129767;INF174K01YK2;-;Kotak FMP Series 162 (370 Days) - Direct Dividend;10.938333;02-Jun-2015")</f>
        <v>129767;INF174K01YK2;-;Kotak FMP Series 162 (370 Days) - Direct Dividend;10.938333;02-Jun-2015</v>
      </c>
      <c r="B12997" s="1"/>
    </row>
    <row r="12998">
      <c r="A12998" s="1" t="str">
        <f>IFERROR(__xludf.DUMMYFUNCTION("""COMPUTED_VALUE"""),"129768;INF174K01R55;-;Kotak FMP Series 162 (370 Days) - Direct Growth;12.80531107;01-Jun-2017")</f>
        <v>129768;INF174K01R55;-;Kotak FMP Series 162 (370 Days) - Direct Growth;12.80531107;01-Jun-2017</v>
      </c>
      <c r="B12998" s="1"/>
    </row>
    <row r="12999">
      <c r="A12999" s="1" t="str">
        <f>IFERROR(__xludf.DUMMYFUNCTION("""COMPUTED_VALUE"""),"129765;INF174K01R48;-;Kotak FMP Series 162 (370 Days) - Dividend;12.73413254;01-Jun-2017")</f>
        <v>129765;INF174K01R48;-;Kotak FMP Series 162 (370 Days) - Dividend;12.73413254;01-Jun-2017</v>
      </c>
      <c r="B12999" s="1"/>
    </row>
    <row r="13000">
      <c r="A13000" s="1" t="str">
        <f>IFERROR(__xludf.DUMMYFUNCTION("""COMPUTED_VALUE"""),"129766;INF174K01R30;-;Kotak FMP Series 162 (370 Days) - Growth;12.73413246;01-Jun-2017")</f>
        <v>129766;INF174K01R30;-;Kotak FMP Series 162 (370 Days) - Growth;12.73413246;01-Jun-2017</v>
      </c>
      <c r="B13000" s="1"/>
    </row>
    <row r="13001">
      <c r="A13001" s="1" t="str">
        <f>IFERROR(__xludf.DUMMYFUNCTION("""COMPUTED_VALUE"""),"131097;INF174K01A13;-;Kotak FMP Series 163 (1100 Days) - Direct Growth;12.98012475;05-Sep-2017")</f>
        <v>131097;INF174K01A13;-;Kotak FMP Series 163 (1100 Days) - Direct Growth;12.98012475;05-Sep-2017</v>
      </c>
      <c r="B13001" s="1"/>
    </row>
    <row r="13002">
      <c r="A13002" s="1" t="str">
        <f>IFERROR(__xludf.DUMMYFUNCTION("""COMPUTED_VALUE"""),"131098;INF174K01A05;-;Kotak FMP Series 163 (1100 Days) - Dividend;12.9081138;05-Sep-2017")</f>
        <v>131098;INF174K01A05;-;Kotak FMP Series 163 (1100 Days) - Dividend;12.9081138;05-Sep-2017</v>
      </c>
      <c r="B13002" s="1"/>
    </row>
    <row r="13003">
      <c r="A13003" s="1" t="str">
        <f>IFERROR(__xludf.DUMMYFUNCTION("""COMPUTED_VALUE"""),"131096;INF174K01ZZ7;-;Kotak FMP Series 163 (1100 Days) - Growth;12.90811405;05-Sep-2017")</f>
        <v>131096;INF174K01ZZ7;-;Kotak FMP Series 163 (1100 Days) - Growth;12.90811405;05-Sep-2017</v>
      </c>
      <c r="B13003" s="1"/>
    </row>
    <row r="13004">
      <c r="A13004" s="1" t="str">
        <f>IFERROR(__xludf.DUMMYFUNCTION("""COMPUTED_VALUE"""),"133663;INF174K01H08;-;Kotak FMP Series 171 (1099 Days) - Direct Growth;12.7191521;07-Feb-2018")</f>
        <v>133663;INF174K01H08;-;Kotak FMP Series 171 (1099 Days) - Direct Growth;12.7191521;07-Feb-2018</v>
      </c>
      <c r="B13004" s="1"/>
    </row>
    <row r="13005">
      <c r="A13005" s="1" t="str">
        <f>IFERROR(__xludf.DUMMYFUNCTION("""COMPUTED_VALUE"""),"133662;INF174K01G82;-;Kotak FMP Series 171 (1099 Days) - Growth;12.6141521;07-Feb-2018")</f>
        <v>133662;INF174K01G82;-;Kotak FMP Series 171 (1099 Days) - Growth;12.6141521;07-Feb-2018</v>
      </c>
      <c r="B13005" s="1"/>
    </row>
    <row r="13006">
      <c r="A13006" s="1" t="str">
        <f>IFERROR(__xludf.DUMMYFUNCTION("""COMPUTED_VALUE"""),"134179;INF174K01I56;-;Kotak FMP Series 172 - Direct Dividend;13.320754;26-Apr-2018")</f>
        <v>134179;INF174K01I56;-;Kotak FMP Series 172 - Direct Dividend;13.320754;26-Apr-2018</v>
      </c>
      <c r="B13006" s="1"/>
    </row>
    <row r="13007">
      <c r="A13007" s="1" t="str">
        <f>IFERROR(__xludf.DUMMYFUNCTION("""COMPUTED_VALUE"""),"134176;INF174K01I49;-;Kotak FMP Series 172 - Direct Growth;13.31714521;26-Apr-2018")</f>
        <v>134176;INF174K01I49;-;Kotak FMP Series 172 - Direct Growth;13.31714521;26-Apr-2018</v>
      </c>
      <c r="B13007" s="1"/>
    </row>
    <row r="13008">
      <c r="A13008" s="1" t="str">
        <f>IFERROR(__xludf.DUMMYFUNCTION("""COMPUTED_VALUE"""),"134178;INF174K01I31;-;Kotak FMP Series 172 - Regular Dividend;13.20244224;26-Apr-2018")</f>
        <v>134178;INF174K01I31;-;Kotak FMP Series 172 - Regular Dividend;13.20244224;26-Apr-2018</v>
      </c>
      <c r="B13008" s="1"/>
    </row>
    <row r="13009">
      <c r="A13009" s="1" t="str">
        <f>IFERROR(__xludf.DUMMYFUNCTION("""COMPUTED_VALUE"""),"134177;INF174K01I23;-;Kotak FMP Series 172 - Regular Growth;13.2024393;26-Apr-2018")</f>
        <v>134177;INF174K01I23;-;Kotak FMP Series 172 - Regular Growth;13.2024393;26-Apr-2018</v>
      </c>
      <c r="B13009" s="1"/>
    </row>
    <row r="13010">
      <c r="A13010" s="1" t="str">
        <f>IFERROR(__xludf.DUMMYFUNCTION("""COMPUTED_VALUE"""),"134841;INF174K01R97;-;Kotak FMP Series 175 (1100 Days) - Direct Growth;12.75507899;26-Jun-2018")</f>
        <v>134841;INF174K01R97;-;Kotak FMP Series 175 (1100 Days) - Direct Growth;12.75507899;26-Jun-2018</v>
      </c>
      <c r="B13010" s="1"/>
    </row>
    <row r="13011">
      <c r="A13011" s="1" t="str">
        <f>IFERROR(__xludf.DUMMYFUNCTION("""COMPUTED_VALUE"""),"134839;INF174K01R89;-;Kotak FMP Series 175 (1100 Days) - Regular Dividend;12.74498877;26-Jun-2018")</f>
        <v>134839;INF174K01R89;-;Kotak FMP Series 175 (1100 Days) - Regular Dividend;12.74498877;26-Jun-2018</v>
      </c>
      <c r="B13011" s="1"/>
    </row>
    <row r="13012">
      <c r="A13012" s="1" t="str">
        <f>IFERROR(__xludf.DUMMYFUNCTION("""COMPUTED_VALUE"""),"134838;INF174K01R71;-;Kotak FMP Series 175 (1100 Days) - Regular Growth;12.74497585;26-Jun-2018")</f>
        <v>134838;INF174K01R71;-;Kotak FMP Series 175 (1100 Days) - Regular Growth;12.74497585;26-Jun-2018</v>
      </c>
      <c r="B13012" s="1"/>
    </row>
    <row r="13013">
      <c r="A13013" s="1" t="str">
        <f>IFERROR(__xludf.DUMMYFUNCTION("""COMPUTED_VALUE"""),"135048;INF174K01S96;-;Kotak FMP Series 176 - Direct Plan - Growth;12.74521102;19-Jul-2018")</f>
        <v>135048;INF174K01S96;-;Kotak FMP Series 176 - Direct Plan - Growth;12.74521102;19-Jul-2018</v>
      </c>
      <c r="B13013" s="1"/>
    </row>
    <row r="13014">
      <c r="A13014" s="1" t="str">
        <f>IFERROR(__xludf.DUMMYFUNCTION("""COMPUTED_VALUE"""),"135050;INF174K01S88;-;Kotak FMP Series 176 - Regular Plan - Dividend;12.65420885;19-Jul-2018")</f>
        <v>135050;INF174K01S88;-;Kotak FMP Series 176 - Regular Plan - Dividend;12.65420885;19-Jul-2018</v>
      </c>
      <c r="B13014" s="1"/>
    </row>
    <row r="13015">
      <c r="A13015" s="1" t="str">
        <f>IFERROR(__xludf.DUMMYFUNCTION("""COMPUTED_VALUE"""),"135047;INF174K01S70;-;Kotak FMP Series 176 - Regular Plan - Growth;12.65420847;19-Jul-2018")</f>
        <v>135047;INF174K01S70;-;Kotak FMP Series 176 - Regular Plan - Growth;12.65420847;19-Jul-2018</v>
      </c>
      <c r="B13015" s="1"/>
    </row>
    <row r="13016">
      <c r="A13016" s="1" t="str">
        <f>IFERROR(__xludf.DUMMYFUNCTION("""COMPUTED_VALUE"""),"135237;INF174K01U01;-;Kotak FMP Series 178 - Direct Growth;12.7289622;23-Aug-2018")</f>
        <v>135237;INF174K01U01;-;Kotak FMP Series 178 - Direct Growth;12.7289622;23-Aug-2018</v>
      </c>
      <c r="B13016" s="1"/>
    </row>
    <row r="13017">
      <c r="A13017" s="1" t="str">
        <f>IFERROR(__xludf.DUMMYFUNCTION("""COMPUTED_VALUE"""),"135236;INF174K01T95;-;Kotak FMP Series 178 - Regular Dividend;12.65628768;23-Aug-2018")</f>
        <v>135236;INF174K01T95;-;Kotak FMP Series 178 - Regular Dividend;12.65628768;23-Aug-2018</v>
      </c>
      <c r="B13017" s="1"/>
    </row>
    <row r="13018">
      <c r="A13018" s="1" t="str">
        <f>IFERROR(__xludf.DUMMYFUNCTION("""COMPUTED_VALUE"""),"135239;INF174K01T87;-;Kotak FMP Series 178 - Regular Growth;12.65628705;23-Aug-2018")</f>
        <v>135239;INF174K01T87;-;Kotak FMP Series 178 - Regular Growth;12.65628705;23-Aug-2018</v>
      </c>
      <c r="B13018" s="1"/>
    </row>
    <row r="13019">
      <c r="A13019" s="1" t="str">
        <f>IFERROR(__xludf.DUMMYFUNCTION("""COMPUTED_VALUE"""),"135374;INF174K01U92;-;Kotak FMP Series 179 - Direct Dividend;10.00000033;26-Sep-2018")</f>
        <v>135374;INF174K01U92;-;Kotak FMP Series 179 - Direct Dividend;10.00000033;26-Sep-2018</v>
      </c>
      <c r="B13019" s="1"/>
    </row>
    <row r="13020">
      <c r="A13020" s="1" t="str">
        <f>IFERROR(__xludf.DUMMYFUNCTION("""COMPUTED_VALUE"""),"135375;INF174K01U84;-;Kotak FMP Series 179 - Direct Growth;12.67559415;26-Sep-2018")</f>
        <v>135375;INF174K01U84;-;Kotak FMP Series 179 - Direct Growth;12.67559415;26-Sep-2018</v>
      </c>
      <c r="B13020" s="1"/>
    </row>
    <row r="13021">
      <c r="A13021" s="1" t="str">
        <f>IFERROR(__xludf.DUMMYFUNCTION("""COMPUTED_VALUE"""),"135373;INF174K01U76;-;Kotak FMP Series 179 - Regular Dividend;10.00000003;26-Sep-2018")</f>
        <v>135373;INF174K01U76;-;Kotak FMP Series 179 - Regular Dividend;10.00000003;26-Sep-2018</v>
      </c>
      <c r="B13021" s="1"/>
    </row>
    <row r="13022">
      <c r="A13022" s="1" t="str">
        <f>IFERROR(__xludf.DUMMYFUNCTION("""COMPUTED_VALUE"""),"135372;INF174K01U68;-;Kotak FMP Series 179 - Regular Growth;12.60614788;26-Sep-2018")</f>
        <v>135372;INF174K01U68;-;Kotak FMP Series 179 - Regular Growth;12.60614788;26-Sep-2018</v>
      </c>
      <c r="B13022" s="1"/>
    </row>
    <row r="13023">
      <c r="A13023" s="1" t="str">
        <f>IFERROR(__xludf.DUMMYFUNCTION("""COMPUTED_VALUE"""),"135485;INF174K01Y31;-;Kotak FMP Series 180 (1099 Days) - Direct Growth;12.62908974;15-Oct-2018")</f>
        <v>135485;INF174K01Y31;-;Kotak FMP Series 180 (1099 Days) - Direct Growth;12.62908974;15-Oct-2018</v>
      </c>
      <c r="B13023" s="1"/>
    </row>
    <row r="13024">
      <c r="A13024" s="1" t="str">
        <f>IFERROR(__xludf.DUMMYFUNCTION("""COMPUTED_VALUE"""),"135484;INF174K01Y23;-;Kotak FMP Series 180 (1099 Days) - Regular Dividend;10.00001292;15-Oct-2018")</f>
        <v>135484;INF174K01Y23;-;Kotak FMP Series 180 (1099 Days) - Regular Dividend;10.00001292;15-Oct-2018</v>
      </c>
      <c r="B13024" s="1"/>
    </row>
    <row r="13025">
      <c r="A13025" s="1" t="str">
        <f>IFERROR(__xludf.DUMMYFUNCTION("""COMPUTED_VALUE"""),"135488;INF174K01Y15;-;Kotak FMP Series 180 (1099 Days) - Regular Growth;12.56152759;15-Oct-2018")</f>
        <v>135488;INF174K01Y15;-;Kotak FMP Series 180 (1099 Days) - Regular Growth;12.56152759;15-Oct-2018</v>
      </c>
      <c r="B13025" s="1"/>
    </row>
    <row r="13026">
      <c r="A13026" s="1" t="str">
        <f>IFERROR(__xludf.DUMMYFUNCTION("""COMPUTED_VALUE"""),"135608;INF174K01Z55;-;Kotak FMP Series 181 - Direct Dividend;10.0000;04-Apr-2019")</f>
        <v>135608;INF174K01Z55;-;Kotak FMP Series 181 - Direct Dividend;10.0000;04-Apr-2019</v>
      </c>
      <c r="B13026" s="1"/>
    </row>
    <row r="13027">
      <c r="A13027" s="1" t="str">
        <f>IFERROR(__xludf.DUMMYFUNCTION("""COMPUTED_VALUE"""),"135609;INF174K01Z48;-;Kotak FMP Series 181 - Direct Growth;12.9575;04-Apr-2019")</f>
        <v>135609;INF174K01Z48;-;Kotak FMP Series 181 - Direct Growth;12.9575;04-Apr-2019</v>
      </c>
      <c r="B13027" s="1"/>
    </row>
    <row r="13028">
      <c r="A13028" s="1" t="str">
        <f>IFERROR(__xludf.DUMMYFUNCTION("""COMPUTED_VALUE"""),"135611;INF174K01Z63;-;Kotak FMP Series 181 - Regular Dividend;10.0000;04-Apr-2019")</f>
        <v>135611;INF174K01Z63;-;Kotak FMP Series 181 - Regular Dividend;10.0000;04-Apr-2019</v>
      </c>
      <c r="B13028" s="1"/>
    </row>
    <row r="13029">
      <c r="A13029" s="1" t="str">
        <f>IFERROR(__xludf.DUMMYFUNCTION("""COMPUTED_VALUE"""),"135610;INF174K01Z30;-;Kotak FMP Series 181 - Regular Growth;12.867;04-Apr-2019")</f>
        <v>135610;INF174K01Z30;-;Kotak FMP Series 181 - Regular Growth;12.867;04-Apr-2019</v>
      </c>
      <c r="B13029" s="1"/>
    </row>
    <row r="13030">
      <c r="A13030" s="1" t="str">
        <f>IFERROR(__xludf.DUMMYFUNCTION("""COMPUTED_VALUE"""),"135758;INF174K015A5;-;Kotak FMP Series 182 - Direct Dividend;10.000022;03-Dec-2018")</f>
        <v>135758;INF174K015A5;-;Kotak FMP Series 182 - Direct Dividend;10.000022;03-Dec-2018</v>
      </c>
      <c r="B13030" s="1"/>
    </row>
    <row r="13031">
      <c r="A13031" s="1" t="str">
        <f>IFERROR(__xludf.DUMMYFUNCTION("""COMPUTED_VALUE"""),"135757;INF174K014A8;-;Kotak FMP Series 182 - Direct Growth;12.60854245;03-Dec-2018")</f>
        <v>135757;INF174K014A8;-;Kotak FMP Series 182 - Direct Growth;12.60854245;03-Dec-2018</v>
      </c>
      <c r="B13031" s="1"/>
    </row>
    <row r="13032">
      <c r="A13032" s="1" t="str">
        <f>IFERROR(__xludf.DUMMYFUNCTION("""COMPUTED_VALUE"""),"135756;INF174K013A0;-;Kotak FMP Series 182 - Regular Dividend;10.00000067;03-Dec-2018")</f>
        <v>135756;INF174K013A0;-;Kotak FMP Series 182 - Regular Dividend;10.00000067;03-Dec-2018</v>
      </c>
      <c r="B13032" s="1"/>
    </row>
    <row r="13033">
      <c r="A13033" s="1" t="str">
        <f>IFERROR(__xludf.DUMMYFUNCTION("""COMPUTED_VALUE"""),"135755;INF174K012A2;-;Kotak FMP Series 182 - Regular Growth;12.51956111;03-Dec-2018")</f>
        <v>135755;INF174K012A2;-;Kotak FMP Series 182 - Regular Growth;12.51956111;03-Dec-2018</v>
      </c>
      <c r="B13033" s="1"/>
    </row>
    <row r="13034">
      <c r="A13034" s="1" t="str">
        <f>IFERROR(__xludf.DUMMYFUNCTION("""COMPUTED_VALUE"""),"136083;INF174K010C2;-;Kotak FMP Series 185 - Direct Growth;12.8591;09-Apr-2019")</f>
        <v>136083;INF174K010C2;-;Kotak FMP Series 185 - Direct Growth;12.8591;09-Apr-2019</v>
      </c>
      <c r="B13034" s="1"/>
    </row>
    <row r="13035">
      <c r="A13035" s="1" t="str">
        <f>IFERROR(__xludf.DUMMYFUNCTION("""COMPUTED_VALUE"""),"136082;INF174K019B5;-;Kotak FMP Series 185 - Regular Dividend;10;09-Apr-2019")</f>
        <v>136082;INF174K019B5;-;Kotak FMP Series 185 - Regular Dividend;10;09-Apr-2019</v>
      </c>
      <c r="B13035" s="1"/>
    </row>
    <row r="13036">
      <c r="A13036" s="1" t="str">
        <f>IFERROR(__xludf.DUMMYFUNCTION("""COMPUTED_VALUE"""),"136084;INF174K018B7;-;Kotak FMP Series 185 - Regular Growth;12.7644;09-Apr-2019")</f>
        <v>136084;INF174K018B7;-;Kotak FMP Series 185 - Regular Growth;12.7644;09-Apr-2019</v>
      </c>
      <c r="B13036" s="1"/>
    </row>
    <row r="13037">
      <c r="A13037" s="1" t="str">
        <f>IFERROR(__xludf.DUMMYFUNCTION("""COMPUTED_VALUE"""),"136135;INF174KA1DW0;-;Kotak FMP Series 186 - Direct Growth;13.5408;25-Apr-2019")</f>
        <v>136135;INF174KA1DW0;-;Kotak FMP Series 186 - Direct Growth;13.5408;25-Apr-2019</v>
      </c>
      <c r="B13037" s="1"/>
    </row>
    <row r="13038">
      <c r="A13038" s="1" t="str">
        <f>IFERROR(__xludf.DUMMYFUNCTION("""COMPUTED_VALUE"""),"136133;INF174KA1DV2;-;Kotak FMP Series 186 - Regular Dividend;13.5142432;23-Apr-2019")</f>
        <v>136133;INF174KA1DV2;-;Kotak FMP Series 186 - Regular Dividend;13.5142432;23-Apr-2019</v>
      </c>
      <c r="B13038" s="1"/>
    </row>
    <row r="13039">
      <c r="A13039" s="1" t="str">
        <f>IFERROR(__xludf.DUMMYFUNCTION("""COMPUTED_VALUE"""),"136134;INF174KA1DU4;-;Kotak FMP Series 186 - Regular Growth;13.5184;25-Apr-2019")</f>
        <v>136134;INF174KA1DU4;-;Kotak FMP Series 186 - Regular Growth;13.5184;25-Apr-2019</v>
      </c>
      <c r="B13039" s="1"/>
    </row>
    <row r="13040">
      <c r="A13040" s="1" t="str">
        <f>IFERROR(__xludf.DUMMYFUNCTION("""COMPUTED_VALUE"""),"136365;INF174K015E7;-;Kotak FMp Series 190 - Direct - Dividend Payout;12.83786031;17-Apr-2019")</f>
        <v>136365;INF174K015E7;-;Kotak FMp Series 190 - Direct - Dividend Payout;12.83786031;17-Apr-2019</v>
      </c>
      <c r="B13040" s="1"/>
    </row>
    <row r="13041">
      <c r="A13041" s="1" t="str">
        <f>IFERROR(__xludf.DUMMYFUNCTION("""COMPUTED_VALUE"""),"136362;INF174K014E0;-;Kotak FMP Series 190 - Direct - Growth;12.83786022;17-Apr-2019")</f>
        <v>136362;INF174K014E0;-;Kotak FMP Series 190 - Direct - Growth;12.83786022;17-Apr-2019</v>
      </c>
      <c r="B13041" s="1"/>
    </row>
    <row r="13042">
      <c r="A13042" s="1" t="str">
        <f>IFERROR(__xludf.DUMMYFUNCTION("""COMPUTED_VALUE"""),"136364;INF174K013E2;-;Kotak FMP Series 190 - Regular - Dividend Payout;10.0000026;17-Apr-2019")</f>
        <v>136364;INF174K013E2;-;Kotak FMP Series 190 - Regular - Dividend Payout;10.0000026;17-Apr-2019</v>
      </c>
      <c r="B13042" s="1"/>
    </row>
    <row r="13043">
      <c r="A13043" s="1" t="str">
        <f>IFERROR(__xludf.DUMMYFUNCTION("""COMPUTED_VALUE"""),"136363;INF174K012E4;-;Kotak FMP Series 190 - Regular - Growth;12.7482555;17-Apr-2019")</f>
        <v>136363;INF174K012E4;-;Kotak FMP Series 190 - Regular - Growth;12.7482555;17-Apr-2019</v>
      </c>
      <c r="B13043" s="1"/>
    </row>
    <row r="13044">
      <c r="A13044" s="1" t="str">
        <f>IFERROR(__xludf.DUMMYFUNCTION("""COMPUTED_VALUE"""),"139078;INF174K018E1;-;Kotak FMP Series 191 - Direct - Growth;12.69637755;22-Apr-2019")</f>
        <v>139078;INF174K018E1;-;Kotak FMP Series 191 - Direct - Growth;12.69637755;22-Apr-2019</v>
      </c>
      <c r="B13044" s="1"/>
    </row>
    <row r="13045">
      <c r="A13045" s="1" t="str">
        <f>IFERROR(__xludf.DUMMYFUNCTION("""COMPUTED_VALUE"""),"139079;INF174K017E3;-;Kotak FMP Series 191 - Regular - Dividend Payout;10.000014;22-Apr-2019")</f>
        <v>139079;INF174K017E3;-;Kotak FMP Series 191 - Regular - Dividend Payout;10.000014;22-Apr-2019</v>
      </c>
      <c r="B13045" s="1"/>
    </row>
    <row r="13046">
      <c r="A13046" s="1" t="str">
        <f>IFERROR(__xludf.DUMMYFUNCTION("""COMPUTED_VALUE"""),"139080;INF174K016E5;-;Kotak FMP Series 191 - Regular - Growth;12.62255773;22-Apr-2019")</f>
        <v>139080;INF174K016E5;-;Kotak FMP Series 191 - Regular - Growth;12.62255773;22-Apr-2019</v>
      </c>
      <c r="B13046" s="1"/>
    </row>
    <row r="13047">
      <c r="A13047" s="1" t="str">
        <f>IFERROR(__xludf.DUMMYFUNCTION("""COMPUTED_VALUE"""),"139083;INF174K012F1;-;Kotak FMP Series 192 - Direct - Growth;12.6723;04-Apr-2019")</f>
        <v>139083;INF174K012F1;-;Kotak FMP Series 192 - Direct - Growth;12.6723;04-Apr-2019</v>
      </c>
      <c r="B13047" s="1"/>
    </row>
    <row r="13048">
      <c r="A13048" s="1" t="str">
        <f>IFERROR(__xludf.DUMMYFUNCTION("""COMPUTED_VALUE"""),"139081;INF174K011F3;-;Kotak FMP Series 192 - Regular - Dividend Payout;10.0000;04-Apr-2019")</f>
        <v>139081;INF174K011F3;-;Kotak FMP Series 192 - Regular - Dividend Payout;10.0000;04-Apr-2019</v>
      </c>
      <c r="B13048" s="1"/>
    </row>
    <row r="13049">
      <c r="A13049" s="1" t="str">
        <f>IFERROR(__xludf.DUMMYFUNCTION("""COMPUTED_VALUE"""),"139084;INF174K010F5;-;Kotak FMP Series 192 - Regular - Growth;12.5986;04-Apr-2019")</f>
        <v>139084;INF174K010F5;-;Kotak FMP Series 192 - Regular - Growth;12.5986;04-Apr-2019</v>
      </c>
      <c r="B13049" s="1"/>
    </row>
    <row r="13050">
      <c r="A13050" s="1" t="str">
        <f>IFERROR(__xludf.DUMMYFUNCTION("""COMPUTED_VALUE"""),"139271;INF174K016F2;-;Kotak FMP Series 193 - Direct - Growth;12.2610436;02-May-2019")</f>
        <v>139271;INF174K016F2;-;Kotak FMP Series 193 - Direct - Growth;12.2610436;02-May-2019</v>
      </c>
      <c r="B13050" s="1"/>
    </row>
    <row r="13051">
      <c r="A13051" s="1" t="str">
        <f>IFERROR(__xludf.DUMMYFUNCTION("""COMPUTED_VALUE"""),"139272;INF174K015F4;-;Kotak FMP Series 193 - Regular - Dividend Payout;11.29704707;02-May-2019")</f>
        <v>139272;INF174K015F4;-;Kotak FMP Series 193 - Regular - Dividend Payout;11.29704707;02-May-2019</v>
      </c>
      <c r="B13051" s="1"/>
    </row>
    <row r="13052">
      <c r="A13052" s="1" t="str">
        <f>IFERROR(__xludf.DUMMYFUNCTION("""COMPUTED_VALUE"""),"139269;INF174K014F7;-;Kotak FMP Series 193 - Regular - Growth;12.12913505;02-May-2019")</f>
        <v>139269;INF174K014F7;-;Kotak FMP Series 193 - Regular - Growth;12.12913505;02-May-2019</v>
      </c>
      <c r="B13052" s="1"/>
    </row>
    <row r="13053">
      <c r="A13053" s="1" t="str">
        <f>IFERROR(__xludf.DUMMYFUNCTION("""COMPUTED_VALUE"""),"139332;INF174K010G3;-;Kotak FMP Series 194 - Direct - Growth;11.78329288;15-May-2019")</f>
        <v>139332;INF174K010G3;-;Kotak FMP Series 194 - Direct - Growth;11.78329288;15-May-2019</v>
      </c>
      <c r="B13053" s="1"/>
    </row>
    <row r="13054">
      <c r="A13054" s="1" t="str">
        <f>IFERROR(__xludf.DUMMYFUNCTION("""COMPUTED_VALUE"""),"139331;INF174K019F6;-;Kotak FMP Series 194 - Regular - Dividend Payout;11.32342082;15-May-2019")</f>
        <v>139331;INF174K019F6;-;Kotak FMP Series 194 - Regular - Dividend Payout;11.32342082;15-May-2019</v>
      </c>
      <c r="B13054" s="1"/>
    </row>
    <row r="13055">
      <c r="A13055" s="1" t="str">
        <f>IFERROR(__xludf.DUMMYFUNCTION("""COMPUTED_VALUE"""),"139333;INF174K018F8;-;Kotak FMP Series 194 - Regular- Growth;11.67936116;15-May-2019")</f>
        <v>139333;INF174K018F8;-;Kotak FMP Series 194 - Regular- Growth;11.67936116;15-May-2019</v>
      </c>
      <c r="B13055" s="1"/>
    </row>
    <row r="13056">
      <c r="A13056" s="1" t="str">
        <f>IFERROR(__xludf.DUMMYFUNCTION("""COMPUTED_VALUE"""),"139578;INF174K015H0;-;Kotak FMP Series 196 - Direct - Growth;12.48885213;29-Jul-2019")</f>
        <v>139578;INF174K015H0;-;Kotak FMP Series 196 - Direct - Growth;12.48885213;29-Jul-2019</v>
      </c>
      <c r="B13056" s="1"/>
    </row>
    <row r="13057">
      <c r="A13057" s="1" t="str">
        <f>IFERROR(__xludf.DUMMYFUNCTION("""COMPUTED_VALUE"""),"139579;INF174K014H3;-;Kotak FMP Series 196 - Regular - Dividend Payout;10.00000641;29-Jul-2019")</f>
        <v>139579;INF174K014H3;-;Kotak FMP Series 196 - Regular - Dividend Payout;10.00000641;29-Jul-2019</v>
      </c>
      <c r="B13057" s="1"/>
    </row>
    <row r="13058">
      <c r="A13058" s="1" t="str">
        <f>IFERROR(__xludf.DUMMYFUNCTION("""COMPUTED_VALUE"""),"139580;INF174K013H5;-;Kotak FMP Series 196 - Regular - Growth;12.42780569;29-Jul-2019")</f>
        <v>139580;INF174K013H5;-;Kotak FMP Series 196 - Regular - Growth;12.42780569;29-Jul-2019</v>
      </c>
      <c r="B13058" s="1"/>
    </row>
    <row r="13059">
      <c r="A13059" s="1" t="str">
        <f>IFERROR(__xludf.DUMMYFUNCTION("""COMPUTED_VALUE"""),"140632;INF174K018K8;-;Kotak FMP Series 199 - Direct Plan - Growth Option;12.42189729;06-Apr-2020")</f>
        <v>140632;INF174K018K8;-;Kotak FMP Series 199 - Direct Plan - Growth Option;12.42189729;06-Apr-2020</v>
      </c>
      <c r="B13059" s="1"/>
    </row>
    <row r="13060">
      <c r="A13060" s="1" t="str">
        <f>IFERROR(__xludf.DUMMYFUNCTION("""COMPUTED_VALUE"""),"140631;INF174K017K0;-;Kotak FMP Series 199 - Regular Plan - Dividend Payout Option;12.31038055;06-Apr-2020")</f>
        <v>140631;INF174K017K0;-;Kotak FMP Series 199 - Regular Plan - Dividend Payout Option;12.31038055;06-Apr-2020</v>
      </c>
      <c r="B13060" s="1"/>
    </row>
    <row r="13061">
      <c r="A13061" s="1" t="str">
        <f>IFERROR(__xludf.DUMMYFUNCTION("""COMPUTED_VALUE"""),"140634;INF174K016K2;-;Kotak FMP Series 199 - Regular Plan - Growth Option;12.31038068;06-Apr-2020")</f>
        <v>140634;INF174K016K2;-;Kotak FMP Series 199 - Regular Plan - Growth Option;12.31038068;06-Apr-2020</v>
      </c>
      <c r="B13061" s="1"/>
    </row>
    <row r="13062">
      <c r="A13062" s="1" t="str">
        <f>IFERROR(__xludf.DUMMYFUNCTION("""COMPUTED_VALUE"""),"140911;INF174K014M3;-;Kotak FMP Series 200-Direct Plan-Dividend Payout Option;12.46957982;11-May-2020")</f>
        <v>140911;INF174K014M3;-;Kotak FMP Series 200-Direct Plan-Dividend Payout Option;12.46957982;11-May-2020</v>
      </c>
      <c r="B13062" s="1"/>
    </row>
    <row r="13063">
      <c r="A13063" s="1" t="str">
        <f>IFERROR(__xludf.DUMMYFUNCTION("""COMPUTED_VALUE"""),"140912;INF174K013M5;-;Kotak FMP Series 200-Direct Plan-Growth Option;12.46958857;11-May-2020")</f>
        <v>140912;INF174K013M5;-;Kotak FMP Series 200-Direct Plan-Growth Option;12.46958857;11-May-2020</v>
      </c>
      <c r="B13063" s="1"/>
    </row>
    <row r="13064">
      <c r="A13064" s="1" t="str">
        <f>IFERROR(__xludf.DUMMYFUNCTION("""COMPUTED_VALUE"""),"140909;INF174K012M7;-;Kotak FMP Series 200-Regular Plan-Dividend Payout;12.3123377;11-May-2020")</f>
        <v>140909;INF174K012M7;-;Kotak FMP Series 200-Regular Plan-Dividend Payout;12.3123377;11-May-2020</v>
      </c>
      <c r="B13064" s="1"/>
    </row>
    <row r="13065">
      <c r="A13065" s="1" t="str">
        <f>IFERROR(__xludf.DUMMYFUNCTION("""COMPUTED_VALUE"""),"140910;INF174K011M9;-;Kotak FMP Series 200-Regular Plan-Growth Option;12.31234551;11-May-2020")</f>
        <v>140910;INF174K011M9;-;Kotak FMP Series 200-Regular Plan-Growth Option;12.31234551;11-May-2020</v>
      </c>
      <c r="B13065" s="1"/>
    </row>
    <row r="13066">
      <c r="A13066" s="1" t="str">
        <f>IFERROR(__xludf.DUMMYFUNCTION("""COMPUTED_VALUE"""),"141047;INF174K011N7;-;Kotak FMP Series 202-Direct Plan-Growth Option;12.42571187;14-May-2020")</f>
        <v>141047;INF174K011N7;-;Kotak FMP Series 202-Direct Plan-Growth Option;12.42571187;14-May-2020</v>
      </c>
      <c r="B13066" s="1"/>
    </row>
    <row r="13067">
      <c r="A13067" s="1" t="str">
        <f>IFERROR(__xludf.DUMMYFUNCTION("""COMPUTED_VALUE"""),"141046;INF174K012N5;-;Kotak FMP Series 202-DirectPLan-Dividend Payout Option;12.42569613;14-May-2020")</f>
        <v>141046;INF174K012N5;-;Kotak FMP Series 202-DirectPLan-Dividend Payout Option;12.42569613;14-May-2020</v>
      </c>
      <c r="B13067" s="1"/>
    </row>
    <row r="13068">
      <c r="A13068" s="1" t="str">
        <f>IFERROR(__xludf.DUMMYFUNCTION("""COMPUTED_VALUE"""),"141048;INF174K010N9;-;Kotak FMP Series 202-Regular Plan-Dividend Payout Option;12.301102;14-May-2020")</f>
        <v>141048;INF174K010N9;-;Kotak FMP Series 202-Regular Plan-Dividend Payout Option;12.301102;14-May-2020</v>
      </c>
      <c r="B13068" s="1"/>
    </row>
    <row r="13069">
      <c r="A13069" s="1" t="str">
        <f>IFERROR(__xludf.DUMMYFUNCTION("""COMPUTED_VALUE"""),"141049;INF174K019M2;-;Kotak FMP Series 202-Regular Plan-Growth Option;12.30124559;14-May-2020")</f>
        <v>141049;INF174K019M2;-;Kotak FMP Series 202-Regular Plan-Growth Option;12.30124559;14-May-2020</v>
      </c>
      <c r="B13069" s="1"/>
    </row>
    <row r="13070">
      <c r="A13070" s="1" t="str">
        <f>IFERROR(__xludf.DUMMYFUNCTION("""COMPUTED_VALUE"""),"141283;INF174K019N0;-;Kotak FMP Series 203 - Direct Plan - Growth Option;12.31849;07-May-2020")</f>
        <v>141283;INF174K019N0;-;Kotak FMP Series 203 - Direct Plan - Growth Option;12.31849;07-May-2020</v>
      </c>
      <c r="B13070" s="1"/>
    </row>
    <row r="13071">
      <c r="A13071" s="1" t="str">
        <f>IFERROR(__xludf.DUMMYFUNCTION("""COMPUTED_VALUE"""),"141282;INF174K018N2;-;Kotak FMP Series 203 - Regular Plan - Dividend Payout Option;12.18924162;07-May-2020")</f>
        <v>141282;INF174K018N2;-;Kotak FMP Series 203 - Regular Plan - Dividend Payout Option;12.18924162;07-May-2020</v>
      </c>
      <c r="B13071" s="1"/>
    </row>
    <row r="13072">
      <c r="A13072" s="1" t="str">
        <f>IFERROR(__xludf.DUMMYFUNCTION("""COMPUTED_VALUE"""),"141281;INF174K010O7;-;Kotak FMP Series 203-Direct Plan-Dividend Payout Option;12.3184774;07-May-2020")</f>
        <v>141281;INF174K010O7;-;Kotak FMP Series 203-Direct Plan-Dividend Payout Option;12.3184774;07-May-2020</v>
      </c>
      <c r="B13072" s="1"/>
    </row>
    <row r="13073">
      <c r="A13073" s="1" t="str">
        <f>IFERROR(__xludf.DUMMYFUNCTION("""COMPUTED_VALUE"""),"141284;INF174K017N4;-;Kotak FMP Series 203-Regular Plan-Growth option;12.18923917;07-May-2020")</f>
        <v>141284;INF174K017N4;-;Kotak FMP Series 203-Regular Plan-Growth option;12.18923917;07-May-2020</v>
      </c>
      <c r="B13073" s="1"/>
    </row>
    <row r="13074">
      <c r="A13074" s="1" t="str">
        <f>IFERROR(__xludf.DUMMYFUNCTION("""COMPUTED_VALUE"""),"141368;INF174K017O2;-;Kotak FMP Series 204-Direct Plan-Dividend Payout Option;12.41225314;06-Jul-2020")</f>
        <v>141368;INF174K017O2;-;Kotak FMP Series 204-Direct Plan-Dividend Payout Option;12.41225314;06-Jul-2020</v>
      </c>
      <c r="B13074" s="1"/>
    </row>
    <row r="13075">
      <c r="A13075" s="1" t="str">
        <f>IFERROR(__xludf.DUMMYFUNCTION("""COMPUTED_VALUE"""),"141367;INF174K016O4;-;Kotak FMP Series 204-Direct Plan-Growth Option;12.41235067;06-Jul-2020")</f>
        <v>141367;INF174K016O4;-;Kotak FMP Series 204-Direct Plan-Growth Option;12.41235067;06-Jul-2020</v>
      </c>
      <c r="B13075" s="1"/>
    </row>
    <row r="13076">
      <c r="A13076" s="1" t="str">
        <f>IFERROR(__xludf.DUMMYFUNCTION("""COMPUTED_VALUE"""),"141365;INF174K015O6;-;Kotak FMP Series 204-Regular Plan-Dividend Payout Option;12.35582924;06-Jul-2020")</f>
        <v>141365;INF174K015O6;-;Kotak FMP Series 204-Regular Plan-Dividend Payout Option;12.35582924;06-Jul-2020</v>
      </c>
      <c r="B13076" s="1"/>
    </row>
    <row r="13077">
      <c r="A13077" s="1" t="str">
        <f>IFERROR(__xludf.DUMMYFUNCTION("""COMPUTED_VALUE"""),"141366;INF174K014O9;-;Kotak FMP Series 204-Regular Plan-Growth Option;12.35582851;06-Jul-2020")</f>
        <v>141366;INF174K014O9;-;Kotak FMP Series 204-Regular Plan-Growth Option;12.35582851;06-Jul-2020</v>
      </c>
      <c r="B13077" s="1"/>
    </row>
    <row r="13078">
      <c r="A13078" s="1" t="str">
        <f>IFERROR(__xludf.DUMMYFUNCTION("""COMPUTED_VALUE"""),"141836;INF174K012Q8;-;Kotak FMP Series 210 - Direct Plan - Dividend Option;12.29096602;22-Oct-2020")</f>
        <v>141836;INF174K012Q8;-;Kotak FMP Series 210 - Direct Plan - Dividend Option;12.29096602;22-Oct-2020</v>
      </c>
      <c r="B13078" s="1"/>
    </row>
    <row r="13079">
      <c r="A13079" s="1" t="str">
        <f>IFERROR(__xludf.DUMMYFUNCTION("""COMPUTED_VALUE"""),"141837;INF174K011Q0;-;Kotak FMP Series 210-Direct Plan-Growth Option;12.29096233;22-Oct-2020")</f>
        <v>141837;INF174K011Q0;-;Kotak FMP Series 210-Direct Plan-Growth Option;12.29096233;22-Oct-2020</v>
      </c>
      <c r="B13079" s="1"/>
    </row>
    <row r="13080">
      <c r="A13080" s="1" t="str">
        <f>IFERROR(__xludf.DUMMYFUNCTION("""COMPUTED_VALUE"""),"141835;INF174K010Q2;-;Kotak FMP Series 210-Regular plan-Dividend Option;12.1964524;22-Oct-2020")</f>
        <v>141835;INF174K010Q2;-;Kotak FMP Series 210-Regular plan-Dividend Option;12.1964524;22-Oct-2020</v>
      </c>
      <c r="B13080" s="1"/>
    </row>
    <row r="13081">
      <c r="A13081" s="1" t="str">
        <f>IFERROR(__xludf.DUMMYFUNCTION("""COMPUTED_VALUE"""),"141838;INF174K019P5;-;Kotak FMP Series 210-Regular Plan-Growth option;12.196452;22-Oct-2020")</f>
        <v>141838;INF174K019P5;-;Kotak FMP Series 210-Regular Plan-Growth option;12.196452;22-Oct-2020</v>
      </c>
      <c r="B13081" s="1"/>
    </row>
    <row r="13082">
      <c r="A13082" s="1" t="str">
        <f>IFERROR(__xludf.DUMMYFUNCTION("""COMPUTED_VALUE"""),"141886;INF174K016Q9;-;Kotak FMP Series 211-Direct Plan-Dividend option;12.24991006;22-Oct-2020")</f>
        <v>141886;INF174K016Q9;-;Kotak FMP Series 211-Direct Plan-Dividend option;12.24991006;22-Oct-2020</v>
      </c>
      <c r="B13082" s="1"/>
    </row>
    <row r="13083">
      <c r="A13083" s="1" t="str">
        <f>IFERROR(__xludf.DUMMYFUNCTION("""COMPUTED_VALUE"""),"141885;INF174K015Q1;-;Kotak FMP Series 211-Direct Plan-Growth Option;12.2499135;22-Oct-2020")</f>
        <v>141885;INF174K015Q1;-;Kotak FMP Series 211-Direct Plan-Growth Option;12.2499135;22-Oct-2020</v>
      </c>
      <c r="B13083" s="1"/>
    </row>
    <row r="13084">
      <c r="A13084" s="1" t="str">
        <f>IFERROR(__xludf.DUMMYFUNCTION("""COMPUTED_VALUE"""),"141883;INF174K013Q6;-;Kotak FMP Series 211-Regular Plan -Growth option;12.15334211;22-Oct-2020")</f>
        <v>141883;INF174K013Q6;-;Kotak FMP Series 211-Regular Plan -Growth option;12.15334211;22-Oct-2020</v>
      </c>
      <c r="B13084" s="1"/>
    </row>
    <row r="13085">
      <c r="A13085" s="1" t="str">
        <f>IFERROR(__xludf.DUMMYFUNCTION("""COMPUTED_VALUE"""),"141884;INF174K014Q4;-;Kotak FMP Series 211-Regular Plan-Dividend Option;12.15334053;22-Oct-2020")</f>
        <v>141884;INF174K014Q4;-;Kotak FMP Series 211-Regular Plan-Dividend Option;12.15334053;22-Oct-2020</v>
      </c>
      <c r="B13085" s="1"/>
    </row>
    <row r="13086">
      <c r="A13086" s="1" t="str">
        <f>IFERROR(__xludf.DUMMYFUNCTION("""COMPUTED_VALUE"""),"141937;INF174K019Q3;-;Kotak FMP Series 212-Direct plan-Growth option;12.67795851;02-May-2021")</f>
        <v>141937;INF174K019Q3;-;Kotak FMP Series 212-Direct plan-Growth option;12.67795851;02-May-2021</v>
      </c>
      <c r="B13086" s="1"/>
    </row>
    <row r="13087">
      <c r="A13087" s="1" t="str">
        <f>IFERROR(__xludf.DUMMYFUNCTION("""COMPUTED_VALUE"""),"141936;INF174K018Q5;-;Kotak FMP Series 212-Regular Plan - Payout of Income Distribution cum capital withdrawal option ;12.54734151;02-May-2021")</f>
        <v>141936;INF174K018Q5;-;Kotak FMP Series 212-Regular Plan - Payout of Income Distribution cum capital withdrawal option ;12.54734151;02-May-2021</v>
      </c>
      <c r="B13087" s="1"/>
    </row>
    <row r="13088">
      <c r="A13088" s="1" t="str">
        <f>IFERROR(__xludf.DUMMYFUNCTION("""COMPUTED_VALUE"""),"141935;INF174K017Q7;-;Kotak FMP Series 212-Regular Plan-Growth Option;12.54734186;02-May-2021")</f>
        <v>141935;INF174K017Q7;-;Kotak FMP Series 212-Regular Plan-Growth Option;12.54734186;02-May-2021</v>
      </c>
      <c r="B13088" s="1"/>
    </row>
    <row r="13089">
      <c r="A13089" s="1" t="str">
        <f>IFERROR(__xludf.DUMMYFUNCTION("""COMPUTED_VALUE"""),"141938;INF174K010R0;-;Kotka FMP Series 212-Direct plan -Payout of Income Distribution cum capital withdrawal option;12.67795288;02-May-2021")</f>
        <v>141938;INF174K010R0;-;Kotka FMP Series 212-Direct plan -Payout of Income Distribution cum capital withdrawal option;12.67795288;02-May-2021</v>
      </c>
      <c r="B13089" s="1"/>
    </row>
    <row r="13090">
      <c r="A13090" s="1" t="str">
        <f>IFERROR(__xludf.DUMMYFUNCTION("""COMPUTED_VALUE"""),"142077;INF174K014R2;-;Kotak FMP Series 213-Direct Plan - Payout of Income Distribution cum capital withdrawal option ;12.68288571;28-Apr-2021")</f>
        <v>142077;INF174K014R2;-;Kotak FMP Series 213-Direct Plan - Payout of Income Distribution cum capital withdrawal option ;12.68288571;28-Apr-2021</v>
      </c>
      <c r="B13090" s="1"/>
    </row>
    <row r="13091">
      <c r="A13091" s="1" t="str">
        <f>IFERROR(__xludf.DUMMYFUNCTION("""COMPUTED_VALUE"""),"142078;INF174K013R4;-;Kotak FMP Series 213-Direct Plan-Growth Option;12.68284782;28-Apr-2021")</f>
        <v>142078;INF174K013R4;-;Kotak FMP Series 213-Direct Plan-Growth Option;12.68284782;28-Apr-2021</v>
      </c>
      <c r="B13091" s="1"/>
    </row>
    <row r="13092">
      <c r="A13092" s="1" t="str">
        <f>IFERROR(__xludf.DUMMYFUNCTION("""COMPUTED_VALUE"""),"142076;INF174K012R6;-;Kotak FMP Series 213-Regular Plan - Payout of Income Distribution cum capital withdrawal option ;12.55527623;28-Apr-2021")</f>
        <v>142076;INF174K012R6;-;Kotak FMP Series 213-Regular Plan - Payout of Income Distribution cum capital withdrawal option ;12.55527623;28-Apr-2021</v>
      </c>
      <c r="B13092" s="1"/>
    </row>
    <row r="13093">
      <c r="A13093" s="1" t="str">
        <f>IFERROR(__xludf.DUMMYFUNCTION("""COMPUTED_VALUE"""),"142075;INF174K011R8;-;Kotak FMP Series 213-Regular Plan-Growth Option;12.5552762;28-Apr-2021")</f>
        <v>142075;INF174K011R8;-;Kotak FMP Series 213-Regular Plan-Growth Option;12.5552762;28-Apr-2021</v>
      </c>
      <c r="B13093" s="1"/>
    </row>
    <row r="13094">
      <c r="A13094" s="1" t="str">
        <f>IFERROR(__xludf.DUMMYFUNCTION("""COMPUTED_VALUE"""),"142243;INF174K017R5;-;Kotak FMP Series 214-Direct Plan-Growth Option;12.74466728;03-Jun-2021")</f>
        <v>142243;INF174K017R5;-;Kotak FMP Series 214-Direct Plan-Growth Option;12.74466728;03-Jun-2021</v>
      </c>
      <c r="B13094" s="1"/>
    </row>
    <row r="13095">
      <c r="A13095" s="1" t="str">
        <f>IFERROR(__xludf.DUMMYFUNCTION("""COMPUTED_VALUE"""),"142244;INF174K018R3;-;Kotak FMP Series 214-Direct Plan-Payout of Income Distribution cum capital withdrawal option ;12.7447792;03-Jun-2021")</f>
        <v>142244;INF174K018R3;-;Kotak FMP Series 214-Direct Plan-Payout of Income Distribution cum capital withdrawal option ;12.7447792;03-Jun-2021</v>
      </c>
      <c r="B13095" s="1"/>
    </row>
    <row r="13096">
      <c r="A13096" s="1" t="str">
        <f>IFERROR(__xludf.DUMMYFUNCTION("""COMPUTED_VALUE"""),"142242;INF174K016R7;-;Kotak FMP Series 214-Regular Plan-Payout of Income Distribution cum capital withdrawal option ;12.60047267;03-Jun-2021")</f>
        <v>142242;INF174K016R7;-;Kotak FMP Series 214-Regular Plan-Payout of Income Distribution cum capital withdrawal option ;12.60047267;03-Jun-2021</v>
      </c>
      <c r="B13096" s="1"/>
    </row>
    <row r="13097">
      <c r="A13097" s="1" t="str">
        <f>IFERROR(__xludf.DUMMYFUNCTION("""COMPUTED_VALUE"""),"142241;INF174K015R9;-;Kotak FMP Series 214-RegularPlan-Growth Option;12.60047327;03-Jun-2021")</f>
        <v>142241;INF174K015R9;-;Kotak FMP Series 214-RegularPlan-Growth Option;12.60047327;03-Jun-2021</v>
      </c>
      <c r="B13097" s="1"/>
    </row>
    <row r="13098">
      <c r="A13098" s="1" t="str">
        <f>IFERROR(__xludf.DUMMYFUNCTION("""COMPUTED_VALUE"""),"142313;INF174K011S6;-;Kotak FMP Series 215-Direct Plan-Growth Option;12.79483364;17-Jun-2021")</f>
        <v>142313;INF174K011S6;-;Kotak FMP Series 215-Direct Plan-Growth Option;12.79483364;17-Jun-2021</v>
      </c>
      <c r="B13098" s="1"/>
    </row>
    <row r="13099">
      <c r="A13099" s="1" t="str">
        <f>IFERROR(__xludf.DUMMYFUNCTION("""COMPUTED_VALUE"""),"142312;INF174K012S4;-;Kotak FMP Series 215-Direct Plan-Payout of Income Distribution cum capital withdrawal option ;12.7949605;17-Jun-2021")</f>
        <v>142312;INF174K012S4;-;Kotak FMP Series 215-Direct Plan-Payout of Income Distribution cum capital withdrawal option ;12.7949605;17-Jun-2021</v>
      </c>
      <c r="B13099" s="1"/>
    </row>
    <row r="13100">
      <c r="A13100" s="1" t="str">
        <f>IFERROR(__xludf.DUMMYFUNCTION("""COMPUTED_VALUE"""),"142315;INF174K010S8;-;Kotak FMP Series 215-Regular Plan - Payout of Income Distribution cum capital withdrawal option ;12.73132;17-Jun-2021")</f>
        <v>142315;INF174K010S8;-;Kotak FMP Series 215-Regular Plan - Payout of Income Distribution cum capital withdrawal option ;12.73132;17-Jun-2021</v>
      </c>
      <c r="B13100" s="1"/>
    </row>
    <row r="13101">
      <c r="A13101" s="1" t="str">
        <f>IFERROR(__xludf.DUMMYFUNCTION("""COMPUTED_VALUE"""),"142314;INF174K019R1;-;Kotka FMP Series 215-Regular Plan-Growth Option;12.73131945;17-Jun-2021")</f>
        <v>142314;INF174K019R1;-;Kotka FMP Series 215-Regular Plan-Growth Option;12.73131945;17-Jun-2021</v>
      </c>
      <c r="B13101" s="1"/>
    </row>
    <row r="13102">
      <c r="A13102" s="1" t="str">
        <f>IFERROR(__xludf.DUMMYFUNCTION("""COMPUTED_VALUE"""),"142403;INF174K016S5;-;Kotak FMP Series 216 - Direct Plan-Payout of Income Distribution cum capital withdrawal Option;12.876422;06-Jul-2021")</f>
        <v>142403;INF174K016S5;-;Kotak FMP Series 216 - Direct Plan-Payout of Income Distribution cum capital withdrawal Option;12.876422;06-Jul-2021</v>
      </c>
      <c r="B13102" s="1"/>
    </row>
    <row r="13103">
      <c r="A13103" s="1" t="str">
        <f>IFERROR(__xludf.DUMMYFUNCTION("""COMPUTED_VALUE"""),"142404;INF174K015S7;-;Kotak FMP Series 216-Direct Plan-Growth Option;12.87626106;06-Jul-2021")</f>
        <v>142404;INF174K015S7;-;Kotak FMP Series 216-Direct Plan-Growth Option;12.87626106;06-Jul-2021</v>
      </c>
      <c r="B13103" s="1"/>
    </row>
    <row r="13104">
      <c r="A13104" s="1" t="str">
        <f>IFERROR(__xludf.DUMMYFUNCTION("""COMPUTED_VALUE"""),"142405;INF174K014S0;-;Kotak FMP Series 216-Regular Plan- Payout of Income Distribution cum capital withdrawal Option;12.80911307;06-Jul-2021")</f>
        <v>142405;INF174K014S0;-;Kotak FMP Series 216-Regular Plan- Payout of Income Distribution cum capital withdrawal Option;12.80911307;06-Jul-2021</v>
      </c>
      <c r="B13104" s="1"/>
    </row>
    <row r="13105">
      <c r="A13105" s="1" t="str">
        <f>IFERROR(__xludf.DUMMYFUNCTION("""COMPUTED_VALUE"""),"142406;INF174K013S2;-;Kotak FMP Series 216-Regular Plan-Growth Option;12.80896244;06-Jul-2021")</f>
        <v>142406;INF174K013S2;-;Kotak FMP Series 216-Regular Plan-Growth Option;12.80896244;06-Jul-2021</v>
      </c>
      <c r="B13105" s="1"/>
    </row>
    <row r="13106">
      <c r="A13106" s="1" t="str">
        <f>IFERROR(__xludf.DUMMYFUNCTION("""COMPUTED_VALUE"""),"142530;INF174K018T9;-;Kotak FMP Series 217-Direct Plan-Growth Option;12.86043238;15-Jul-2021")</f>
        <v>142530;INF174K018T9;-;Kotak FMP Series 217-Direct Plan-Growth Option;12.86043238;15-Jul-2021</v>
      </c>
      <c r="B13106" s="1"/>
    </row>
    <row r="13107">
      <c r="A13107" s="1" t="str">
        <f>IFERROR(__xludf.DUMMYFUNCTION("""COMPUTED_VALUE"""),"142527;INF174K017T1;-;Kotak FMP Series 217-Direct Plan-Payout of Income Distribution cum capital withdrawal Option;12.863454;15-Jul-2021")</f>
        <v>142527;INF174K017T1;-;Kotak FMP Series 217-Direct Plan-Payout of Income Distribution cum capital withdrawal Option;12.863454;15-Jul-2021</v>
      </c>
      <c r="B13107" s="1"/>
    </row>
    <row r="13108">
      <c r="A13108" s="1" t="str">
        <f>IFERROR(__xludf.DUMMYFUNCTION("""COMPUTED_VALUE"""),"142529;INF174K015T5;-;Kotak FMP Series 217-Regular Plan-Growth Option;12.79734984;15-Jul-2021")</f>
        <v>142529;INF174K015T5;-;Kotak FMP Series 217-Regular Plan-Growth Option;12.79734984;15-Jul-2021</v>
      </c>
      <c r="B13108" s="1"/>
    </row>
    <row r="13109">
      <c r="A13109" s="1" t="str">
        <f>IFERROR(__xludf.DUMMYFUNCTION("""COMPUTED_VALUE"""),"142528;INF174K016T3;-;Kotak FMP Series 217-Regular Plan-Payout of Income Distribution cum capital withdrawal Option;12.79734525;15-Jul-2021")</f>
        <v>142528;INF174K016T3;-;Kotak FMP Series 217-Regular Plan-Payout of Income Distribution cum capital withdrawal Option;12.79734525;15-Jul-2021</v>
      </c>
      <c r="B13109" s="1"/>
    </row>
    <row r="13110">
      <c r="A13110" s="1" t="str">
        <f>IFERROR(__xludf.DUMMYFUNCTION("""COMPUTED_VALUE"""),"142650;INF174K012U0;-;Kotak FMP Series 218-Direct Plan-Dividend Option;10.2001709;05-Jun-2018")</f>
        <v>142650;INF174K012U0;-;Kotak FMP Series 218-Direct Plan-Dividend Option;10.2001709;05-Jun-2018</v>
      </c>
      <c r="B13110" s="1"/>
    </row>
    <row r="13111">
      <c r="A13111" s="1" t="str">
        <f>IFERROR(__xludf.DUMMYFUNCTION("""COMPUTED_VALUE"""),"142649;INF174K011U2;-;Kotak FMP Series 218-Direct Plan-Growth option;10.20017091;05-Jun-2018")</f>
        <v>142649;INF174K011U2;-;Kotak FMP Series 218-Direct Plan-Growth option;10.20017091;05-Jun-2018</v>
      </c>
      <c r="B13111" s="1"/>
    </row>
    <row r="13112">
      <c r="A13112" s="1" t="str">
        <f>IFERROR(__xludf.DUMMYFUNCTION("""COMPUTED_VALUE"""),"142648;INF174K010U4;-;Kotak FMP Series 218-Regular Plan-Dividend Option;10.19497438;05-Jun-2018")</f>
        <v>142648;INF174K010U4;-;Kotak FMP Series 218-Regular Plan-Dividend Option;10.19497438;05-Jun-2018</v>
      </c>
      <c r="B13112" s="1"/>
    </row>
    <row r="13113">
      <c r="A13113" s="1" t="str">
        <f>IFERROR(__xludf.DUMMYFUNCTION("""COMPUTED_VALUE"""),"142651;INF174K019T7;-;Kotak FMP Series 218-Regular Plan-Growth Option;10.19497438;05-Jun-2018")</f>
        <v>142651;INF174K019T7;-;Kotak FMP Series 218-Regular Plan-Growth Option;10.19497438;05-Jun-2018</v>
      </c>
      <c r="B13113" s="1"/>
    </row>
    <row r="13114">
      <c r="A13114" s="1" t="str">
        <f>IFERROR(__xludf.DUMMYFUNCTION("""COMPUTED_VALUE"""),"142768;INF174K016U1;-;Kotak FMP Series 219-Direct Plan-Payout of Income Distribution cum capital withdrawal Option;12.63628468;26-May-2021")</f>
        <v>142768;INF174K016U1;-;Kotak FMP Series 219-Direct Plan-Payout of Income Distribution cum capital withdrawal Option;12.63628468;26-May-2021</v>
      </c>
      <c r="B13114" s="1"/>
    </row>
    <row r="13115">
      <c r="A13115" s="1" t="str">
        <f>IFERROR(__xludf.DUMMYFUNCTION("""COMPUTED_VALUE"""),"142767;INF174K013U8;-;Kotak FMP Series 219-Regular Plan-Growth Option;12.5373055;26-May-2021")</f>
        <v>142767;INF174K013U8;-;Kotak FMP Series 219-Regular Plan-Growth Option;12.5373055;26-May-2021</v>
      </c>
      <c r="B13115" s="1"/>
    </row>
    <row r="13116">
      <c r="A13116" s="1" t="str">
        <f>IFERROR(__xludf.DUMMYFUNCTION("""COMPUTED_VALUE"""),"142765;INF174K014U6;-;Kotak FMP Series 219-Regular Plan-Payout of Income Distribution cum capital withdrawal Option;12.53731182;26-May-2021")</f>
        <v>142765;INF174K014U6;-;Kotak FMP Series 219-Regular Plan-Payout of Income Distribution cum capital withdrawal Option;12.53731182;26-May-2021</v>
      </c>
      <c r="B13116" s="1"/>
    </row>
    <row r="13117">
      <c r="A13117" s="1" t="str">
        <f>IFERROR(__xludf.DUMMYFUNCTION("""COMPUTED_VALUE"""),"142766;INF174K015U3;-;Kotka FMP Series 219-Direct Plan-Growth Option;12.63632646;26-May-2021")</f>
        <v>142766;INF174K015U3;-;Kotka FMP Series 219-Direct Plan-Growth Option;12.63632646;26-May-2021</v>
      </c>
      <c r="B13117" s="1"/>
    </row>
    <row r="13118">
      <c r="A13118" s="1" t="str">
        <f>IFERROR(__xludf.DUMMYFUNCTION("""COMPUTED_VALUE"""),"142857;INF174K019U5;-;Kotak FMP Series 220-Direct Plan-Growth Option;12.82535387;19-May-2021")</f>
        <v>142857;INF174K019U5;-;Kotak FMP Series 220-Direct Plan-Growth Option;12.82535387;19-May-2021</v>
      </c>
      <c r="B13118" s="1"/>
    </row>
    <row r="13119">
      <c r="A13119" s="1" t="str">
        <f>IFERROR(__xludf.DUMMYFUNCTION("""COMPUTED_VALUE"""),"142859;INF174K010V2;-;Kotak FMP Series 220-Direct Plan-Payout of Income Distribution cum capital withdrawal Option;12.8255464;19-May-2021")</f>
        <v>142859;INF174K010V2;-;Kotak FMP Series 220-Direct Plan-Payout of Income Distribution cum capital withdrawal Option;12.8255464;19-May-2021</v>
      </c>
      <c r="B13119" s="1"/>
    </row>
    <row r="13120">
      <c r="A13120" s="1" t="str">
        <f>IFERROR(__xludf.DUMMYFUNCTION("""COMPUTED_VALUE"""),"142858;INF174K017U9;-;Kotak FMP Series 220-Regular Plan-Growth Option;12.73113892;19-May-2021")</f>
        <v>142858;INF174K017U9;-;Kotak FMP Series 220-Regular Plan-Growth Option;12.73113892;19-May-2021</v>
      </c>
      <c r="B13120" s="1"/>
    </row>
    <row r="13121">
      <c r="A13121" s="1" t="str">
        <f>IFERROR(__xludf.DUMMYFUNCTION("""COMPUTED_VALUE"""),"142860;INF174K018U7;-;Kotak FMP Series 220-Regular Plan-Payout of Income Distribution cum capital withdrawal Option;12.73113049;19-May-2021")</f>
        <v>142860;INF174K018U7;-;Kotak FMP Series 220-Regular Plan-Payout of Income Distribution cum capital withdrawal Option;12.73113049;19-May-2021</v>
      </c>
      <c r="B13121" s="1"/>
    </row>
    <row r="13122">
      <c r="A13122" s="1" t="str">
        <f>IFERROR(__xludf.DUMMYFUNCTION("""COMPUTED_VALUE"""),"143024;INF174K017V7;-;Kotak FMP Series 221-Direct plan-Growth Option;12.53119294;06-May-2021")</f>
        <v>143024;INF174K017V7;-;Kotak FMP Series 221-Direct plan-Growth Option;12.53119294;06-May-2021</v>
      </c>
      <c r="B13122" s="1"/>
    </row>
    <row r="13123">
      <c r="A13123" s="1" t="str">
        <f>IFERROR(__xludf.DUMMYFUNCTION("""COMPUTED_VALUE"""),"143023;INF174K012W6;-;Kotak FMP Series 221-Regular Plan-Growth Option;12.43591539;06-May-2021")</f>
        <v>143023;INF174K012W6;-;Kotak FMP Series 221-Regular Plan-Growth Option;12.43591539;06-May-2021</v>
      </c>
      <c r="B13123" s="1"/>
    </row>
    <row r="13124">
      <c r="A13124" s="1" t="str">
        <f>IFERROR(__xludf.DUMMYFUNCTION("""COMPUTED_VALUE"""),"143022;INF174K016V9;-;Kotak FMP Series 221-Regular Plan-Payout of Income Distribution cum capital withdrawal Option;12.43592375;06-May-2021")</f>
        <v>143022;INF174K016V9;-;Kotak FMP Series 221-Regular Plan-Payout of Income Distribution cum capital withdrawal Option;12.43592375;06-May-2021</v>
      </c>
      <c r="B13124" s="1"/>
    </row>
    <row r="13125">
      <c r="A13125" s="1" t="str">
        <f>IFERROR(__xludf.DUMMYFUNCTION("""COMPUTED_VALUE"""),"143029;INF174K011W8;-;Kotak FMP Series 223-Direct Plan-Growth Option;12.77917038;27-May-2021")</f>
        <v>143029;INF174K011W8;-;Kotak FMP Series 223-Direct Plan-Growth Option;12.77917038;27-May-2021</v>
      </c>
      <c r="B13125" s="1"/>
    </row>
    <row r="13126">
      <c r="A13126" s="1" t="str">
        <f>IFERROR(__xludf.DUMMYFUNCTION("""COMPUTED_VALUE"""),"143032;INF174K015V1;-;Kotak FMP Series 223-Direct Plan-Payout of Income Distribution cum capital withdrawal Option;12.77917039;27-May-2021")</f>
        <v>143032;INF174K015V1;-;Kotak FMP Series 223-Direct Plan-Payout of Income Distribution cum capital withdrawal Option;12.77917039;27-May-2021</v>
      </c>
      <c r="B13126" s="1"/>
    </row>
    <row r="13127">
      <c r="A13127" s="1" t="str">
        <f>IFERROR(__xludf.DUMMYFUNCTION("""COMPUTED_VALUE"""),"143031;INF174K019V3;-;Kotak FMP Series 223-Regular Plan-Growth option;12.64509652;27-May-2021")</f>
        <v>143031;INF174K019V3;-;Kotak FMP Series 223-Regular Plan-Growth option;12.64509652;27-May-2021</v>
      </c>
      <c r="B13127" s="1"/>
    </row>
    <row r="13128">
      <c r="A13128" s="1" t="str">
        <f>IFERROR(__xludf.DUMMYFUNCTION("""COMPUTED_VALUE"""),"143030;INF174K010W0;-;Kotak FMP Series 223-Regular Plan-Payout of Income Distribution cum capital withdrawal Option;12.6450827;27-May-2021")</f>
        <v>143030;INF174K010W0;-;Kotak FMP Series 223-Regular Plan-Payout of Income Distribution cum capital withdrawal Option;12.6450827;27-May-2021</v>
      </c>
      <c r="B13128" s="1"/>
    </row>
    <row r="13129">
      <c r="A13129" s="1" t="str">
        <f>IFERROR(__xludf.DUMMYFUNCTION("""COMPUTED_VALUE"""),"143060;INF174K014W2;-;Kotak FMP Series 224 - Regular Plan- Payout of Income Distribution cum capital withdrawal Option;12.47440668;20-May-2021")</f>
        <v>143060;INF174K014W2;-;Kotak FMP Series 224 - Regular Plan- Payout of Income Distribution cum capital withdrawal Option;12.47440668;20-May-2021</v>
      </c>
      <c r="B13129" s="1"/>
    </row>
    <row r="13130">
      <c r="A13130" s="1" t="str">
        <f>IFERROR(__xludf.DUMMYFUNCTION("""COMPUTED_VALUE"""),"143061;INF174K015W9;-;Kotak FMP Series 224-Direct Plan-Growth Option;12.57066655;20-May-2021")</f>
        <v>143061;INF174K015W9;-;Kotak FMP Series 224-Direct Plan-Growth Option;12.57066655;20-May-2021</v>
      </c>
      <c r="B13130" s="1"/>
    </row>
    <row r="13131">
      <c r="A13131" s="1" t="str">
        <f>IFERROR(__xludf.DUMMYFUNCTION("""COMPUTED_VALUE"""),"143059;INF174K013W4;-;Kotak FMP Series 224-Regular Plan-Growth Option;12.47439853;20-May-2021")</f>
        <v>143059;INF174K013W4;-;Kotak FMP Series 224-Regular Plan-Growth Option;12.47439853;20-May-2021</v>
      </c>
      <c r="B13131" s="1"/>
    </row>
    <row r="13132">
      <c r="A13132" s="1" t="str">
        <f>IFERROR(__xludf.DUMMYFUNCTION("""COMPUTED_VALUE"""),"143183;INF174K019W1;-;Kotak FMP Series 225-Direct Plan-Growth Option;12.46310596;18-May-2021")</f>
        <v>143183;INF174K019W1;-;Kotak FMP Series 225-Direct Plan-Growth Option;12.46310596;18-May-2021</v>
      </c>
      <c r="B13132" s="1"/>
    </row>
    <row r="13133">
      <c r="A13133" s="1" t="str">
        <f>IFERROR(__xludf.DUMMYFUNCTION("""COMPUTED_VALUE"""),"143180;INF174K010X8;-;Kotak FMP Series 225-Direct Plan-Payout of Income Distribution cum capital withdrawal Option;12.46328857;18-May-2021")</f>
        <v>143180;INF174K010X8;-;Kotak FMP Series 225-Direct Plan-Payout of Income Distribution cum capital withdrawal Option;12.46328857;18-May-2021</v>
      </c>
      <c r="B13133" s="1"/>
    </row>
    <row r="13134">
      <c r="A13134" s="1" t="str">
        <f>IFERROR(__xludf.DUMMYFUNCTION("""COMPUTED_VALUE"""),"143181;INF174K017W5;-;Kotak FMP Series 225-Regular Plan -Growth Option;12.36985067;18-May-2021")</f>
        <v>143181;INF174K017W5;-;Kotak FMP Series 225-Regular Plan -Growth Option;12.36985067;18-May-2021</v>
      </c>
      <c r="B13134" s="1"/>
    </row>
    <row r="13135">
      <c r="A13135" s="1" t="str">
        <f>IFERROR(__xludf.DUMMYFUNCTION("""COMPUTED_VALUE"""),"143182;INF174K018W3;-;Kotak FMP Series 225-Regular Plan-Payout of Income Distribution cum capital withdrawal Option;12.36985;18-May-2021")</f>
        <v>143182;INF174K018W3;-;Kotak FMP Series 225-Regular Plan-Payout of Income Distribution cum capital withdrawal Option;12.36985;18-May-2021</v>
      </c>
      <c r="B13135" s="1"/>
    </row>
    <row r="13136">
      <c r="A13136" s="1" t="str">
        <f>IFERROR(__xludf.DUMMYFUNCTION("""COMPUTED_VALUE"""),"143343;INF174K017X3;-;Kotak FMP Series 226 - Direct Plan- Growth Option;13.74506401;25-May-2022")</f>
        <v>143343;INF174K017X3;-;Kotak FMP Series 226 - Direct Plan- Growth Option;13.74506401;25-May-2022</v>
      </c>
      <c r="B13136" s="1"/>
    </row>
    <row r="13137">
      <c r="A13137" s="1" t="str">
        <f>IFERROR(__xludf.DUMMYFUNCTION("""COMPUTED_VALUE"""),"143345;INF174K018X1;-;KOtak FMP Series 226 - Direct Plan- Payout of Income Distribution cum capital withdrawal Option;13.74502878;25-May-2022")</f>
        <v>143345;INF174K018X1;-;KOtak FMP Series 226 - Direct Plan- Payout of Income Distribution cum capital withdrawal Option;13.74502878;25-May-2022</v>
      </c>
      <c r="B13137" s="1"/>
    </row>
    <row r="13138">
      <c r="A13138" s="1" t="str">
        <f>IFERROR(__xludf.DUMMYFUNCTION("""COMPUTED_VALUE"""),"143344;INF174K016X5;-;Kotak FMP Series 226 - Regular Plan - Payout of Income Distribution cum capital withdrawal Option;13.64107217;25-May-2022")</f>
        <v>143344;INF174K016X5;-;Kotak FMP Series 226 - Regular Plan - Payout of Income Distribution cum capital withdrawal Option;13.64107217;25-May-2022</v>
      </c>
      <c r="B13138" s="1"/>
    </row>
    <row r="13139">
      <c r="A13139" s="1" t="str">
        <f>IFERROR(__xludf.DUMMYFUNCTION("""COMPUTED_VALUE"""),"143342;INF174K015X7;-;Kotak FMP Series 226 - Regular Plan- Growth Option;13.64107272;25-May-2022")</f>
        <v>143342;INF174K015X7;-;Kotak FMP Series 226 - Regular Plan- Growth Option;13.64107272;25-May-2022</v>
      </c>
      <c r="B13139" s="1"/>
    </row>
    <row r="13140">
      <c r="A13140" s="1" t="str">
        <f>IFERROR(__xludf.DUMMYFUNCTION("""COMPUTED_VALUE"""),"143479;INF174K011Y4;-;Kotak FMP Series 227 - Direct Plan - Growth Option.;10.21444515;27-Aug-2018")</f>
        <v>143479;INF174K011Y4;-;Kotak FMP Series 227 - Direct Plan - Growth Option.;10.21444515;27-Aug-2018</v>
      </c>
      <c r="B13140" s="1"/>
    </row>
    <row r="13141">
      <c r="A13141" s="1" t="str">
        <f>IFERROR(__xludf.DUMMYFUNCTION("""COMPUTED_VALUE"""),"143477;INF174K019X9;-;Kotak FMP Series 227 - Regular Plan -Growth Option.;10.20907352;27-Aug-2018")</f>
        <v>143477;INF174K019X9;-;Kotak FMP Series 227 - Regular Plan -Growth Option.;10.20907352;27-Aug-2018</v>
      </c>
      <c r="B13141" s="1"/>
    </row>
    <row r="13142">
      <c r="A13142" s="1" t="str">
        <f>IFERROR(__xludf.DUMMYFUNCTION("""COMPUTED_VALUE"""),"143478;INF174K010Y6;-;Kotak FMP Series 227 - Regular Plan- Dividend Option.;10.20907352;27-Aug-2018")</f>
        <v>143478;INF174K010Y6;-;Kotak FMP Series 227 - Regular Plan- Dividend Option.;10.20907352;27-Aug-2018</v>
      </c>
      <c r="B13142" s="1"/>
    </row>
    <row r="13143">
      <c r="A13143" s="1" t="str">
        <f>IFERROR(__xludf.DUMMYFUNCTION("""COMPUTED_VALUE"""),"143480;INF174K012Y2;-;Kotak FMP Series 227- Direct Plan - Dividend Option.;10.21444515;27-Aug-2018")</f>
        <v>143480;INF174K012Y2;-;Kotak FMP Series 227- Direct Plan - Dividend Option.;10.21444515;27-Aug-2018</v>
      </c>
      <c r="B13143" s="1"/>
    </row>
    <row r="13144">
      <c r="A13144" s="1" t="str">
        <f>IFERROR(__xludf.DUMMYFUNCTION("""COMPUTED_VALUE"""),"143622;INF174K013Y0;-;Kotak FMP Series 228 - Regular Plan - Growth Option;12.70956588;19-Jul-2021")</f>
        <v>143622;INF174K013Y0;-;Kotak FMP Series 228 - Regular Plan - Growth Option;12.70956588;19-Jul-2021</v>
      </c>
      <c r="B13144" s="1"/>
    </row>
    <row r="13145">
      <c r="A13145" s="1" t="str">
        <f>IFERROR(__xludf.DUMMYFUNCTION("""COMPUTED_VALUE"""),"143624;INF174K014Y8;-;Kotak FMP Series 228- Regular Plan  -Payout of Income Distribution cum capital withdrawal Option;12.70956421;19-Jul-2021")</f>
        <v>143624;INF174K014Y8;-;Kotak FMP Series 228- Regular Plan  -Payout of Income Distribution cum capital withdrawal Option;12.70956421;19-Jul-2021</v>
      </c>
      <c r="B13145" s="1"/>
    </row>
    <row r="13146">
      <c r="A13146" s="1" t="str">
        <f>IFERROR(__xludf.DUMMYFUNCTION("""COMPUTED_VALUE"""),"143623;INF174K015Y5;-;Kotak FMP Series 228-Direct Plan - Growth Option;12.78522894;19-Jul-2021")</f>
        <v>143623;INF174K015Y5;-;Kotak FMP Series 228-Direct Plan - Growth Option;12.78522894;19-Jul-2021</v>
      </c>
      <c r="B13146" s="1"/>
    </row>
    <row r="13147">
      <c r="A13147" s="1" t="str">
        <f>IFERROR(__xludf.DUMMYFUNCTION("""COMPUTED_VALUE"""),"143628;INF174K010Z3;-;Kotak FMP Series 229 - Direct Plan - Dividend Option;10.20746304;10-Sep-2018")</f>
        <v>143628;INF174K010Z3;-;Kotak FMP Series 229 - Direct Plan - Dividend Option;10.20746304;10-Sep-2018</v>
      </c>
      <c r="B13147" s="1"/>
    </row>
    <row r="13148">
      <c r="A13148" s="1" t="str">
        <f>IFERROR(__xludf.DUMMYFUNCTION("""COMPUTED_VALUE"""),"143625;INF174K019Y7;-;Kotak FMP Series 229 - Direct Plan - Growth Option;10.20746304;10-Sep-2018")</f>
        <v>143625;INF174K019Y7;-;Kotak FMP Series 229 - Direct Plan - Growth Option;10.20746304;10-Sep-2018</v>
      </c>
      <c r="B13148" s="1"/>
    </row>
    <row r="13149">
      <c r="A13149" s="1" t="str">
        <f>IFERROR(__xludf.DUMMYFUNCTION("""COMPUTED_VALUE"""),"143626;INF174K018Y9;-;Kotak FMP Series 229 - Regular Plan - Dividend Option;10.20209509;10-Sep-2018")</f>
        <v>143626;INF174K018Y9;-;Kotak FMP Series 229 - Regular Plan - Dividend Option;10.20209509;10-Sep-2018</v>
      </c>
      <c r="B13149" s="1"/>
    </row>
    <row r="13150">
      <c r="A13150" s="1" t="str">
        <f>IFERROR(__xludf.DUMMYFUNCTION("""COMPUTED_VALUE"""),"143627;INF174K017Y1;-;Kotak FMP Series 229- Regular Plan  -Growth Option;10.20209509;10-Sep-2018")</f>
        <v>143627;INF174K017Y1;-;Kotak FMP Series 229- Regular Plan  -Growth Option;10.20209509;10-Sep-2018</v>
      </c>
      <c r="B13150" s="1"/>
    </row>
    <row r="13151">
      <c r="A13151" s="1" t="str">
        <f>IFERROR(__xludf.DUMMYFUNCTION("""COMPUTED_VALUE"""),"143848;INF174K013Z7;-;Kotak FMP Series 230-Direct Plan-Growth Option;12.76020815;28-Jul-2021")</f>
        <v>143848;INF174K013Z7;-;Kotak FMP Series 230-Direct Plan-Growth Option;12.76020815;28-Jul-2021</v>
      </c>
      <c r="B13151" s="1"/>
    </row>
    <row r="13152">
      <c r="A13152" s="1" t="str">
        <f>IFERROR(__xludf.DUMMYFUNCTION("""COMPUTED_VALUE"""),"143849;INF174K014Z5;-;Kotak FMP Series 230-Direct Plan-Payout of Income Distribution cum capital withdrawal Option;12.76019487;28-Jul-2021")</f>
        <v>143849;INF174K014Z5;-;Kotak FMP Series 230-Direct Plan-Payout of Income Distribution cum capital withdrawal Option;12.76019487;28-Jul-2021</v>
      </c>
      <c r="B13152" s="1"/>
    </row>
    <row r="13153">
      <c r="A13153" s="1" t="str">
        <f>IFERROR(__xludf.DUMMYFUNCTION("""COMPUTED_VALUE"""),"143850;INF174K011Z1;-;Kotak FMP Series 230-Regular Plan-Growth Option;12.66520507;28-Jul-2021")</f>
        <v>143850;INF174K011Z1;-;Kotak FMP Series 230-Regular Plan-Growth Option;12.66520507;28-Jul-2021</v>
      </c>
      <c r="B13153" s="1"/>
    </row>
    <row r="13154">
      <c r="A13154" s="1" t="str">
        <f>IFERROR(__xludf.DUMMYFUNCTION("""COMPUTED_VALUE"""),"143993;INF174K019Z4;-;Kotak FMP Series 232- Regular Plan- Growth Option;12.68978959;05-Aug-2021")</f>
        <v>143993;INF174K019Z4;-;Kotak FMP Series 232- Regular Plan- Growth Option;12.68978959;05-Aug-2021</v>
      </c>
      <c r="B13154" s="1"/>
    </row>
    <row r="13155">
      <c r="A13155" s="1" t="str">
        <f>IFERROR(__xludf.DUMMYFUNCTION("""COMPUTED_VALUE"""),"143994;INF174KA1020;-;Kotak FMP Series 232-Direct Plan-Growth Option;12.80015194;05-Aug-2021")</f>
        <v>143994;INF174KA1020;-;Kotak FMP Series 232-Direct Plan-Growth Option;12.80015194;05-Aug-2021</v>
      </c>
      <c r="B13155" s="1"/>
    </row>
    <row r="13156">
      <c r="A13156" s="1" t="str">
        <f>IFERROR(__xludf.DUMMYFUNCTION("""COMPUTED_VALUE"""),"143995;INF174KA1012;-;Kotak FMP Series 232-Regular Plan-Payout of Income Distribution cum capital withdrawal Option;12.6897919;05-Aug-2021")</f>
        <v>143995;INF174KA1012;-;Kotak FMP Series 232-Regular Plan-Payout of Income Distribution cum capital withdrawal Option;12.6897919;05-Aug-2021</v>
      </c>
      <c r="B13156" s="1"/>
    </row>
    <row r="13157">
      <c r="A13157" s="1" t="str">
        <f>IFERROR(__xludf.DUMMYFUNCTION("""COMPUTED_VALUE"""),"144063;INF174KA1061;-;Kotak FMP Series 233 - Direct Plan - Growth Option;12.68434581;11-Aug-2021")</f>
        <v>144063;INF174KA1061;-;Kotak FMP Series 233 - Direct Plan - Growth Option;12.68434581;11-Aug-2021</v>
      </c>
      <c r="B13157" s="1"/>
    </row>
    <row r="13158">
      <c r="A13158" s="1" t="str">
        <f>IFERROR(__xludf.DUMMYFUNCTION("""COMPUTED_VALUE"""),"144064;INF174KA1079;-;Kotak FMP Series 233 - Direct Plan - Payout of Income Distribution cum capital withdrawal Option;12.686633;11-Aug-2021")</f>
        <v>144064;INF174KA1079;-;Kotak FMP Series 233 - Direct Plan - Payout of Income Distribution cum capital withdrawal Option;12.686633;11-Aug-2021</v>
      </c>
      <c r="B13158" s="1"/>
    </row>
    <row r="13159">
      <c r="A13159" s="1" t="str">
        <f>IFERROR(__xludf.DUMMYFUNCTION("""COMPUTED_VALUE"""),"144061;INF174KA1046;-;Kotak FMP Series 233 - Regular Plan - Growth Option;12.57059862;11-Aug-2021")</f>
        <v>144061;INF174KA1046;-;Kotak FMP Series 233 - Regular Plan - Growth Option;12.57059862;11-Aug-2021</v>
      </c>
      <c r="B13159" s="1"/>
    </row>
    <row r="13160">
      <c r="A13160" s="1" t="str">
        <f>IFERROR(__xludf.DUMMYFUNCTION("""COMPUTED_VALUE"""),"144279;INF174KA1103;-;Kotak FMP Series 234 - Direct Plan - Growth Option;13.00887157;20-Sep-2021")</f>
        <v>144279;INF174KA1103;-;Kotak FMP Series 234 - Direct Plan - Growth Option;13.00887157;20-Sep-2021</v>
      </c>
      <c r="B13160" s="1"/>
    </row>
    <row r="13161">
      <c r="A13161" s="1" t="str">
        <f>IFERROR(__xludf.DUMMYFUNCTION("""COMPUTED_VALUE"""),"144281;INF174KA1087;-;Kotak FMP Series 234 - Regular Plan - Growth Option;12.91098148;20-Sep-2021")</f>
        <v>144281;INF174KA1087;-;Kotak FMP Series 234 - Regular Plan - Growth Option;12.91098148;20-Sep-2021</v>
      </c>
      <c r="B13161" s="1"/>
    </row>
    <row r="13162">
      <c r="A13162" s="1" t="str">
        <f>IFERROR(__xludf.DUMMYFUNCTION("""COMPUTED_VALUE"""),"144282;INF174KA1095;-;Kotak FMP Series 234 -Regular Plan-Payout of Income Distribution cum capital withdrawal Option;12.91102524;20-Sep-2021")</f>
        <v>144282;INF174KA1095;-;Kotak FMP Series 234 -Regular Plan-Payout of Income Distribution cum capital withdrawal Option;12.91102524;20-Sep-2021</v>
      </c>
      <c r="B13162" s="1"/>
    </row>
    <row r="13163">
      <c r="A13163" s="1" t="str">
        <f>IFERROR(__xludf.DUMMYFUNCTION("""COMPUTED_VALUE"""),"144283;INF174KA1145;-;Kotak FMP Series 235 - Direct Plan - Growth option;12.73441896;26-Aug-2021")</f>
        <v>144283;INF174KA1145;-;Kotak FMP Series 235 - Direct Plan - Growth option;12.73441896;26-Aug-2021</v>
      </c>
      <c r="B13163" s="1"/>
    </row>
    <row r="13164">
      <c r="A13164" s="1" t="str">
        <f>IFERROR(__xludf.DUMMYFUNCTION("""COMPUTED_VALUE"""),"144284;INF174KA1129;-;Kotak FMP Series 235 - Regular Plan - Growth Option;12.64048763;26-Aug-2021")</f>
        <v>144284;INF174KA1129;-;Kotak FMP Series 235 - Regular Plan - Growth Option;12.64048763;26-Aug-2021</v>
      </c>
      <c r="B13164" s="1"/>
    </row>
    <row r="13165">
      <c r="A13165" s="1" t="str">
        <f>IFERROR(__xludf.DUMMYFUNCTION("""COMPUTED_VALUE"""),"144286;INF174KA1137;-;Kotak FMP Series 235 - Regular Plan - Payout of Income Distribution cum capital withdrawal Option;12.64101;26-Aug-2021")</f>
        <v>144286;INF174KA1137;-;Kotak FMP Series 235 - Regular Plan - Payout of Income Distribution cum capital withdrawal Option;12.64101;26-Aug-2021</v>
      </c>
      <c r="B13165" s="1"/>
    </row>
    <row r="13166">
      <c r="A13166" s="1" t="str">
        <f>IFERROR(__xludf.DUMMYFUNCTION("""COMPUTED_VALUE"""),"144459;INF174KA1285;-;Kotak FMP Series 237 - Direct Plan-Growth Option;12.83951567;25-Oct-2021")</f>
        <v>144459;INF174KA1285;-;Kotak FMP Series 237 - Direct Plan-Growth Option;12.83951567;25-Oct-2021</v>
      </c>
      <c r="B13166" s="1"/>
    </row>
    <row r="13167">
      <c r="A13167" s="1" t="str">
        <f>IFERROR(__xludf.DUMMYFUNCTION("""COMPUTED_VALUE"""),"144457;INF174KA1277;-;Kotak FMP Series 237 - Regular Plan -Payout of Income Distribution cum capital withdrawal Option;12.742445;25-Oct-2021")</f>
        <v>144457;INF174KA1277;-;Kotak FMP Series 237 - Regular Plan -Payout of Income Distribution cum capital withdrawal Option;12.742445;25-Oct-2021</v>
      </c>
      <c r="B13167" s="1"/>
    </row>
    <row r="13168">
      <c r="A13168" s="1" t="str">
        <f>IFERROR(__xludf.DUMMYFUNCTION("""COMPUTED_VALUE"""),"144460;INF174KA1269;-;Kotak FMP Series 237- Regular Plan -Growth Option;12.74127942;25-Oct-2021")</f>
        <v>144460;INF174KA1269;-;Kotak FMP Series 237- Regular Plan -Growth Option;12.74127942;25-Oct-2021</v>
      </c>
      <c r="B13168" s="1"/>
    </row>
    <row r="13169">
      <c r="A13169" s="1" t="str">
        <f>IFERROR(__xludf.DUMMYFUNCTION("""COMPUTED_VALUE"""),"144589;INF174KA1368;-;Kotak FMP Series 239 - Direct Plan - Growth option;13.56295213;11-Apr-2022")</f>
        <v>144589;INF174KA1368;-;Kotak FMP Series 239 - Direct Plan - Growth option;13.56295213;11-Apr-2022</v>
      </c>
      <c r="B13169" s="1"/>
    </row>
    <row r="13170">
      <c r="A13170" s="1" t="str">
        <f>IFERROR(__xludf.DUMMYFUNCTION("""COMPUTED_VALUE"""),"144590;INF174KA1376;-;Kotak FMP Series 239 - Direct Plan - Payout of Income Distribution cum capital withdrawal Option;13.5631175;11-Apr-2022")</f>
        <v>144590;INF174KA1376;-;Kotak FMP Series 239 - Direct Plan - Payout of Income Distribution cum capital withdrawal Option;13.5631175;11-Apr-2022</v>
      </c>
      <c r="B13170" s="1"/>
    </row>
    <row r="13171">
      <c r="A13171" s="1" t="str">
        <f>IFERROR(__xludf.DUMMYFUNCTION("""COMPUTED_VALUE"""),"144588;INF174KA1343;-;Kotak FMP Series 239 - Regular plan -Growth option;13.52129461;11-Apr-2022")</f>
        <v>144588;INF174KA1343;-;Kotak FMP Series 239 - Regular plan -Growth option;13.52129461;11-Apr-2022</v>
      </c>
      <c r="B13171" s="1"/>
    </row>
    <row r="13172">
      <c r="A13172" s="1" t="str">
        <f>IFERROR(__xludf.DUMMYFUNCTION("""COMPUTED_VALUE"""),"144591;INF174KA1350;-;Kotak FMP Series 239 - Regular plan- Payout of Income Distribution cum capital withdrawal Option;13.521266;11-Apr-2022")</f>
        <v>144591;INF174KA1350;-;Kotak FMP Series 239 - Regular plan- Payout of Income Distribution cum capital withdrawal Option;13.521266;11-Apr-2022</v>
      </c>
      <c r="B13172" s="1"/>
    </row>
    <row r="13173">
      <c r="A13173" s="1" t="str">
        <f>IFERROR(__xludf.DUMMYFUNCTION("""COMPUTED_VALUE"""),"144614;INF174KA1400;-;Kotak FMP Series 240 - Direct Plan - Growth Option;12.79040526;13-Oct-2021")</f>
        <v>144614;INF174KA1400;-;Kotak FMP Series 240 - Direct Plan - Growth Option;12.79040526;13-Oct-2021</v>
      </c>
      <c r="B13173" s="1"/>
    </row>
    <row r="13174">
      <c r="A13174" s="1" t="str">
        <f>IFERROR(__xludf.DUMMYFUNCTION("""COMPUTED_VALUE"""),"144615;INF174KA1384;-;Kotak FMP Series 240 - Regular Plan - Growth option;12.69496527;13-Oct-2021")</f>
        <v>144615;INF174KA1384;-;Kotak FMP Series 240 - Regular Plan - Growth option;12.69496527;13-Oct-2021</v>
      </c>
      <c r="B13174" s="1"/>
    </row>
    <row r="13175">
      <c r="A13175" s="1" t="str">
        <f>IFERROR(__xludf.DUMMYFUNCTION("""COMPUTED_VALUE"""),"144612;INF174KA1392;-;Kotak FMP Series 240-Regular Plan - Payout of Income Distribution cum capital withdrawal Option;12.69409067;13-Oct-2021")</f>
        <v>144612;INF174KA1392;-;Kotak FMP Series 240-Regular Plan - Payout of Income Distribution cum capital withdrawal Option;12.69409067;13-Oct-2021</v>
      </c>
      <c r="B13175" s="1"/>
    </row>
    <row r="13176">
      <c r="A13176" s="1" t="str">
        <f>IFERROR(__xludf.DUMMYFUNCTION("""COMPUTED_VALUE"""),"144671;INF174KA1483;-;Kotak FMP Series 242 - Direct Plan  -Growth Option;12.77057107;18-Oct-2021")</f>
        <v>144671;INF174KA1483;-;Kotak FMP Series 242 - Direct Plan  -Growth Option;12.77057107;18-Oct-2021</v>
      </c>
      <c r="B13176" s="1"/>
    </row>
    <row r="13177">
      <c r="A13177" s="1" t="str">
        <f>IFERROR(__xludf.DUMMYFUNCTION("""COMPUTED_VALUE"""),"144672;INF174KA1491;-;Kotak FMP Series 242 - Direct Plan - Payout of Income Distribution cum capital withdrawal Option;12.7704892;18-Oct-2021")</f>
        <v>144672;INF174KA1491;-;Kotak FMP Series 242 - Direct Plan - Payout of Income Distribution cum capital withdrawal Option;12.7704892;18-Oct-2021</v>
      </c>
      <c r="B13177" s="1"/>
    </row>
    <row r="13178">
      <c r="A13178" s="1" t="str">
        <f>IFERROR(__xludf.DUMMYFUNCTION("""COMPUTED_VALUE"""),"144669;INF174KA1467;-;Kotak FMP Series 242 - Regular Growth;12.67623406;18-Oct-2021")</f>
        <v>144669;INF174KA1467;-;Kotak FMP Series 242 - Regular Growth;12.67623406;18-Oct-2021</v>
      </c>
      <c r="B13178" s="1"/>
    </row>
    <row r="13179">
      <c r="A13179" s="1" t="str">
        <f>IFERROR(__xludf.DUMMYFUNCTION("""COMPUTED_VALUE"""),"144670;INF174KA1475;-;Kotak FMP Series 242 -Regular Plan -Payout of Income Distribution cum capital withdrawal Option;12.67622737;18-Oct-2021")</f>
        <v>144670;INF174KA1475;-;Kotak FMP Series 242 -Regular Plan -Payout of Income Distribution cum capital withdrawal Option;12.67622737;18-Oct-2021</v>
      </c>
      <c r="B13179" s="1"/>
    </row>
    <row r="13180">
      <c r="A13180" s="1" t="str">
        <f>IFERROR(__xludf.DUMMYFUNCTION("""COMPUTED_VALUE"""),"144849;INF174KA1558;-;Kotak FMP Series 243 - Regular Plan -Payout of Income Distribution cum capital withdrawal Option;13.30003773;11-Apr-2022")</f>
        <v>144849;INF174KA1558;-;Kotak FMP Series 243 - Regular Plan -Payout of Income Distribution cum capital withdrawal Option;13.30003773;11-Apr-2022</v>
      </c>
      <c r="B13180" s="1"/>
    </row>
    <row r="13181">
      <c r="A13181" s="1" t="str">
        <f>IFERROR(__xludf.DUMMYFUNCTION("""COMPUTED_VALUE"""),"144851;INF174KA1574;-;Kotak FMP Series 243-Direct Plan - Payout of Income Distribution cum capital withdrawal Option;13.43706333;11-Apr-2022")</f>
        <v>144851;INF174KA1574;-;Kotak FMP Series 243-Direct Plan - Payout of Income Distribution cum capital withdrawal Option;13.43706333;11-Apr-2022</v>
      </c>
      <c r="B13181" s="1"/>
    </row>
    <row r="13182">
      <c r="A13182" s="1" t="str">
        <f>IFERROR(__xludf.DUMMYFUNCTION("""COMPUTED_VALUE"""),"144850;INF174KA1566;-;Kotak FMP Series 243-Direct Plan -Growth Option;13.43717344;11-Apr-2022")</f>
        <v>144850;INF174KA1566;-;Kotak FMP Series 243-Direct Plan -Growth Option;13.43717344;11-Apr-2022</v>
      </c>
      <c r="B13182" s="1"/>
    </row>
    <row r="13183">
      <c r="A13183" s="1" t="str">
        <f>IFERROR(__xludf.DUMMYFUNCTION("""COMPUTED_VALUE"""),"144848;INF174KA1541;-;Kotak FMP Series 243-Regular Plan-Growth Option;13.30003554;11-Apr-2022")</f>
        <v>144848;INF174KA1541;-;Kotak FMP Series 243-Regular Plan-Growth Option;13.30003554;11-Apr-2022</v>
      </c>
      <c r="B13183" s="1"/>
    </row>
    <row r="13184">
      <c r="A13184" s="1" t="str">
        <f>IFERROR(__xludf.DUMMYFUNCTION("""COMPUTED_VALUE"""),"145005;INF174KA1632;-;Kotak FMP Series 245 -Regular Plan-Payout of Income Distribution cum capital withdrawal Option;12.59072787;08-Nov-2021")</f>
        <v>145005;INF174KA1632;-;Kotak FMP Series 245 -Regular Plan-Payout of Income Distribution cum capital withdrawal Option;12.59072787;08-Nov-2021</v>
      </c>
      <c r="B13184" s="1"/>
    </row>
    <row r="13185">
      <c r="A13185" s="1" t="str">
        <f>IFERROR(__xludf.DUMMYFUNCTION("""COMPUTED_VALUE"""),"145006;INF174KA1640;-;Kotak FMP Series 245-Direct Plan-Growth Option;12.70298177;08-Nov-2021")</f>
        <v>145006;INF174KA1640;-;Kotak FMP Series 245-Direct Plan-Growth Option;12.70298177;08-Nov-2021</v>
      </c>
      <c r="B13185" s="1"/>
    </row>
    <row r="13186">
      <c r="A13186" s="1" t="str">
        <f>IFERROR(__xludf.DUMMYFUNCTION("""COMPUTED_VALUE"""),"145007;INF174KA1657;-;Kotak FMP Series 245-Direct Plan-Payout of Income Distribution cum capital withdrawal Option;12.70295706;08-Nov-2021")</f>
        <v>145007;INF174KA1657;-;Kotak FMP Series 245-Direct Plan-Payout of Income Distribution cum capital withdrawal Option;12.70295706;08-Nov-2021</v>
      </c>
      <c r="B13186" s="1"/>
    </row>
    <row r="13187">
      <c r="A13187" s="1" t="str">
        <f>IFERROR(__xludf.DUMMYFUNCTION("""COMPUTED_VALUE"""),"145004;INF174KA1624;-;Kotak FMP Series 245-Regular Plan-Growth Option;12.59073449;08-Nov-2021")</f>
        <v>145004;INF174KA1624;-;Kotak FMP Series 245-Regular Plan-Growth Option;12.59073449;08-Nov-2021</v>
      </c>
      <c r="B13187" s="1"/>
    </row>
    <row r="13188">
      <c r="A13188" s="1" t="str">
        <f>IFERROR(__xludf.DUMMYFUNCTION("""COMPUTED_VALUE"""),"145086;INF174KA1681;-;Kotak FMP Series 246 - Direct Plan - Growth Option;12.90273312;22-Nov-2021")</f>
        <v>145086;INF174KA1681;-;Kotak FMP Series 246 - Direct Plan - Growth Option;12.90273312;22-Nov-2021</v>
      </c>
      <c r="B13188" s="1"/>
    </row>
    <row r="13189">
      <c r="A13189" s="1" t="str">
        <f>IFERROR(__xludf.DUMMYFUNCTION("""COMPUTED_VALUE"""),"145085;INF174KA1673;-;Kotak FMP Series 246 - Regular Plan - Payout of Income Distribution cum capital withdrawal Option;12.72832775;22-Nov-2021")</f>
        <v>145085;INF174KA1673;-;Kotak FMP Series 246 - Regular Plan - Payout of Income Distribution cum capital withdrawal Option;12.72832775;22-Nov-2021</v>
      </c>
      <c r="B13189" s="1"/>
    </row>
    <row r="13190">
      <c r="A13190" s="1" t="str">
        <f>IFERROR(__xludf.DUMMYFUNCTION("""COMPUTED_VALUE"""),"145083;INF174KA1699;-;Kotak FMP Series 246 -Direct plan - Payout of Income Distribution cum capital withdrawal Option;12.90274338;22-Nov-2021")</f>
        <v>145083;INF174KA1699;-;Kotak FMP Series 246 -Direct plan - Payout of Income Distribution cum capital withdrawal Option;12.90274338;22-Nov-2021</v>
      </c>
      <c r="B13190" s="1"/>
    </row>
    <row r="13191">
      <c r="A13191" s="1" t="str">
        <f>IFERROR(__xludf.DUMMYFUNCTION("""COMPUTED_VALUE"""),"145084;INF174KA1665;-;Kotak FMP Series 246 -Regular Plan - Growth oPtion;12.7283301;22-Nov-2021")</f>
        <v>145084;INF174KA1665;-;Kotak FMP Series 246 -Regular Plan - Growth oPtion;12.7283301;22-Nov-2021</v>
      </c>
      <c r="B13191" s="1"/>
    </row>
    <row r="13192">
      <c r="A13192" s="1" t="str">
        <f>IFERROR(__xludf.DUMMYFUNCTION("""COMPUTED_VALUE"""),"145189;INF174KA1715;-;Kotak FMP Series 247 - Regular Plan -Payout of Income Distribution cum capital withdrawal Option;13.31228831;28-Apr-2022")</f>
        <v>145189;INF174KA1715;-;Kotak FMP Series 247 - Regular Plan -Payout of Income Distribution cum capital withdrawal Option;13.31228831;28-Apr-2022</v>
      </c>
      <c r="B13192" s="1"/>
    </row>
    <row r="13193">
      <c r="A13193" s="1" t="str">
        <f>IFERROR(__xludf.DUMMYFUNCTION("""COMPUTED_VALUE"""),"145187;INF174KA1723;-;Kotak FMP Series 247 -Direct Plan -Growth option;13.44935518;28-Apr-2022")</f>
        <v>145187;INF174KA1723;-;Kotak FMP Series 247 -Direct Plan -Growth option;13.44935518;28-Apr-2022</v>
      </c>
      <c r="B13193" s="1"/>
    </row>
    <row r="13194">
      <c r="A13194" s="1" t="str">
        <f>IFERROR(__xludf.DUMMYFUNCTION("""COMPUTED_VALUE"""),"145188;INF174KA1707;-;Kotak FMP Series 247 -Regular Plan - Growth option;13.31228991;28-Apr-2022")</f>
        <v>145188;INF174KA1707;-;Kotak FMP Series 247 -Regular Plan - Growth option;13.31228991;28-Apr-2022</v>
      </c>
      <c r="B13194" s="1"/>
    </row>
    <row r="13195">
      <c r="A13195" s="1" t="str">
        <f>IFERROR(__xludf.DUMMYFUNCTION("""COMPUTED_VALUE"""),"145240;INF174KA1764;-;Kotak FMP Series 248 - Direct Plan -Growth Option;13.38646144;04-May-2022")</f>
        <v>145240;INF174KA1764;-;Kotak FMP Series 248 - Direct Plan -Growth Option;13.38646144;04-May-2022</v>
      </c>
      <c r="B13195" s="1"/>
    </row>
    <row r="13196">
      <c r="A13196" s="1" t="str">
        <f>IFERROR(__xludf.DUMMYFUNCTION("""COMPUTED_VALUE"""),"145239;INF174KA1772;-;Kotak FMP Series 248 - Direct Plan -Payout of Income Distribution cum capital withdrawal Option;13.38586533;04-May-2022")</f>
        <v>145239;INF174KA1772;-;Kotak FMP Series 248 - Direct Plan -Payout of Income Distribution cum capital withdrawal Option;13.38586533;04-May-2022</v>
      </c>
      <c r="B13196" s="1"/>
    </row>
    <row r="13197">
      <c r="A13197" s="1" t="str">
        <f>IFERROR(__xludf.DUMMYFUNCTION("""COMPUTED_VALUE"""),"145242;INF174KA1749;-;Kotak FMP Series 248 -Regular Plan - Growth Option;13.22926017;04-May-2022")</f>
        <v>145242;INF174KA1749;-;Kotak FMP Series 248 -Regular Plan - Growth Option;13.22926017;04-May-2022</v>
      </c>
      <c r="B13197" s="1"/>
    </row>
    <row r="13198">
      <c r="A13198" s="1" t="str">
        <f>IFERROR(__xludf.DUMMYFUNCTION("""COMPUTED_VALUE"""),"145241;INF174KA1756;-;Kotak FMP Series 248- Regular Plan - Payout of Income Distribution cum capital withdrawal Option;13.22925938;04-May-2022")</f>
        <v>145241;INF174KA1756;-;Kotak FMP Series 248- Regular Plan - Payout of Income Distribution cum capital withdrawal Option;13.22925938;04-May-2022</v>
      </c>
      <c r="B13198" s="1"/>
    </row>
    <row r="13199">
      <c r="A13199" s="1" t="str">
        <f>IFERROR(__xludf.DUMMYFUNCTION("""COMPUTED_VALUE"""),"145381;INF174KA1848;-;Kotak FMP Series 250-Direct Plan-Growth Option;13.34762174;01-Jun-2022")</f>
        <v>145381;INF174KA1848;-;Kotak FMP Series 250-Direct Plan-Growth Option;13.34762174;01-Jun-2022</v>
      </c>
      <c r="B13199" s="1"/>
    </row>
    <row r="13200">
      <c r="A13200" s="1" t="str">
        <f>IFERROR(__xludf.DUMMYFUNCTION("""COMPUTED_VALUE"""),"145379;INF174KA1822;-;Kotak FMP Series 250-Regular plan-growth option;13.20424391;01-Jun-2022")</f>
        <v>145379;INF174KA1822;-;Kotak FMP Series 250-Regular plan-growth option;13.20424391;01-Jun-2022</v>
      </c>
      <c r="B13200" s="1"/>
    </row>
    <row r="13201">
      <c r="A13201" s="1" t="str">
        <f>IFERROR(__xludf.DUMMYFUNCTION("""COMPUTED_VALUE"""),"145380;INF174KA1830;-;Kotak FMP Series 250-regular plan-Payout of Income Distribution cum capital withdrawal Option;13.20424549;01-Jun-2022")</f>
        <v>145380;INF174KA1830;-;Kotak FMP Series 250-regular plan-Payout of Income Distribution cum capital withdrawal Option;13.20424549;01-Jun-2022</v>
      </c>
      <c r="B13201" s="1"/>
    </row>
    <row r="13202">
      <c r="A13202" s="1" t="str">
        <f>IFERROR(__xludf.DUMMYFUNCTION("""COMPUTED_VALUE"""),"145588;INF174KA1AA2;-;Kotak FMP Series 251-1265 days-Direct Paln-Gwoth option;13.12114853;10-May-2022")</f>
        <v>145588;INF174KA1AA2;-;Kotak FMP Series 251-1265 days-Direct Paln-Gwoth option;13.12114853;10-May-2022</v>
      </c>
      <c r="B13202" s="1"/>
    </row>
    <row r="13203">
      <c r="A13203" s="1" t="str">
        <f>IFERROR(__xludf.DUMMYFUNCTION("""COMPUTED_VALUE"""),"145586;INF174KA1AB0;-;Kotak Fmp series 251-1265 days-Direct Plan-Payout of Income Distribution cum capital withdrawal option ;13.12116252;10-May-2022")</f>
        <v>145586;INF174KA1AB0;-;Kotak Fmp series 251-1265 days-Direct Plan-Payout of Income Distribution cum capital withdrawal option ;13.12116252;10-May-2022</v>
      </c>
      <c r="B13203" s="1"/>
    </row>
    <row r="13204">
      <c r="A13204" s="1" t="str">
        <f>IFERROR(__xludf.DUMMYFUNCTION("""COMPUTED_VALUE"""),"145587;INF174KA1988;-;Kotak FMP Series 251-1265 days-Regular Plan-Growth Option;12.97486315;10-May-2022")</f>
        <v>145587;INF174KA1988;-;Kotak FMP Series 251-1265 days-Regular Plan-Growth Option;12.97486315;10-May-2022</v>
      </c>
      <c r="B13204" s="1"/>
    </row>
    <row r="13205">
      <c r="A13205" s="1" t="str">
        <f>IFERROR(__xludf.DUMMYFUNCTION("""COMPUTED_VALUE"""),"145637;INF174KA1AE4;-;Kotak FMP Series 252-1261 days Direct plan-Growth option;13.11681592;17-May-2022")</f>
        <v>145637;INF174KA1AE4;-;Kotak FMP Series 252-1261 days Direct plan-Growth option;13.11681592;17-May-2022</v>
      </c>
      <c r="B13205" s="1"/>
    </row>
    <row r="13206">
      <c r="A13206" s="1" t="str">
        <f>IFERROR(__xludf.DUMMYFUNCTION("""COMPUTED_VALUE"""),"145635;INF174KA1AD6;-;Kotak FMP Series 252-1261 days-Regular Plan-Payout of Income Distribution cum capital withdrawal option ;12.9815316;17-May-2022")</f>
        <v>145635;INF174KA1AD6;-;Kotak FMP Series 252-1261 days-Regular Plan-Payout of Income Distribution cum capital withdrawal option ;12.9815316;17-May-2022</v>
      </c>
      <c r="B13206" s="1"/>
    </row>
    <row r="13207">
      <c r="A13207" s="1" t="str">
        <f>IFERROR(__xludf.DUMMYFUNCTION("""COMPUTED_VALUE"""),"145634;INF174KA1AC8;-;Kotak FMP Series 252-1261days-Regular Plan-Growth Option;12.98157108;17-May-2022")</f>
        <v>145634;INF174KA1AC8;-;Kotak FMP Series 252-1261days-Regular Plan-Growth Option;12.98157108;17-May-2022</v>
      </c>
      <c r="B13207" s="1"/>
    </row>
    <row r="13208">
      <c r="A13208" s="1" t="str">
        <f>IFERROR(__xludf.DUMMYFUNCTION("""COMPUTED_VALUE"""),"145714;INF174KA1AH7;-;Kotak FMP Series 253-1260 days -Regular paln-Payout of Income Distribution cum capital withdrawal option;12.98902272;19-May-2022")</f>
        <v>145714;INF174KA1AH7;-;Kotak FMP Series 253-1260 days -Regular paln-Payout of Income Distribution cum capital withdrawal option;12.98902272;19-May-2022</v>
      </c>
      <c r="B13208" s="1"/>
    </row>
    <row r="13209">
      <c r="A13209" s="1" t="str">
        <f>IFERROR(__xludf.DUMMYFUNCTION("""COMPUTED_VALUE"""),"145715;INF174KA1AJ3;-;Kotak FMP Series 253-1260 days-direct paln-Payout of Income Distribution cum capital withdrawal option;13.03361067;19-May-2022")</f>
        <v>145715;INF174KA1AJ3;-;Kotak FMP Series 253-1260 days-direct paln-Payout of Income Distribution cum capital withdrawal option;13.03361067;19-May-2022</v>
      </c>
      <c r="B13209" s="1"/>
    </row>
    <row r="13210">
      <c r="A13210" s="1" t="str">
        <f>IFERROR(__xludf.DUMMYFUNCTION("""COMPUTED_VALUE"""),"145716;INF174KA1AI5;-;Kotak FMP Series 253-1260 days-direct plan-growth option;13.03392081;19-May-2022")</f>
        <v>145716;INF174KA1AI5;-;Kotak FMP Series 253-1260 days-direct plan-growth option;13.03392081;19-May-2022</v>
      </c>
      <c r="B13210" s="1"/>
    </row>
    <row r="13211">
      <c r="A13211" s="1" t="str">
        <f>IFERROR(__xludf.DUMMYFUNCTION("""COMPUTED_VALUE"""),"145713;INF174KA1AG9;-;Kotak FMP Series 253-1260 days-Regular plan-Growth option;12.98900473;19-May-2022")</f>
        <v>145713;INF174KA1AG9;-;Kotak FMP Series 253-1260 days-Regular plan-Growth option;12.98900473;19-May-2022</v>
      </c>
      <c r="B13211" s="1"/>
    </row>
    <row r="13212">
      <c r="A13212" s="1" t="str">
        <f>IFERROR(__xludf.DUMMYFUNCTION("""COMPUTED_VALUE"""),"145783;INF174KA1AM7;-;Kotak FMP Series 254-Direct Plan-Growth Option;13.00183135;17-May-2022")</f>
        <v>145783;INF174KA1AM7;-;Kotak FMP Series 254-Direct Plan-Growth Option;13.00183135;17-May-2022</v>
      </c>
      <c r="B13212" s="1"/>
    </row>
    <row r="13213">
      <c r="A13213" s="1" t="str">
        <f>IFERROR(__xludf.DUMMYFUNCTION("""COMPUTED_VALUE"""),"145786;INF174KA1AK1;-;Kotak FMP Series 254-Regular Plan-Growth Option;12.91308238;17-May-2022")</f>
        <v>145786;INF174KA1AK1;-;Kotak FMP Series 254-Regular Plan-Growth Option;12.91308238;17-May-2022</v>
      </c>
      <c r="B13213" s="1"/>
    </row>
    <row r="13214">
      <c r="A13214" s="1" t="str">
        <f>IFERROR(__xludf.DUMMYFUNCTION("""COMPUTED_VALUE"""),"145902;INF174KA1AQ8;-;Kotak FMP Series 255-Direct Plan-Growth n;12.94248128;24-May-2022")</f>
        <v>145902;INF174KA1AQ8;-;Kotak FMP Series 255-Direct Plan-Growth n;12.94248128;24-May-2022</v>
      </c>
      <c r="B13214" s="1"/>
    </row>
    <row r="13215">
      <c r="A13215" s="1" t="str">
        <f>IFERROR(__xludf.DUMMYFUNCTION("""COMPUTED_VALUE"""),"145900;INF174KA1AO3;-;Kotak FMP Series 255-Regular Plan-Growth Option;12.83613329;24-May-2022")</f>
        <v>145900;INF174KA1AO3;-;Kotak FMP Series 255-Regular Plan-Growth Option;12.83613329;24-May-2022</v>
      </c>
      <c r="B13215" s="1"/>
    </row>
    <row r="13216">
      <c r="A13216" s="1" t="str">
        <f>IFERROR(__xludf.DUMMYFUNCTION("""COMPUTED_VALUE"""),"145903;INF174KA1AP0;-;Kotak FMP Series 255-Regular Plan-Payout of Income Distribution cum capital withdrawal option;12.8361331;24-May-2022")</f>
        <v>145903;INF174KA1AP0;-;Kotak FMP Series 255-Regular Plan-Payout of Income Distribution cum capital withdrawal option;12.8361331;24-May-2022</v>
      </c>
      <c r="B13216" s="1"/>
    </row>
    <row r="13217">
      <c r="A13217" s="1" t="str">
        <f>IFERROR(__xludf.DUMMYFUNCTION("""COMPUTED_VALUE"""),"145961;INF174KA1AU0;-;Kotak FMP Series 256-Direct Plan-Growth Option;13.10759909;03-Jun-2022")</f>
        <v>145961;INF174KA1AU0;-;Kotak FMP Series 256-Direct Plan-Growth Option;13.10759909;03-Jun-2022</v>
      </c>
      <c r="B13217" s="1"/>
    </row>
    <row r="13218">
      <c r="A13218" s="1" t="str">
        <f>IFERROR(__xludf.DUMMYFUNCTION("""COMPUTED_VALUE"""),"145962;INF174KA1AV8;-;Kotak FMP Series 256-Direct Plan-Payout of Income Distribution cum capital withdrawal option;13.10760703;03-Jun-2022")</f>
        <v>145962;INF174KA1AV8;-;Kotak FMP Series 256-Direct Plan-Payout of Income Distribution cum capital withdrawal option;13.10760703;03-Jun-2022</v>
      </c>
      <c r="B13218" s="1"/>
    </row>
    <row r="13219">
      <c r="A13219" s="1" t="str">
        <f>IFERROR(__xludf.DUMMYFUNCTION("""COMPUTED_VALUE"""),"145959;INF174KA1AS4;-;Kotak FMP Series 256-Regular Plan-Growth Option;12.88506434;03-Jun-2022")</f>
        <v>145959;INF174KA1AS4;-;Kotak FMP Series 256-Regular Plan-Growth Option;12.88506434;03-Jun-2022</v>
      </c>
      <c r="B13219" s="1"/>
    </row>
    <row r="13220">
      <c r="A13220" s="1" t="str">
        <f>IFERROR(__xludf.DUMMYFUNCTION("""COMPUTED_VALUE"""),"145960;INF174KA1AT2;-;Kotak FMP Series 256-Regular Plan-Payout of Income Distribution cum capital withdrawal option;12.8850647;03-Jun-2022")</f>
        <v>145960;INF174KA1AT2;-;Kotak FMP Series 256-Regular Plan-Payout of Income Distribution cum capital withdrawal option;12.8850647;03-Jun-2022</v>
      </c>
      <c r="B13220" s="1"/>
    </row>
    <row r="13221">
      <c r="A13221" s="1" t="str">
        <f>IFERROR(__xludf.DUMMYFUNCTION("""COMPUTED_VALUE"""),"146045;INF174KA1AY2;-;Kotak FMP Series 257-Direct plan-Growth Option;12.96525676;30-Jun-2022")</f>
        <v>146045;INF174KA1AY2;-;Kotak FMP Series 257-Direct plan-Growth Option;12.96525676;30-Jun-2022</v>
      </c>
      <c r="B13221" s="1"/>
    </row>
    <row r="13222">
      <c r="A13222" s="1" t="str">
        <f>IFERROR(__xludf.DUMMYFUNCTION("""COMPUTED_VALUE"""),"146047;INF174KA1AZ9;-;Kotak FMP Series 257-Direct Plan-Payout of Income Distribution cum capital withdrawal option;12.969282;30-Jun-2022")</f>
        <v>146047;INF174KA1AZ9;-;Kotak FMP Series 257-Direct Plan-Payout of Income Distribution cum capital withdrawal option;12.969282;30-Jun-2022</v>
      </c>
      <c r="B13222" s="1"/>
    </row>
    <row r="13223">
      <c r="A13223" s="1" t="str">
        <f>IFERROR(__xludf.DUMMYFUNCTION("""COMPUTED_VALUE"""),"146048;INF174KA1AW6;-;Kotak FMP Series 257-Regular Plan-Growth Option;12.87555804;30-Jun-2022")</f>
        <v>146048;INF174KA1AW6;-;Kotak FMP Series 257-Regular Plan-Growth Option;12.87555804;30-Jun-2022</v>
      </c>
      <c r="B13223" s="1"/>
    </row>
    <row r="13224">
      <c r="A13224" s="1" t="str">
        <f>IFERROR(__xludf.DUMMYFUNCTION("""COMPUTED_VALUE"""),"146046;INF174KA1AX4;-;Kotak FMP Series 257-Regular Plan-Payout of Income Distribution cum capital withdrawal option ;12.875558;30-Jun-2022")</f>
        <v>146046;INF174KA1AX4;-;Kotak FMP Series 257-Regular Plan-Payout of Income Distribution cum capital withdrawal option ;12.875558;30-Jun-2022</v>
      </c>
      <c r="B13224" s="1"/>
    </row>
    <row r="13225">
      <c r="A13225" s="1" t="str">
        <f>IFERROR(__xludf.DUMMYFUNCTION("""COMPUTED_VALUE"""),"146284;INF174KA1BO1;-;kotak FMP Series 259 -Direct Plan-Growth Option;12.97860854;18-Jul-2022")</f>
        <v>146284;INF174KA1BO1;-;kotak FMP Series 259 -Direct Plan-Growth Option;12.97860854;18-Jul-2022</v>
      </c>
      <c r="B13225" s="1"/>
    </row>
    <row r="13226">
      <c r="A13226" s="1" t="str">
        <f>IFERROR(__xludf.DUMMYFUNCTION("""COMPUTED_VALUE"""),"146283;INF174KA1BM5;-;kotak FMP Series 259-Regular Plan-Growth Option;12.88881745;18-Jul-2022")</f>
        <v>146283;INF174KA1BM5;-;kotak FMP Series 259-Regular Plan-Growth Option;12.88881745;18-Jul-2022</v>
      </c>
      <c r="B13226" s="1"/>
    </row>
    <row r="13227">
      <c r="A13227" s="1" t="str">
        <f>IFERROR(__xludf.DUMMYFUNCTION("""COMPUTED_VALUE"""),"146282;INF174KA1BN3;-;kotak FMP Series 259-Regular Plan-Payout of Income Distribution cum capital withdrawal option;12.88880733;18-Jul-2022")</f>
        <v>146282;INF174KA1BN3;-;kotak FMP Series 259-Regular Plan-Payout of Income Distribution cum capital withdrawal option;12.88880733;18-Jul-2022</v>
      </c>
      <c r="B13227" s="1"/>
    </row>
    <row r="13228">
      <c r="A13228" s="1" t="str">
        <f>IFERROR(__xludf.DUMMYFUNCTION("""COMPUTED_VALUE"""),"146327;INF174KA1BW4;-;kotak FMP Series 261-Direct Plan-Growth Option;12.96057774;26-Jul-2022")</f>
        <v>146327;INF174KA1BW4;-;kotak FMP Series 261-Direct Plan-Growth Option;12.96057774;26-Jul-2022</v>
      </c>
      <c r="B13228" s="1"/>
    </row>
    <row r="13229">
      <c r="A13229" s="1" t="str">
        <f>IFERROR(__xludf.DUMMYFUNCTION("""COMPUTED_VALUE"""),"146324;INF174KA1BX2;-;kotak FMP Series 261-direct plan-Payout of Income Distribution cum capital withdrawal option;12.96058051;26-Jul-2022")</f>
        <v>146324;INF174KA1BX2;-;kotak FMP Series 261-direct plan-Payout of Income Distribution cum capital withdrawal option;12.96058051;26-Jul-2022</v>
      </c>
      <c r="B13229" s="1"/>
    </row>
    <row r="13230">
      <c r="A13230" s="1" t="str">
        <f>IFERROR(__xludf.DUMMYFUNCTION("""COMPUTED_VALUE"""),"146326;INF174KA1BU8;-;kotak FMP Series 261-Regular Plan-Growth Option;12.87105257;26-Jul-2022")</f>
        <v>146326;INF174KA1BU8;-;kotak FMP Series 261-Regular Plan-Growth Option;12.87105257;26-Jul-2022</v>
      </c>
      <c r="B13230" s="1"/>
    </row>
    <row r="13231">
      <c r="A13231" s="1" t="str">
        <f>IFERROR(__xludf.DUMMYFUNCTION("""COMPUTED_VALUE"""),"146325;INF174KA1BV6;-;kotak FMP Series 261-Regular Plan-Payout of Income Distribution cum capital withdrawal option;12.87104727;26-Jul-2022")</f>
        <v>146325;INF174KA1BV6;-;kotak FMP Series 261-Regular Plan-Payout of Income Distribution cum capital withdrawal option;12.87104727;26-Jul-2022</v>
      </c>
      <c r="B13231" s="1"/>
    </row>
    <row r="13232">
      <c r="A13232" s="1" t="str">
        <f>IFERROR(__xludf.DUMMYFUNCTION("""COMPUTED_VALUE"""),"146605;INF174KA1CO9;-;Kotak FMP Series 263-1203 days- Direct Plan- Growth;12.6819527;16-Jun-2022")</f>
        <v>146605;INF174KA1CO9;-;Kotak FMP Series 263-1203 days- Direct Plan- Growth;12.6819527;16-Jun-2022</v>
      </c>
      <c r="B13232" s="1"/>
    </row>
    <row r="13233">
      <c r="A13233" s="1" t="str">
        <f>IFERROR(__xludf.DUMMYFUNCTION("""COMPUTED_VALUE"""),"146607;INF174KA1CM3;-;Kotak FMP Series 263-1203 days- Regular plan- Growth;12.59863129;16-Jun-2022")</f>
        <v>146607;INF174KA1CM3;-;Kotak FMP Series 263-1203 days- Regular plan- Growth;12.59863129;16-Jun-2022</v>
      </c>
      <c r="B13233" s="1"/>
    </row>
    <row r="13234">
      <c r="A13234" s="1" t="str">
        <f>IFERROR(__xludf.DUMMYFUNCTION("""COMPUTED_VALUE"""),"146604;INF174KA1CN1;-;Kotak FMP Series 263-1203 days- Regular plan- Payout of Income Distribution cum capital withdrawal option ;12.59855017;16-Jun-2022")</f>
        <v>146604;INF174KA1CN1;-;Kotak FMP Series 263-1203 days- Regular plan- Payout of Income Distribution cum capital withdrawal option ;12.59855017;16-Jun-2022</v>
      </c>
      <c r="B13234" s="1"/>
    </row>
    <row r="13235">
      <c r="A13235" s="1" t="str">
        <f>IFERROR(__xludf.DUMMYFUNCTION("""COMPUTED_VALUE"""),"146834;INF174KA1CW2;-;Kotak FMP Series 265-Direct Plan-Growth Option;12.69654831;21-Jun-2022")</f>
        <v>146834;INF174KA1CW2;-;Kotak FMP Series 265-Direct Plan-Growth Option;12.69654831;21-Jun-2022</v>
      </c>
      <c r="B13235" s="1"/>
    </row>
    <row r="13236">
      <c r="A13236" s="1" t="str">
        <f>IFERROR(__xludf.DUMMYFUNCTION("""COMPUTED_VALUE"""),"146833;INF174KA1CU6;-;Kotak FMP Series 265-Regular Plan-Growth Option;12.63440111;21-Jun-2022")</f>
        <v>146833;INF174KA1CU6;-;Kotak FMP Series 265-Regular Plan-Growth Option;12.63440111;21-Jun-2022</v>
      </c>
      <c r="B13236" s="1"/>
    </row>
    <row r="13237">
      <c r="A13237" s="1" t="str">
        <f>IFERROR(__xludf.DUMMYFUNCTION("""COMPUTED_VALUE"""),"147021;INF174KA1DK5;-;Kotak FMP Series 267-Direct PLan-Growth Option;12.59107946;23-Jun-2022")</f>
        <v>147021;INF174KA1DK5;-;Kotak FMP Series 267-Direct PLan-Growth Option;12.59107946;23-Jun-2022</v>
      </c>
      <c r="B13237" s="1"/>
    </row>
    <row r="13238">
      <c r="A13238" s="1" t="str">
        <f>IFERROR(__xludf.DUMMYFUNCTION("""COMPUTED_VALUE"""),"147022;INF174KA1DI9;-;Kotak FMP Series 267-Regular Plan-Growth Option;12.52322615;23-Jun-2022")</f>
        <v>147022;INF174KA1DI9;-;Kotak FMP Series 267-Regular Plan-Growth Option;12.52322615;23-Jun-2022</v>
      </c>
      <c r="B13238" s="1"/>
    </row>
    <row r="13239">
      <c r="A13239" s="1" t="str">
        <f>IFERROR(__xludf.DUMMYFUNCTION("""COMPUTED_VALUE"""),"147019;INF174KA1DJ7;-;Kotak FMP series 267-Regular Plan-Payout of Income Distribution cum capital withdrawal option ;12.52323003;23-Jun-2022")</f>
        <v>147019;INF174KA1DJ7;-;Kotak FMP series 267-Regular Plan-Payout of Income Distribution cum capital withdrawal option ;12.52323003;23-Jun-2022</v>
      </c>
      <c r="B13239" s="1"/>
    </row>
    <row r="13240">
      <c r="A13240" s="1" t="str">
        <f>IFERROR(__xludf.DUMMYFUNCTION("""COMPUTED_VALUE"""),"149139;INF174KA1HM2;-;Kotak FMP Series 292 - Direct Plan - Growth;10.9968;25-Aug-2023")</f>
        <v>149139;INF174KA1HM2;-;Kotak FMP Series 292 - Direct Plan - Growth;10.9968;25-Aug-2023</v>
      </c>
      <c r="B13240" s="1"/>
    </row>
    <row r="13241">
      <c r="A13241" s="1" t="str">
        <f>IFERROR(__xludf.DUMMYFUNCTION("""COMPUTED_VALUE"""),"149138;INF174KA1HN0;-;Kotak FMP Series 292 - Direct Plan - IDCW Payout;10.9968;25-Aug-2023")</f>
        <v>149138;INF174KA1HN0;-;Kotak FMP Series 292 - Direct Plan - IDCW Payout;10.9968;25-Aug-2023</v>
      </c>
      <c r="B13241" s="1"/>
    </row>
    <row r="13242">
      <c r="A13242" s="1" t="str">
        <f>IFERROR(__xludf.DUMMYFUNCTION("""COMPUTED_VALUE"""),"149136;INF174KA1HK6;-;Kotak FMP Series 292 - Regular Plan - Growth;10.9299;25-Aug-2023")</f>
        <v>149136;INF174KA1HK6;-;Kotak FMP Series 292 - Regular Plan - Growth;10.9299;25-Aug-2023</v>
      </c>
      <c r="B13242" s="1"/>
    </row>
    <row r="13243">
      <c r="A13243" s="1" t="str">
        <f>IFERROR(__xludf.DUMMYFUNCTION("""COMPUTED_VALUE"""),"149137;INF174KA1HL4;-;Kotak FMP Series 292 - Regular Plan - IDCW Payout;10.9299;25-Aug-2023")</f>
        <v>149137;INF174KA1HL4;-;Kotak FMP Series 292 - Regular Plan - IDCW Payout;10.9299;25-Aug-2023</v>
      </c>
      <c r="B13243" s="1"/>
    </row>
    <row r="13244">
      <c r="A13244" s="1" t="str">
        <f>IFERROR(__xludf.DUMMYFUNCTION("""COMPUTED_VALUE"""),"150319;INF174KA1IV1;-;Kotak FMP Series 294-105 days - Regular Plan - IDCW Payout;10.1171;08-Jul-2022")</f>
        <v>150319;INF174KA1IV1;-;Kotak FMP Series 294-105 days - Regular Plan - IDCW Payout;10.1171;08-Jul-2022</v>
      </c>
      <c r="B13244" s="1"/>
    </row>
    <row r="13245">
      <c r="A13245" s="1" t="str">
        <f>IFERROR(__xludf.DUMMYFUNCTION("""COMPUTED_VALUE"""),"150318;INF174KA1IU3;-;Kotak FMP Series 294-105 days-Regular Plan-Growth;10.117;08-Jul-2022")</f>
        <v>150318;INF174KA1IU3;-;Kotak FMP Series 294-105 days-Regular Plan-Growth;10.117;08-Jul-2022</v>
      </c>
      <c r="B13245" s="1"/>
    </row>
    <row r="13246">
      <c r="A13246" s="1" t="str">
        <f>IFERROR(__xludf.DUMMYFUNCTION("""COMPUTED_VALUE"""),"150321;INF174KA1IX7;-;Kotak FMP Series 294-Direct Plan-IDCW Payout;10.1214;08-Jul-2022")</f>
        <v>150321;INF174KA1IX7;-;Kotak FMP Series 294-Direct Plan-IDCW Payout;10.1214;08-Jul-2022</v>
      </c>
      <c r="B13246" s="1"/>
    </row>
    <row r="13247">
      <c r="A13247" s="1" t="str">
        <f>IFERROR(__xludf.DUMMYFUNCTION("""COMPUTED_VALUE"""),"150320;INF174KA1IW9;-;Kotak FMP Series-294-105 days-Direct Plan- Growth;10.1214;08-Jul-2022")</f>
        <v>150320;INF174KA1IW9;-;Kotak FMP Series-294-105 days-Direct Plan- Growth;10.1214;08-Jul-2022</v>
      </c>
      <c r="B13247" s="1"/>
    </row>
    <row r="13248">
      <c r="A13248" s="1" t="str">
        <f>IFERROR(__xludf.DUMMYFUNCTION("""COMPUTED_VALUE"""),"150601;INF174KA1JI6;-;Kotak FMP Series 296-Direct Plan-Growth;10.16263521;29-Nov-2022")</f>
        <v>150601;INF174KA1JI6;-;Kotak FMP Series 296-Direct Plan-Growth;10.16263521;29-Nov-2022</v>
      </c>
      <c r="B13248" s="1"/>
    </row>
    <row r="13249">
      <c r="A13249" s="1" t="str">
        <f>IFERROR(__xludf.DUMMYFUNCTION("""COMPUTED_VALUE"""),"150599;INF174KA1JJ4;-;Kotak FMP Series 296-Direct Plan-IDCW Payout;10.16266929;29-Nov-2022")</f>
        <v>150599;INF174KA1JJ4;-;Kotak FMP Series 296-Direct Plan-IDCW Payout;10.16266929;29-Nov-2022</v>
      </c>
      <c r="B13249" s="1"/>
    </row>
    <row r="13250">
      <c r="A13250" s="1" t="str">
        <f>IFERROR(__xludf.DUMMYFUNCTION("""COMPUTED_VALUE"""),"150600;INF174KA1JG0;-;Kotak FMP Series 296-Regular Plan-Growth;10.15854288;29-Nov-2022")</f>
        <v>150600;INF174KA1JG0;-;Kotak FMP Series 296-Regular Plan-Growth;10.15854288;29-Nov-2022</v>
      </c>
      <c r="B13250" s="1"/>
    </row>
    <row r="13251">
      <c r="A13251" s="1" t="str">
        <f>IFERROR(__xludf.DUMMYFUNCTION("""COMPUTED_VALUE"""),"150598;INF174KA1JH8;-;Kotak FMP Series 296-Regular Plan-IDCW Payout;10.15854161;29-Nov-2022")</f>
        <v>150598;INF174KA1JH8;-;Kotak FMP Series 296-Regular Plan-IDCW Payout;10.15854161;29-Nov-2022</v>
      </c>
      <c r="B13251" s="1"/>
    </row>
    <row r="13252">
      <c r="A13252" s="1" t="str">
        <f>IFERROR(__xludf.DUMMYFUNCTION("""COMPUTED_VALUE"""),"150784;INF174KA1KF0;-;Kotak FMP Series 297-Direct Plan- Payout of IDCW;10.30571165;20-Mar-2023")</f>
        <v>150784;INF174KA1KF0;-;Kotak FMP Series 297-Direct Plan- Payout of IDCW;10.30571165;20-Mar-2023</v>
      </c>
      <c r="B13252" s="1"/>
    </row>
    <row r="13253">
      <c r="A13253" s="1" t="str">
        <f>IFERROR(__xludf.DUMMYFUNCTION("""COMPUTED_VALUE"""),"150783;INF174KA1KE3;-;Kotak FMP Series 297-Direct Plan-Growth;10.30571469;20-Mar-2023")</f>
        <v>150783;INF174KA1KE3;-;Kotak FMP Series 297-Direct Plan-Growth;10.30571469;20-Mar-2023</v>
      </c>
      <c r="B13253" s="1"/>
    </row>
    <row r="13254">
      <c r="A13254" s="1" t="str">
        <f>IFERROR(__xludf.DUMMYFUNCTION("""COMPUTED_VALUE"""),"150781;INF174KA1KD5;-;Kotak FMP Series 297-Regular Plan- Payout of IDCW;10.29459473;20-Mar-2023")</f>
        <v>150781;INF174KA1KD5;-;Kotak FMP Series 297-Regular Plan- Payout of IDCW;10.29459473;20-Mar-2023</v>
      </c>
      <c r="B13254" s="1"/>
    </row>
    <row r="13255">
      <c r="A13255" s="1" t="str">
        <f>IFERROR(__xludf.DUMMYFUNCTION("""COMPUTED_VALUE"""),"150782;INF174KA1KC7;-;Kotak FMP Series 297-Regular Plan-Growth;10.29456638;20-Mar-2023")</f>
        <v>150782;INF174KA1KC7;-;Kotak FMP Series 297-Regular Plan-Growth;10.29456638;20-Mar-2023</v>
      </c>
      <c r="B13255" s="1"/>
    </row>
    <row r="13256">
      <c r="A13256" s="1" t="str">
        <f>IFERROR(__xludf.DUMMYFUNCTION("""COMPUTED_VALUE"""),"150947;INF174KA1KS3;-;Kotak FMP Series 299 - Direct Plan - Growth;10.21490534;13-Mar-2023")</f>
        <v>150947;INF174KA1KS3;-;Kotak FMP Series 299 - Direct Plan - Growth;10.21490534;13-Mar-2023</v>
      </c>
      <c r="B13256" s="1"/>
    </row>
    <row r="13257">
      <c r="A13257" s="1" t="str">
        <f>IFERROR(__xludf.DUMMYFUNCTION("""COMPUTED_VALUE"""),"150944;INF174KA1KQ7;-;Kotak FMP Series 299 - Regular Plan - Growth;10.21033009;13-Mar-2023")</f>
        <v>150944;INF174KA1KQ7;-;Kotak FMP Series 299 - Regular Plan - Growth;10.21033009;13-Mar-2023</v>
      </c>
      <c r="B13257" s="1"/>
    </row>
    <row r="13258">
      <c r="A13258" s="1" t="str">
        <f>IFERROR(__xludf.DUMMYFUNCTION("""COMPUTED_VALUE"""),"150945;INF174KA1KR5;-;Kotak FMP Series 299 - Regular Plan - IDCW Payout;10.21026351;13-Mar-2023")</f>
        <v>150945;INF174KA1KR5;-;Kotak FMP Series 299 - Regular Plan - IDCW Payout;10.21026351;13-Mar-2023</v>
      </c>
      <c r="B13258" s="1"/>
    </row>
    <row r="13259">
      <c r="A13259" s="1" t="str">
        <f>IFERROR(__xludf.DUMMYFUNCTION("""COMPUTED_VALUE"""),"151174;INF174KA1KX3;-;Kotak FMP Series 300 - Direct Plan - Growth;10.4558;25-Aug-2023")</f>
        <v>151174;INF174KA1KX3;-;Kotak FMP Series 300 - Direct Plan - Growth;10.4558;25-Aug-2023</v>
      </c>
      <c r="B13259" s="1"/>
    </row>
    <row r="13260">
      <c r="A13260" s="1" t="str">
        <f>IFERROR(__xludf.DUMMYFUNCTION("""COMPUTED_VALUE"""),"151175;INF174KA1KY1;-;Kotak FMP Series 300 - Direct Plan - IDCW Payout;10.4559;25-Aug-2023")</f>
        <v>151175;INF174KA1KY1;-;Kotak FMP Series 300 - Direct Plan - IDCW Payout;10.4559;25-Aug-2023</v>
      </c>
      <c r="B13260" s="1"/>
    </row>
    <row r="13261">
      <c r="A13261" s="1" t="str">
        <f>IFERROR(__xludf.DUMMYFUNCTION("""COMPUTED_VALUE"""),"151172;INF174KA1KV7;-;Kotak FMP Series 300 - Regular Plan - Growth;10.4484;25-Aug-2023")</f>
        <v>151172;INF174KA1KV7;-;Kotak FMP Series 300 - Regular Plan - Growth;10.4484;25-Aug-2023</v>
      </c>
      <c r="B13261" s="1"/>
    </row>
    <row r="13262">
      <c r="A13262" s="1" t="str">
        <f>IFERROR(__xludf.DUMMYFUNCTION("""COMPUTED_VALUE"""),"151173;INF174KA1KW5;-;Kotak FMP Series 300 - Regular Plan - IDCW Payout;10.4484;25-Aug-2023")</f>
        <v>151173;INF174KA1KW5;-;Kotak FMP Series 300 - Regular Plan - IDCW Payout;10.4484;25-Aug-2023</v>
      </c>
      <c r="B13262" s="1"/>
    </row>
    <row r="13263">
      <c r="A13263" s="1" t="str">
        <f>IFERROR(__xludf.DUMMYFUNCTION("""COMPUTED_VALUE"""),"151247;INF174KA1LH4;-;Kotak FMP Series 302 - Direct Plan - Growth;10.17723913;23-Mar-2023")</f>
        <v>151247;INF174KA1LH4;-;Kotak FMP Series 302 - Direct Plan - Growth;10.17723913;23-Mar-2023</v>
      </c>
      <c r="B13263" s="1"/>
    </row>
    <row r="13264">
      <c r="A13264" s="1" t="str">
        <f>IFERROR(__xludf.DUMMYFUNCTION("""COMPUTED_VALUE"""),"151245;INF174KA1LI2;-;Kotak FMP Series 302 - Direct Plan - IDCW;10.17720868;23-Mar-2023")</f>
        <v>151245;INF174KA1LI2;-;Kotak FMP Series 302 - Direct Plan - IDCW;10.17720868;23-Mar-2023</v>
      </c>
      <c r="B13264" s="1"/>
    </row>
    <row r="13265">
      <c r="A13265" s="1" t="str">
        <f>IFERROR(__xludf.DUMMYFUNCTION("""COMPUTED_VALUE"""),"151244;INF174KA1LF8;-;Kotak FMP Series 302 - Regular Plan - Growth;10.17457357;23-Mar-2023")</f>
        <v>151244;INF174KA1LF8;-;Kotak FMP Series 302 - Regular Plan - Growth;10.17457357;23-Mar-2023</v>
      </c>
      <c r="B13265" s="1"/>
    </row>
    <row r="13266">
      <c r="A13266" s="1" t="str">
        <f>IFERROR(__xludf.DUMMYFUNCTION("""COMPUTED_VALUE"""),"151246;INF174KA1LG6;-;Kotak FMP Series 302 - Regular Plan - IDCW;10.17457703;23-Mar-2023")</f>
        <v>151246;INF174KA1LG6;-;Kotak FMP Series 302 - Regular Plan - IDCW;10.17457703;23-Mar-2023</v>
      </c>
      <c r="B13266" s="1"/>
    </row>
    <row r="13267">
      <c r="A13267" s="1" t="str">
        <f>IFERROR(__xludf.DUMMYFUNCTION("""COMPUTED_VALUE"""),"151266;INF174KA1LL6;-;Kotak FMP Series 303 - Direct Plan - Growth;10.38038738;03-Jul-2023")</f>
        <v>151266;INF174KA1LL6;-;Kotak FMP Series 303 - Direct Plan - Growth;10.38038738;03-Jul-2023</v>
      </c>
      <c r="B13267" s="1"/>
    </row>
    <row r="13268">
      <c r="A13268" s="1" t="str">
        <f>IFERROR(__xludf.DUMMYFUNCTION("""COMPUTED_VALUE"""),"151263;INF174KA1LM4;-;Kotak FMP Series 303 - Direct Plan - IDCW;10.38167708;03-Jul-2023")</f>
        <v>151263;INF174KA1LM4;-;Kotak FMP Series 303 - Direct Plan - IDCW;10.38167708;03-Jul-2023</v>
      </c>
      <c r="B13268" s="1"/>
    </row>
    <row r="13269">
      <c r="A13269" s="1" t="str">
        <f>IFERROR(__xludf.DUMMYFUNCTION("""COMPUTED_VALUE"""),"151264;INF174KA1LJ0;-;Kotak FMP Series 303 - Regular Plan - Growth;10.37238008;03-Jul-2023")</f>
        <v>151264;INF174KA1LJ0;-;Kotak FMP Series 303 - Regular Plan - Growth;10.37238008;03-Jul-2023</v>
      </c>
      <c r="B13269" s="1"/>
    </row>
    <row r="13270">
      <c r="A13270" s="1" t="str">
        <f>IFERROR(__xludf.DUMMYFUNCTION("""COMPUTED_VALUE"""),"151265;INF174KA1LK8;-;Kotak FMP Series 303 - Regular Plan - IDCW;10.37239582;03-Jul-2023")</f>
        <v>151265;INF174KA1LK8;-;Kotak FMP Series 303 - Regular Plan - IDCW;10.37239582;03-Jul-2023</v>
      </c>
      <c r="B13270" s="1"/>
    </row>
    <row r="13271">
      <c r="A13271" s="1" t="str">
        <f>IFERROR(__xludf.DUMMYFUNCTION("""COMPUTED_VALUE"""),"151286;INF174KA1LP7;-;Kotak FMP Series 304-Direct Plan-Growth Option;10.5349;25-Aug-2023")</f>
        <v>151286;INF174KA1LP7;-;Kotak FMP Series 304-Direct Plan-Growth Option;10.5349;25-Aug-2023</v>
      </c>
      <c r="B13271" s="1"/>
    </row>
    <row r="13272">
      <c r="A13272" s="1" t="str">
        <f>IFERROR(__xludf.DUMMYFUNCTION("""COMPUTED_VALUE"""),"151287;INF174KA1LQ5;-;Kotak FMP Series 304-Direct Plan-Payout of IDCW;10.5346;25-Aug-2023")</f>
        <v>151287;INF174KA1LQ5;-;Kotak FMP Series 304-Direct Plan-Payout of IDCW;10.5346;25-Aug-2023</v>
      </c>
      <c r="B13272" s="1"/>
    </row>
    <row r="13273">
      <c r="A13273" s="1" t="str">
        <f>IFERROR(__xludf.DUMMYFUNCTION("""COMPUTED_VALUE"""),"151285;INF174KA1LN2;-;Kotak FMP Series 304-Regular Plan-Growth Option;10.5327;25-Aug-2023")</f>
        <v>151285;INF174KA1LN2;-;Kotak FMP Series 304-Regular Plan-Growth Option;10.5327;25-Aug-2023</v>
      </c>
      <c r="B13273" s="1"/>
    </row>
    <row r="13274">
      <c r="A13274" s="1" t="str">
        <f>IFERROR(__xludf.DUMMYFUNCTION("""COMPUTED_VALUE"""),"151288;INF174KA1LO0;-;Kotak FMP Series 304-Regular Plan-Payout of IDCW;10.5325;25-Aug-2023")</f>
        <v>151288;INF174KA1LO0;-;Kotak FMP Series 304-Regular Plan-Payout of IDCW;10.5325;25-Aug-2023</v>
      </c>
      <c r="B13274" s="1"/>
    </row>
    <row r="13275">
      <c r="A13275" s="1" t="str">
        <f>IFERROR(__xludf.DUMMYFUNCTION("""COMPUTED_VALUE"""),"151316;INF174KA1LT9;-;Kotak FMP Series 305 - Direct Plan - Growth;10.4206;25-Aug-2023")</f>
        <v>151316;INF174KA1LT9;-;Kotak FMP Series 305 - Direct Plan - Growth;10.4206;25-Aug-2023</v>
      </c>
      <c r="B13275" s="1"/>
    </row>
    <row r="13276">
      <c r="A13276" s="1" t="str">
        <f>IFERROR(__xludf.DUMMYFUNCTION("""COMPUTED_VALUE"""),"151317;INF174KA1LU7;-;Kotak FMP Series 305 - Direct Plan - IDCW;10.4206;25-Aug-2023")</f>
        <v>151317;INF174KA1LU7;-;Kotak FMP Series 305 - Direct Plan - IDCW;10.4206;25-Aug-2023</v>
      </c>
      <c r="B13276" s="1"/>
    </row>
    <row r="13277">
      <c r="A13277" s="1" t="str">
        <f>IFERROR(__xludf.DUMMYFUNCTION("""COMPUTED_VALUE"""),"151315;INF174KA1LR3;-;Kotak FMP Series 305 - Regular Plan - Growth;10.4113;25-Aug-2023")</f>
        <v>151315;INF174KA1LR3;-;Kotak FMP Series 305 - Regular Plan - Growth;10.4113;25-Aug-2023</v>
      </c>
      <c r="B13277" s="1"/>
    </row>
    <row r="13278">
      <c r="A13278" s="1" t="str">
        <f>IFERROR(__xludf.DUMMYFUNCTION("""COMPUTED_VALUE"""),"151318;INF174KA1LS1;-;Kotak FMP Series 305 - Regular Plan - IDCW;10.4113;25-Aug-2023")</f>
        <v>151318;INF174KA1LS1;-;Kotak FMP Series 305 - Regular Plan - IDCW;10.4113;25-Aug-2023</v>
      </c>
      <c r="B13278" s="1"/>
    </row>
    <row r="13279">
      <c r="A13279" s="1" t="str">
        <f>IFERROR(__xludf.DUMMYFUNCTION("""COMPUTED_VALUE"""),"151360;INF174KA1LY9;-;Kotak FMP Series 306 - Direct Plan - Growth;10.18230576;25-Apr-2023")</f>
        <v>151360;INF174KA1LY9;-;Kotak FMP Series 306 - Direct Plan - Growth;10.18230576;25-Apr-2023</v>
      </c>
      <c r="B13279" s="1"/>
    </row>
    <row r="13280">
      <c r="A13280" s="1" t="str">
        <f>IFERROR(__xludf.DUMMYFUNCTION("""COMPUTED_VALUE"""),"151361;INF174KA1LZ6;-;Kotak FMP Series 306 - Direct Plan - IDCW Payout;10.18296927;25-Apr-2023")</f>
        <v>151361;INF174KA1LZ6;-;Kotak FMP Series 306 - Direct Plan - IDCW Payout;10.18296927;25-Apr-2023</v>
      </c>
      <c r="B13280" s="1"/>
    </row>
    <row r="13281">
      <c r="A13281" s="1" t="str">
        <f>IFERROR(__xludf.DUMMYFUNCTION("""COMPUTED_VALUE"""),"151359;INF174KA1LW3;-;Kotak FMP Series 306 - Regular Plan - Growth;10.17967887;25-Apr-2023")</f>
        <v>151359;INF174KA1LW3;-;Kotak FMP Series 306 - Regular Plan - Growth;10.17967887;25-Apr-2023</v>
      </c>
      <c r="B13281" s="1"/>
    </row>
    <row r="13282">
      <c r="A13282" s="1" t="str">
        <f>IFERROR(__xludf.DUMMYFUNCTION("""COMPUTED_VALUE"""),"151362;INF174KA1LX1;-;Kotak FMP Series 306 - Regular Plan - IDCW Payout;10.17961978;25-Apr-2023")</f>
        <v>151362;INF174KA1LX1;-;Kotak FMP Series 306 - Regular Plan - IDCW Payout;10.17961978;25-Apr-2023</v>
      </c>
      <c r="B13282" s="1"/>
    </row>
    <row r="13283">
      <c r="A13283" s="1" t="str">
        <f>IFERROR(__xludf.DUMMYFUNCTION("""COMPUTED_VALUE"""),"151510;INF174KA1MO8;-;Kotak FMP Series 307 - Direct Plan - Growth;10.19244183;31-May-2023")</f>
        <v>151510;INF174KA1MO8;-;Kotak FMP Series 307 - Direct Plan - Growth;10.19244183;31-May-2023</v>
      </c>
      <c r="B13283" s="1"/>
    </row>
    <row r="13284">
      <c r="A13284" s="1" t="str">
        <f>IFERROR(__xludf.DUMMYFUNCTION("""COMPUTED_VALUE"""),"151508;INF174KA1MP5;-;Kotak FMP Series 307 - Direct Plan - IDCW Payout;10.19244228;31-May-2023")</f>
        <v>151508;INF174KA1MP5;-;Kotak FMP Series 307 - Direct Plan - IDCW Payout;10.19244228;31-May-2023</v>
      </c>
      <c r="B13284" s="1"/>
    </row>
    <row r="13285">
      <c r="A13285" s="1" t="str">
        <f>IFERROR(__xludf.DUMMYFUNCTION("""COMPUTED_VALUE"""),"151507;INF174KA1MM2;-;Kotak FMP Series 307 - Regular Plan - Growth;10.18863731;31-May-2023")</f>
        <v>151507;INF174KA1MM2;-;Kotak FMP Series 307 - Regular Plan - Growth;10.18863731;31-May-2023</v>
      </c>
      <c r="B13285" s="1"/>
    </row>
    <row r="13286">
      <c r="A13286" s="1" t="str">
        <f>IFERROR(__xludf.DUMMYFUNCTION("""COMPUTED_VALUE"""),"151509;INF174KA1MN0;-;Kotak FMP Series 307 - Regular Plan - IDCW Payout;10.18863674;31-May-2023")</f>
        <v>151509;INF174KA1MN0;-;Kotak FMP Series 307 - Regular Plan - IDCW Payout;10.18863674;31-May-2023</v>
      </c>
      <c r="B13286" s="1"/>
    </row>
    <row r="13287">
      <c r="A13287" s="1" t="str">
        <f>IFERROR(__xludf.DUMMYFUNCTION("""COMPUTED_VALUE"""),"151681;INF174KA1NG2;-;Kotak FMP Series 308 - Direct Plan - Growth;10.3176;25-Aug-2023")</f>
        <v>151681;INF174KA1NG2;-;Kotak FMP Series 308 - Direct Plan - Growth;10.3176;25-Aug-2023</v>
      </c>
      <c r="B13287" s="1"/>
    </row>
    <row r="13288">
      <c r="A13288" s="1" t="str">
        <f>IFERROR(__xludf.DUMMYFUNCTION("""COMPUTED_VALUE"""),"151682;INF174KA1NH0;-;Kotak FMP Series 308 - Direct Plan - IDCW Payout;10.3174;25-Aug-2023")</f>
        <v>151682;INF174KA1NH0;-;Kotak FMP Series 308 - Direct Plan - IDCW Payout;10.3174;25-Aug-2023</v>
      </c>
      <c r="B13288" s="1"/>
    </row>
    <row r="13289">
      <c r="A13289" s="1" t="str">
        <f>IFERROR(__xludf.DUMMYFUNCTION("""COMPUTED_VALUE"""),"151679;INF174KA1NE7;-;Kotak FMP Series 308 - Regular Plan - Growth;10.3046;25-Aug-2023")</f>
        <v>151679;INF174KA1NE7;-;Kotak FMP Series 308 - Regular Plan - Growth;10.3046;25-Aug-2023</v>
      </c>
      <c r="B13289" s="1"/>
    </row>
    <row r="13290">
      <c r="A13290" s="1" t="str">
        <f>IFERROR(__xludf.DUMMYFUNCTION("""COMPUTED_VALUE"""),"151680;INF174KA1NF4;-;Kotak FMP Series 308 - Regular Plan - IDCW Payout;10.3046;25-Aug-2023")</f>
        <v>151680;INF174KA1NF4;-;Kotak FMP Series 308 - Regular Plan - IDCW Payout;10.3046;25-Aug-2023</v>
      </c>
      <c r="B13290" s="1"/>
    </row>
    <row r="13291">
      <c r="A13291" s="1" t="str">
        <f>IFERROR(__xludf.DUMMYFUNCTION("""COMPUTED_VALUE"""),"151677;INF174KA1NK4;-;Kotak FMP Series 309 - Direct Plan - Growth;10.17985924;22-Jun-2023")</f>
        <v>151677;INF174KA1NK4;-;Kotak FMP Series 309 - Direct Plan - Growth;10.17985924;22-Jun-2023</v>
      </c>
      <c r="B13291" s="1"/>
    </row>
    <row r="13292">
      <c r="A13292" s="1" t="str">
        <f>IFERROR(__xludf.DUMMYFUNCTION("""COMPUTED_VALUE"""),"151675;INF174KA1NI8;-;Kotak FMP Series 309 - Regular Plan - Growth;10.17723046;22-Jun-2023")</f>
        <v>151675;INF174KA1NI8;-;Kotak FMP Series 309 - Regular Plan - Growth;10.17723046;22-Jun-2023</v>
      </c>
      <c r="B13292" s="1"/>
    </row>
    <row r="13293">
      <c r="A13293" s="1" t="str">
        <f>IFERROR(__xludf.DUMMYFUNCTION("""COMPUTED_VALUE"""),"151676;INF174KA1NJ6;-;Kotak FMP Series 309 - Regular Plan - IDCW Payout;10.17724511;22-Jun-2023")</f>
        <v>151676;INF174KA1NJ6;-;Kotak FMP Series 309 - Regular Plan - IDCW Payout;10.17724511;22-Jun-2023</v>
      </c>
      <c r="B13293" s="1"/>
    </row>
    <row r="13294">
      <c r="A13294" s="1" t="str">
        <f>IFERROR(__xludf.DUMMYFUNCTION("""COMPUTED_VALUE"""),"151686;INF174KA1NO6;-;Kotak FMP Series 310 - Direct Plan - Growth Option;10.2706;25-Aug-2023")</f>
        <v>151686;INF174KA1NO6;-;Kotak FMP Series 310 - Direct Plan - Growth Option;10.2706;25-Aug-2023</v>
      </c>
      <c r="B13294" s="1"/>
    </row>
    <row r="13295">
      <c r="A13295" s="1" t="str">
        <f>IFERROR(__xludf.DUMMYFUNCTION("""COMPUTED_VALUE"""),"151683;INF174KA1NM0;-;Kotak FMP Series 310 - Regular Plan - Growth Option;10.2598;25-Aug-2023")</f>
        <v>151683;INF174KA1NM0;-;Kotak FMP Series 310 - Regular Plan - Growth Option;10.2598;25-Aug-2023</v>
      </c>
      <c r="B13295" s="1"/>
    </row>
    <row r="13296">
      <c r="A13296" s="1" t="str">
        <f>IFERROR(__xludf.DUMMYFUNCTION("""COMPUTED_VALUE"""),"151685;INF174KA1NN8;-;Kotak FMP Series 310 - Regular Plan - IDCW Payout option;10.2593;25-Aug-2023")</f>
        <v>151685;INF174KA1NN8;-;Kotak FMP Series 310 - Regular Plan - IDCW Payout option;10.2593;25-Aug-2023</v>
      </c>
      <c r="B13296" s="1"/>
    </row>
    <row r="13297">
      <c r="A13297" s="1" t="str">
        <f>IFERROR(__xludf.DUMMYFUNCTION("""COMPUTED_VALUE"""),"151743;INF174KA1NS7;-;Kotak FMP Series 311 - Direct Plan - Growth Option;10.2291;25-Aug-2023")</f>
        <v>151743;INF174KA1NS7;-;Kotak FMP Series 311 - Direct Plan - Growth Option;10.2291;25-Aug-2023</v>
      </c>
      <c r="B13297" s="1"/>
    </row>
    <row r="13298">
      <c r="A13298" s="1" t="str">
        <f>IFERROR(__xludf.DUMMYFUNCTION("""COMPUTED_VALUE"""),"151744;INF174KA1NT5;-;Kotak FMP Series 311 - Direct Plan - IDCW Option;10.2291;25-Aug-2023")</f>
        <v>151744;INF174KA1NT5;-;Kotak FMP Series 311 - Direct Plan - IDCW Option;10.2291;25-Aug-2023</v>
      </c>
      <c r="B13298" s="1"/>
    </row>
    <row r="13299">
      <c r="A13299" s="1" t="str">
        <f>IFERROR(__xludf.DUMMYFUNCTION("""COMPUTED_VALUE"""),"151741;INF174KA1NQ1;-;Kotak FMP Series 311 - Regular Plan - Growth Option;10.2258;25-Aug-2023")</f>
        <v>151741;INF174KA1NQ1;-;Kotak FMP Series 311 - Regular Plan - Growth Option;10.2258;25-Aug-2023</v>
      </c>
      <c r="B13299" s="1"/>
    </row>
    <row r="13300">
      <c r="A13300" s="1" t="str">
        <f>IFERROR(__xludf.DUMMYFUNCTION("""COMPUTED_VALUE"""),"151742;INF174KA1NR9;-;Kotak FMP Series 311 - Regular Plan - IDCW Option;10.2258;25-Aug-2023")</f>
        <v>151742;INF174KA1NR9;-;Kotak FMP Series 311 - Regular Plan - IDCW Option;10.2258;25-Aug-2023</v>
      </c>
      <c r="B13300" s="1"/>
    </row>
    <row r="13301">
      <c r="A13301" s="1" t="str">
        <f>IFERROR(__xludf.DUMMYFUNCTION("""COMPUTED_VALUE"""),"126496;INF174K01TK2;-;Kotak Hybrid Fixed Term Plan Series 2 - Direct Plan - Diviedend;12.9476344;30-Jan-2017")</f>
        <v>126496;INF174K01TK2;-;Kotak Hybrid Fixed Term Plan Series 2 - Direct Plan - Diviedend;12.9476344;30-Jan-2017</v>
      </c>
      <c r="B13301" s="1"/>
    </row>
    <row r="13302">
      <c r="A13302" s="1" t="str">
        <f>IFERROR(__xludf.DUMMYFUNCTION("""COMPUTED_VALUE"""),"126497;INF174K01TJ4;-;Kotak Hybrid Fixed Term Plan Series 2 - Direct Plan - Growth;12.94787654;30-Jan-2017")</f>
        <v>126497;INF174K01TJ4;-;Kotak Hybrid Fixed Term Plan Series 2 - Direct Plan - Growth;12.94787654;30-Jan-2017</v>
      </c>
      <c r="B13302" s="1"/>
    </row>
    <row r="13303">
      <c r="A13303" s="1" t="str">
        <f>IFERROR(__xludf.DUMMYFUNCTION("""COMPUTED_VALUE"""),"126498;INF174K01TI6;-;Kotak Hybrid Fixed Term Plan Series 2 - Regular Plan - Dividend;12.56256952;30-Jan-2017")</f>
        <v>126498;INF174K01TI6;-;Kotak Hybrid Fixed Term Plan Series 2 - Regular Plan - Dividend;12.56256952;30-Jan-2017</v>
      </c>
      <c r="B13303" s="1"/>
    </row>
    <row r="13304">
      <c r="A13304" s="1" t="str">
        <f>IFERROR(__xludf.DUMMYFUNCTION("""COMPUTED_VALUE"""),"126495;INF174K01TH8;-;Kotak Hybrid Fixed Term Plan Series 2 - Regular Plan - Growth;12.56256853;30-Jan-2017")</f>
        <v>126495;INF174K01TH8;-;Kotak Hybrid Fixed Term Plan Series 2 - Regular Plan - Growth;12.56256853;30-Jan-2017</v>
      </c>
      <c r="B13304" s="1"/>
    </row>
    <row r="13305">
      <c r="A13305" s="1"/>
      <c r="B13305" s="1"/>
    </row>
    <row r="13306">
      <c r="A13306" s="1" t="str">
        <f>IFERROR(__xludf.DUMMYFUNCTION("""COMPUTED_VALUE"""),"Nippon India Mutual Fund")</f>
        <v>Nippon India Mutual Fund</v>
      </c>
      <c r="B13306" s="1"/>
    </row>
    <row r="13307">
      <c r="A13307" s="1"/>
      <c r="B13307" s="1"/>
    </row>
    <row r="13308">
      <c r="A13308" s="1" t="str">
        <f>IFERROR(__xludf.DUMMYFUNCTION("""COMPUTED_VALUE"""),"148180;INF204KB10O8;-;Nippon India Capital Protection Oriented Fund  II - Plan A - Regular Plan - Growth Option;18.9818;07-Aug-2023")</f>
        <v>148180;INF204KB10O8;-;Nippon India Capital Protection Oriented Fund  II - Plan A - Regular Plan - Growth Option;18.9818;07-Aug-2023</v>
      </c>
      <c r="B13308" s="1"/>
    </row>
    <row r="13309">
      <c r="A13309" s="1" t="str">
        <f>IFERROR(__xludf.DUMMYFUNCTION("""COMPUTED_VALUE"""),"148178;INF204KB12O4;-;Nippon India Capital Protection Oriented Fund II - Plan A - Direct Plan - Growth Option;19.4390;07-Aug-2023")</f>
        <v>148178;INF204KB12O4;-;Nippon India Capital Protection Oriented Fund II - Plan A - Direct Plan - Growth Option;19.4390;07-Aug-2023</v>
      </c>
      <c r="B13309" s="1"/>
    </row>
    <row r="13310">
      <c r="A13310" s="1" t="str">
        <f>IFERROR(__xludf.DUMMYFUNCTION("""COMPUTED_VALUE"""),"148181;INF204KB11O6;-;NIPPON INDIA CAPITAL PROTECTION ORIENTED FUND II - PLAN A - IDCW Option;18.9818;07-Aug-2023")</f>
        <v>148181;INF204KB11O6;-;NIPPON INDIA CAPITAL PROTECTION ORIENTED FUND II - PLAN A - IDCW Option;18.9818;07-Aug-2023</v>
      </c>
      <c r="B13310" s="1"/>
    </row>
    <row r="13311">
      <c r="A13311" s="1" t="str">
        <f>IFERROR(__xludf.DUMMYFUNCTION("""COMPUTED_VALUE"""),"139338;INF204KB1403;-;Nippon India Dual Advantage Fixed Tenure Fund IX- Plan D- Direct Plan-Dividend Payout Option;10.0000;23-Dec-2019")</f>
        <v>139338;INF204KB1403;-;Nippon India Dual Advantage Fixed Tenure Fund IX- Plan D- Direct Plan-Dividend Payout Option;10.0000;23-Dec-2019</v>
      </c>
      <c r="B13311" s="1"/>
    </row>
    <row r="13312">
      <c r="A13312" s="1" t="str">
        <f>IFERROR(__xludf.DUMMYFUNCTION("""COMPUTED_VALUE"""),"139337;INF204KB1411;-;Nippon India Dual Advantage Fixed Tenure Fund IX- Plan D- Direct Plan-Growth Option;13.4753;23-Dec-2019")</f>
        <v>139337;INF204KB1411;-;Nippon India Dual Advantage Fixed Tenure Fund IX- Plan D- Direct Plan-Growth Option;13.4753;23-Dec-2019</v>
      </c>
      <c r="B13312" s="1"/>
    </row>
    <row r="13313">
      <c r="A13313" s="1" t="str">
        <f>IFERROR(__xludf.DUMMYFUNCTION("""COMPUTED_VALUE"""),"139336;INF204KB1429;-;Nippon India Dual Advantage Fixed Tenure Fund IX- Plan D- Dividend Payout Option;10.0000;23-Dec-2019")</f>
        <v>139336;INF204KB1429;-;Nippon India Dual Advantage Fixed Tenure Fund IX- Plan D- Dividend Payout Option;10.0000;23-Dec-2019</v>
      </c>
      <c r="B13313" s="1"/>
    </row>
    <row r="13314">
      <c r="A13314" s="1" t="str">
        <f>IFERROR(__xludf.DUMMYFUNCTION("""COMPUTED_VALUE"""),"139335;INF204KB1437;-;Nippon India Dual Advantage Fixed Tenure Fund IX- Plan D- Growth Option;12.9173;23-Dec-2019")</f>
        <v>139335;INF204KB1437;-;Nippon India Dual Advantage Fixed Tenure Fund IX- Plan D- Growth Option;12.9173;23-Dec-2019</v>
      </c>
      <c r="B13314" s="1"/>
    </row>
    <row r="13315">
      <c r="A13315" s="1" t="str">
        <f>IFERROR(__xludf.DUMMYFUNCTION("""COMPUTED_VALUE"""),"139571;INF204KB1AJ6;-;Nippon India Dual Advantage Fixed Tenure Fund IX- Plan E- Direct Plan-Dividend Payout Option;10.0000;30-Sep-2019")</f>
        <v>139571;INF204KB1AJ6;-;Nippon India Dual Advantage Fixed Tenure Fund IX- Plan E- Direct Plan-Dividend Payout Option;10.0000;30-Sep-2019</v>
      </c>
      <c r="B13315" s="1"/>
    </row>
    <row r="13316">
      <c r="A13316" s="1" t="str">
        <f>IFERROR(__xludf.DUMMYFUNCTION("""COMPUTED_VALUE"""),"139570;INF204KB1AK4;-;Nippon India Dual Advantage Fixed Tenure Fund IX- Plan E- Direct Plan-Growth Option;13.0307;30-Sep-2019")</f>
        <v>139570;INF204KB1AK4;-;Nippon India Dual Advantage Fixed Tenure Fund IX- Plan E- Direct Plan-Growth Option;13.0307;30-Sep-2019</v>
      </c>
      <c r="B13316" s="1"/>
    </row>
    <row r="13317">
      <c r="A13317" s="1" t="str">
        <f>IFERROR(__xludf.DUMMYFUNCTION("""COMPUTED_VALUE"""),"139572;INF204KB1AL2;-;Nippon India Dual Advantage Fixed Tenure Fund IX- Plan E- Dividend Payout Option;10.0000;30-Sep-2019")</f>
        <v>139572;INF204KB1AL2;-;Nippon India Dual Advantage Fixed Tenure Fund IX- Plan E- Dividend Payout Option;10.0000;30-Sep-2019</v>
      </c>
      <c r="B13317" s="1"/>
    </row>
    <row r="13318">
      <c r="A13318" s="1" t="str">
        <f>IFERROR(__xludf.DUMMYFUNCTION("""COMPUTED_VALUE"""),"139569;INF204KB1AM0;-;Nippon India Dual Advantage Fixed Tenure Fund IX- Plan E- Growth Option;12.6215;30-Sep-2019")</f>
        <v>139569;INF204KB1AM0;-;Nippon India Dual Advantage Fixed Tenure Fund IX- Plan E- Growth Option;12.6215;30-Sep-2019</v>
      </c>
      <c r="B13318" s="1"/>
    </row>
    <row r="13319">
      <c r="A13319" s="1" t="str">
        <f>IFERROR(__xludf.DUMMYFUNCTION("""COMPUTED_VALUE"""),"139601;INF204KB1AR9;-;Nippon India Dual Advantage Fixed Tenure Fund IX- Plan F-Direct Plan-Dividend Payout Option;10.0000;30-Sep-2019")</f>
        <v>139601;INF204KB1AR9;-;Nippon India Dual Advantage Fixed Tenure Fund IX- Plan F-Direct Plan-Dividend Payout Option;10.0000;30-Sep-2019</v>
      </c>
      <c r="B13319" s="1"/>
    </row>
    <row r="13320">
      <c r="A13320" s="1" t="str">
        <f>IFERROR(__xludf.DUMMYFUNCTION("""COMPUTED_VALUE"""),"139599;INF204KB1AS7;-;Nippon India Dual Advantage Fixed Tenure Fund IX- Plan F-Direct Plan-Growth Option;12.4918;30-Sep-2019")</f>
        <v>139599;INF204KB1AS7;-;Nippon India Dual Advantage Fixed Tenure Fund IX- Plan F-Direct Plan-Growth Option;12.4918;30-Sep-2019</v>
      </c>
      <c r="B13320" s="1"/>
    </row>
    <row r="13321">
      <c r="A13321" s="1" t="str">
        <f>IFERROR(__xludf.DUMMYFUNCTION("""COMPUTED_VALUE"""),"139600;INF204KB1AT5;-;Nippon India Dual Advantage Fixed Tenure Fund IX- Plan F-Dividend Payout Option;10.0000;30-Sep-2019")</f>
        <v>139600;INF204KB1AT5;-;Nippon India Dual Advantage Fixed Tenure Fund IX- Plan F-Dividend Payout Option;10.0000;30-Sep-2019</v>
      </c>
      <c r="B13321" s="1"/>
    </row>
    <row r="13322">
      <c r="A13322" s="1" t="str">
        <f>IFERROR(__xludf.DUMMYFUNCTION("""COMPUTED_VALUE"""),"139598;INF204KB1AU3;-;Nippon India Dual Advantage Fixed Tenure Fund IX- Plan F-Growth Option;12.1429;30-Sep-2019")</f>
        <v>139598;INF204KB1AU3;-;Nippon India Dual Advantage Fixed Tenure Fund IX- Plan F-Growth Option;12.1429;30-Sep-2019</v>
      </c>
      <c r="B13322" s="1"/>
    </row>
    <row r="13323">
      <c r="A13323" s="1" t="str">
        <f>IFERROR(__xludf.DUMMYFUNCTION("""COMPUTED_VALUE"""),"140054;INF204KB1FA4;-;Nippon India Dual Advantage Fixed Tenure Fund X- Plan A- Direct Plan- Growth Option;12.4327;13-Aug-2020")</f>
        <v>140054;INF204KB1FA4;-;Nippon India Dual Advantage Fixed Tenure Fund X- Plan A- Direct Plan- Growth Option;12.4327;13-Aug-2020</v>
      </c>
      <c r="B13323" s="1"/>
    </row>
    <row r="13324">
      <c r="A13324" s="1" t="str">
        <f>IFERROR(__xludf.DUMMYFUNCTION("""COMPUTED_VALUE"""),"140055;INF204KB1EZ4;-;Nippon India Dual Advantage Fixed Tenure Fund X- Plan A- Direct Plan-Dividend Payout Option;10.0000;13-Aug-2020")</f>
        <v>140055;INF204KB1EZ4;-;Nippon India Dual Advantage Fixed Tenure Fund X- Plan A- Direct Plan-Dividend Payout Option;10.0000;13-Aug-2020</v>
      </c>
      <c r="B13324" s="1"/>
    </row>
    <row r="13325">
      <c r="A13325" s="1" t="str">
        <f>IFERROR(__xludf.DUMMYFUNCTION("""COMPUTED_VALUE"""),"140053;INF204KB1FB2;-;Nippon India Dual Advantage Fixed Tenure Fund X- Plan A- Dividend Payout Option;10.0000;13-Aug-2020")</f>
        <v>140053;INF204KB1FB2;-;Nippon India Dual Advantage Fixed Tenure Fund X- Plan A- Dividend Payout Option;10.0000;13-Aug-2020</v>
      </c>
      <c r="B13325" s="1"/>
    </row>
    <row r="13326">
      <c r="A13326" s="1" t="str">
        <f>IFERROR(__xludf.DUMMYFUNCTION("""COMPUTED_VALUE"""),"140056;INF204KB1FC0;-;Nippon India Dual Advantage Fixed Tenure Fund X- Plan A- Growth Option;12.0793;13-Aug-2020")</f>
        <v>140056;INF204KB1FC0;-;Nippon India Dual Advantage Fixed Tenure Fund X- Plan A- Growth Option;12.0793;13-Aug-2020</v>
      </c>
      <c r="B13326" s="1"/>
    </row>
    <row r="13327">
      <c r="A13327" s="1" t="str">
        <f>IFERROR(__xludf.DUMMYFUNCTION("""COMPUTED_VALUE"""),"140150;INF204KB1FE6;-;Nippon India Dual Advantage Fixed Tenure Fund X- Plan B- Direct Plan- Dividend Payout Option;10.0000;17-Aug-2020")</f>
        <v>140150;INF204KB1FE6;-;Nippon India Dual Advantage Fixed Tenure Fund X- Plan B- Direct Plan- Dividend Payout Option;10.0000;17-Aug-2020</v>
      </c>
      <c r="B13327" s="1"/>
    </row>
    <row r="13328">
      <c r="A13328" s="1" t="str">
        <f>IFERROR(__xludf.DUMMYFUNCTION("""COMPUTED_VALUE"""),"140151;INF204KB1FF3;-;Nippon India Dual Advantage Fixed Tenure Fund X- Plan B- Direct Plan-Growth Option;12.5325;17-Aug-2020")</f>
        <v>140151;INF204KB1FF3;-;Nippon India Dual Advantage Fixed Tenure Fund X- Plan B- Direct Plan-Growth Option;12.5325;17-Aug-2020</v>
      </c>
      <c r="B13328" s="1"/>
    </row>
    <row r="13329">
      <c r="A13329" s="1" t="str">
        <f>IFERROR(__xludf.DUMMYFUNCTION("""COMPUTED_VALUE"""),"140149;INF204KB1FG1;-;Nippon India Dual Advantage Fixed Tenure Fund X- Plan B- Dividend Payout Option;10.0000;17-Aug-2020")</f>
        <v>140149;INF204KB1FG1;-;Nippon India Dual Advantage Fixed Tenure Fund X- Plan B- Dividend Payout Option;10.0000;17-Aug-2020</v>
      </c>
      <c r="B13329" s="1"/>
    </row>
    <row r="13330">
      <c r="A13330" s="1" t="str">
        <f>IFERROR(__xludf.DUMMYFUNCTION("""COMPUTED_VALUE"""),"140148;INF204KB1FH9;-;Nippon India Dual Advantage Fixed Tenure Fund X- Plan B- Growth Option;12.1527;17-Aug-2020")</f>
        <v>140148;INF204KB1FH9;-;Nippon India Dual Advantage Fixed Tenure Fund X- Plan B- Growth Option;12.1527;17-Aug-2020</v>
      </c>
      <c r="B13330" s="1"/>
    </row>
    <row r="13331">
      <c r="A13331" s="1" t="str">
        <f>IFERROR(__xludf.DUMMYFUNCTION("""COMPUTED_VALUE"""),"140410;INF204KB1GC8;-;Nippon India Dual Advantage Fixed Tenure Fund - X - Plan C - Direct Plan - Dividend Payout Option;10.0000;17-Aug-2020")</f>
        <v>140410;INF204KB1GC8;-;Nippon India Dual Advantage Fixed Tenure Fund - X - Plan C - Direct Plan - Dividend Payout Option;10.0000;17-Aug-2020</v>
      </c>
      <c r="B13331" s="1"/>
    </row>
    <row r="13332">
      <c r="A13332" s="1" t="str">
        <f>IFERROR(__xludf.DUMMYFUNCTION("""COMPUTED_VALUE"""),"140408;INF204KB1GD6;-;Nippon India Dual Advantage Fixed Tenure Fund - X - Plan C - Direct Plan - Growth Option;12.4508;17-Aug-2020")</f>
        <v>140408;INF204KB1GD6;-;Nippon India Dual Advantage Fixed Tenure Fund - X - Plan C - Direct Plan - Growth Option;12.4508;17-Aug-2020</v>
      </c>
      <c r="B13332" s="1"/>
    </row>
    <row r="13333">
      <c r="A13333" s="1" t="str">
        <f>IFERROR(__xludf.DUMMYFUNCTION("""COMPUTED_VALUE"""),"140409;INF204KB1GE4;-;Nippon India Dual Advantage Fixed Tenure Fund - X - Plan C - Dividend Payout Option;10.0000;17-Aug-2020")</f>
        <v>140409;INF204KB1GE4;-;Nippon India Dual Advantage Fixed Tenure Fund - X - Plan C - Dividend Payout Option;10.0000;17-Aug-2020</v>
      </c>
      <c r="B13333" s="1"/>
    </row>
    <row r="13334">
      <c r="A13334" s="1" t="str">
        <f>IFERROR(__xludf.DUMMYFUNCTION("""COMPUTED_VALUE"""),"140407;INF204KB1GF1;-;Nippon India Dual Advantage Fixed Tenure Fund - X - Plan C - Growth Option;12.1359;17-Aug-2020")</f>
        <v>140407;INF204KB1GF1;-;Nippon India Dual Advantage Fixed Tenure Fund - X - Plan C - Growth Option;12.1359;17-Aug-2020</v>
      </c>
      <c r="B13334" s="1"/>
    </row>
    <row r="13335">
      <c r="A13335" s="1" t="str">
        <f>IFERROR(__xludf.DUMMYFUNCTION("""COMPUTED_VALUE"""),"140432;INF204KB1GK1;-;Nippon India Dual Advantage Fixed Tenure Fund X- Plan D- Direct Plan-Dividend Payout Option;10.0000;17-Aug-2020")</f>
        <v>140432;INF204KB1GK1;-;Nippon India Dual Advantage Fixed Tenure Fund X- Plan D- Direct Plan-Dividend Payout Option;10.0000;17-Aug-2020</v>
      </c>
      <c r="B13335" s="1"/>
    </row>
    <row r="13336">
      <c r="A13336" s="1" t="str">
        <f>IFERROR(__xludf.DUMMYFUNCTION("""COMPUTED_VALUE"""),"140431;INF204KB1GL9;-;Nippon India Dual Advantage Fixed Tenure Fund X- Plan D- Direct Plan-Growth Option;12.3935;17-Aug-2020")</f>
        <v>140431;INF204KB1GL9;-;Nippon India Dual Advantage Fixed Tenure Fund X- Plan D- Direct Plan-Growth Option;12.3935;17-Aug-2020</v>
      </c>
      <c r="B13336" s="1"/>
    </row>
    <row r="13337">
      <c r="A13337" s="1" t="str">
        <f>IFERROR(__xludf.DUMMYFUNCTION("""COMPUTED_VALUE"""),"140430;INF204KB1GM7;-;Nippon India Dual Advantage Fixed Tenure Fund X- Plan D- Dividend Payout Option;10.0000;17-Aug-2020")</f>
        <v>140430;INF204KB1GM7;-;Nippon India Dual Advantage Fixed Tenure Fund X- Plan D- Dividend Payout Option;10.0000;17-Aug-2020</v>
      </c>
      <c r="B13337" s="1"/>
    </row>
    <row r="13338">
      <c r="A13338" s="1" t="str">
        <f>IFERROR(__xludf.DUMMYFUNCTION("""COMPUTED_VALUE"""),"140429;INF204KB1GN5;-;Nippon India Dual Advantage Fixed Tenure Fund X- Plan D- Growth Option;12.0577;17-Aug-2020")</f>
        <v>140429;INF204KB1GN5;-;Nippon India Dual Advantage Fixed Tenure Fund X- Plan D- Growth Option;12.0577;17-Aug-2020</v>
      </c>
      <c r="B13338" s="1"/>
    </row>
    <row r="13339">
      <c r="A13339" s="1" t="str">
        <f>IFERROR(__xludf.DUMMYFUNCTION("""COMPUTED_VALUE"""),"140438;INF204KB1GP0;-;Nippon India Dual Advantage Fixed Tenure Fund X- Plan E- Direct Plan - Growth Option;12.4535;28-Jan-2020")</f>
        <v>140438;INF204KB1GP0;-;Nippon India Dual Advantage Fixed Tenure Fund X- Plan E- Direct Plan - Growth Option;12.4535;28-Jan-2020</v>
      </c>
      <c r="B13339" s="1"/>
    </row>
    <row r="13340">
      <c r="A13340" s="1" t="str">
        <f>IFERROR(__xludf.DUMMYFUNCTION("""COMPUTED_VALUE"""),"140439;INF204KB1GO3;-;Nippon India Dual Advantage Fixed Tenure Fund X- Plan E- Direct Plan- Dividend Payout Option;10.0000;28-Jan-2020")</f>
        <v>140439;INF204KB1GO3;-;Nippon India Dual Advantage Fixed Tenure Fund X- Plan E- Direct Plan- Dividend Payout Option;10.0000;28-Jan-2020</v>
      </c>
      <c r="B13340" s="1"/>
    </row>
    <row r="13341">
      <c r="A13341" s="1" t="str">
        <f>IFERROR(__xludf.DUMMYFUNCTION("""COMPUTED_VALUE"""),"140441;INF204KB1GQ8;-;Nippon India Dual Advantage Fixed Tenure Fund X- Plan E- Dividend Payout Option;10.0000;28-Jan-2020")</f>
        <v>140441;INF204KB1GQ8;-;Nippon India Dual Advantage Fixed Tenure Fund X- Plan E- Dividend Payout Option;10.0000;28-Jan-2020</v>
      </c>
      <c r="B13341" s="1"/>
    </row>
    <row r="13342">
      <c r="A13342" s="1" t="str">
        <f>IFERROR(__xludf.DUMMYFUNCTION("""COMPUTED_VALUE"""),"140440;INF204KB1GR6;-;Nippon India Dual Advantage Fixed Tenure Fund X- Plan E- Growth Option;12.1021;28-Jan-2020")</f>
        <v>140440;INF204KB1GR6;-;Nippon India Dual Advantage Fixed Tenure Fund X- Plan E- Growth Option;12.1021;28-Jan-2020</v>
      </c>
      <c r="B13342" s="1"/>
    </row>
    <row r="13343">
      <c r="A13343" s="1" t="str">
        <f>IFERROR(__xludf.DUMMYFUNCTION("""COMPUTED_VALUE"""),"140515;INF204KB1GW6;-;Nippon India Dual Advantage Fixed Tenure Fund X- Plan F- Direct Plan-Dividend Payout Option;10.0000;23-Oct-2020")</f>
        <v>140515;INF204KB1GW6;-;Nippon India Dual Advantage Fixed Tenure Fund X- Plan F- Direct Plan-Dividend Payout Option;10.0000;23-Oct-2020</v>
      </c>
      <c r="B13343" s="1"/>
    </row>
    <row r="13344">
      <c r="A13344" s="1" t="str">
        <f>IFERROR(__xludf.DUMMYFUNCTION("""COMPUTED_VALUE"""),"140514;INF204KB1GX4;-;Nippon India Dual Advantage Fixed Tenure Fund X- Plan F- Direct Plan-Growth Option;12.3240;23-Oct-2020")</f>
        <v>140514;INF204KB1GX4;-;Nippon India Dual Advantage Fixed Tenure Fund X- Plan F- Direct Plan-Growth Option;12.3240;23-Oct-2020</v>
      </c>
      <c r="B13344" s="1"/>
    </row>
    <row r="13345">
      <c r="A13345" s="1" t="str">
        <f>IFERROR(__xludf.DUMMYFUNCTION("""COMPUTED_VALUE"""),"140513;INF204KB1GY2;-;Nippon India Dual Advantage Fixed Tenure Fund X- Plan F- Dividend Payout Option;10.0000;23-Oct-2020")</f>
        <v>140513;INF204KB1GY2;-;Nippon India Dual Advantage Fixed Tenure Fund X- Plan F- Dividend Payout Option;10.0000;23-Oct-2020</v>
      </c>
      <c r="B13345" s="1"/>
    </row>
    <row r="13346">
      <c r="A13346" s="1" t="str">
        <f>IFERROR(__xludf.DUMMYFUNCTION("""COMPUTED_VALUE"""),"140516;INF204KB1GZ9;-;Nippon India Dual Advantage Fixed Tenure Fund X- Plan F- Growth Option;11.9817;23-Oct-2020")</f>
        <v>140516;INF204KB1GZ9;-;Nippon India Dual Advantage Fixed Tenure Fund X- Plan F- Growth Option;11.9817;23-Oct-2020</v>
      </c>
      <c r="B13346" s="1"/>
    </row>
    <row r="13347">
      <c r="A13347" s="1" t="str">
        <f>IFERROR(__xludf.DUMMYFUNCTION("""COMPUTED_VALUE"""),"141158;INF204KB1JU4;-;Nippon India Dual Advantage Fixed Tenure Fund XI- Plan A- Direct Plan - Dividend Payout Option;10.0000;08-Jul-2020")</f>
        <v>141158;INF204KB1JU4;-;Nippon India Dual Advantage Fixed Tenure Fund XI- Plan A- Direct Plan - Dividend Payout Option;10.0000;08-Jul-2020</v>
      </c>
      <c r="B13347" s="1"/>
    </row>
    <row r="13348">
      <c r="A13348" s="1" t="str">
        <f>IFERROR(__xludf.DUMMYFUNCTION("""COMPUTED_VALUE"""),"141156;INF204KB1JV2;-;Nippon India Dual Advantage Fixed Tenure Fund XI- Plan A- Direct Plan- Growth Option;11.7757;08-Jul-2020")</f>
        <v>141156;INF204KB1JV2;-;Nippon India Dual Advantage Fixed Tenure Fund XI- Plan A- Direct Plan- Growth Option;11.7757;08-Jul-2020</v>
      </c>
      <c r="B13348" s="1"/>
    </row>
    <row r="13349">
      <c r="A13349" s="1" t="str">
        <f>IFERROR(__xludf.DUMMYFUNCTION("""COMPUTED_VALUE"""),"141157;INF204KB1JW0;-;Nippon India Dual Advantage Fixed Tenure Fund XI- Plan A- Dividend Payout Option;10.0000;08-Jul-2020")</f>
        <v>141157;INF204KB1JW0;-;Nippon India Dual Advantage Fixed Tenure Fund XI- Plan A- Dividend Payout Option;10.0000;08-Jul-2020</v>
      </c>
      <c r="B13349" s="1"/>
    </row>
    <row r="13350">
      <c r="A13350" s="1" t="str">
        <f>IFERROR(__xludf.DUMMYFUNCTION("""COMPUTED_VALUE"""),"141155;INF204KB1JX8;-;Nippon India Dual Advantage Fixed Tenure Fund XI- Plan A- Growth Option;11.5027;08-Jul-2020")</f>
        <v>141155;INF204KB1JX8;-;Nippon India Dual Advantage Fixed Tenure Fund XI- Plan A- Growth Option;11.5027;08-Jul-2020</v>
      </c>
      <c r="B13350" s="1"/>
    </row>
    <row r="13351">
      <c r="A13351" s="1" t="str">
        <f>IFERROR(__xludf.DUMMYFUNCTION("""COMPUTED_VALUE"""),"141419;INF204KB1NI1;-;Nippon India Dual Advantage Fixed Tenure Fund XI- Plan B- Direct Plan - Dividend Payout Option;10.0000;13-Jul-2020")</f>
        <v>141419;INF204KB1NI1;-;Nippon India Dual Advantage Fixed Tenure Fund XI- Plan B- Direct Plan - Dividend Payout Option;10.0000;13-Jul-2020</v>
      </c>
      <c r="B13351" s="1"/>
    </row>
    <row r="13352">
      <c r="A13352" s="1" t="str">
        <f>IFERROR(__xludf.DUMMYFUNCTION("""COMPUTED_VALUE"""),"141418;INF204KB1NJ9;-;Nippon India Dual Advantage Fixed Tenure Fund XI- Plan B- Direct Plan- Growth Option;11.7067;13-Jul-2020")</f>
        <v>141418;INF204KB1NJ9;-;Nippon India Dual Advantage Fixed Tenure Fund XI- Plan B- Direct Plan- Growth Option;11.7067;13-Jul-2020</v>
      </c>
      <c r="B13352" s="1"/>
    </row>
    <row r="13353">
      <c r="A13353" s="1" t="str">
        <f>IFERROR(__xludf.DUMMYFUNCTION("""COMPUTED_VALUE"""),"141417;INF204KB1NK7;-;Nippon India Dual Advantage Fixed Tenure Fund XI- Plan B- Dividend Payout Option;10.0000;13-Jul-2020")</f>
        <v>141417;INF204KB1NK7;-;Nippon India Dual Advantage Fixed Tenure Fund XI- Plan B- Dividend Payout Option;10.0000;13-Jul-2020</v>
      </c>
      <c r="B13353" s="1"/>
    </row>
    <row r="13354">
      <c r="A13354" s="1" t="str">
        <f>IFERROR(__xludf.DUMMYFUNCTION("""COMPUTED_VALUE"""),"141416;INF204KB1NL5;-;Nippon India Dual Advantage Fixed Tenure Fund XI- Plan B- Growth Option;11.3772;13-Jul-2020")</f>
        <v>141416;INF204KB1NL5;-;Nippon India Dual Advantage Fixed Tenure Fund XI- Plan B- Growth Option;11.3772;13-Jul-2020</v>
      </c>
      <c r="B13354" s="1"/>
    </row>
    <row r="13355">
      <c r="A13355" s="1" t="str">
        <f>IFERROR(__xludf.DUMMYFUNCTION("""COMPUTED_VALUE"""),"141585;INF204KB1PU1;-;NIPPON INDIA DUAL ADVANTAGE FIXED TENURE FUND XI - PLAN C - DIRECT Plan - IDCW Option;10.0000;19-Apr-2021")</f>
        <v>141585;INF204KB1PU1;-;NIPPON INDIA DUAL ADVANTAGE FIXED TENURE FUND XI - PLAN C - DIRECT Plan - IDCW Option;10.0000;19-Apr-2021</v>
      </c>
      <c r="B13355" s="1"/>
    </row>
    <row r="13356">
      <c r="A13356" s="1" t="str">
        <f>IFERROR(__xludf.DUMMYFUNCTION("""COMPUTED_VALUE"""),"141582;INF204KB1PW7;-;NIPPON INDIA DUAL ADVANTAGE FIXED TENURE FUND XI - PLAN C - IDCW Option;10.0000;19-Apr-2021")</f>
        <v>141582;INF204KB1PW7;-;NIPPON INDIA DUAL ADVANTAGE FIXED TENURE FUND XI - PLAN C - IDCW Option;10.0000;19-Apr-2021</v>
      </c>
      <c r="B13356" s="1"/>
    </row>
    <row r="13357">
      <c r="A13357" s="1" t="str">
        <f>IFERROR(__xludf.DUMMYFUNCTION("""COMPUTED_VALUE"""),"141583;INF204KB1PV9;-;Nippon India Dual Advantage Fixed Tenure Fund XI- Plan C- Direct Plan- Growth Option;12.7773;19-Apr-2021")</f>
        <v>141583;INF204KB1PV9;-;Nippon India Dual Advantage Fixed Tenure Fund XI- Plan C- Direct Plan- Growth Option;12.7773;19-Apr-2021</v>
      </c>
      <c r="B13357" s="1"/>
    </row>
    <row r="13358">
      <c r="A13358" s="1" t="str">
        <f>IFERROR(__xludf.DUMMYFUNCTION("""COMPUTED_VALUE"""),"141584;INF204KB1PX5;-;Nippon India Dual Advantage Fixed Tenure Fund XI- Plan C- Growth Option;12.3543;19-Apr-2021")</f>
        <v>141584;INF204KB1PX5;-;Nippon India Dual Advantage Fixed Tenure Fund XI- Plan C- Growth Option;12.3543;19-Apr-2021</v>
      </c>
      <c r="B13358" s="1"/>
    </row>
    <row r="13359">
      <c r="A13359" s="1" t="str">
        <f>IFERROR(__xludf.DUMMYFUNCTION("""COMPUTED_VALUE"""),"141693;INF204KB1QT1;-;NIPPON INDIA DUAL ADVANTAGE FIXED TENURE FUND XI - PLAN D - DIRECT Plan - IDCW Option;10.0000;22-Apr-2021")</f>
        <v>141693;INF204KB1QT1;-;NIPPON INDIA DUAL ADVANTAGE FIXED TENURE FUND XI - PLAN D - DIRECT Plan - IDCW Option;10.0000;22-Apr-2021</v>
      </c>
      <c r="B13359" s="1"/>
    </row>
    <row r="13360">
      <c r="A13360" s="1" t="str">
        <f>IFERROR(__xludf.DUMMYFUNCTION("""COMPUTED_VALUE"""),"141691;INF204KB1QV7;-;NIPPON INDIA DUAL ADVANTAGE FIXED TENURE FUND XI - PLAN D - IDCW Option;10.0000;22-Apr-2021")</f>
        <v>141691;INF204KB1QV7;-;NIPPON INDIA DUAL ADVANTAGE FIXED TENURE FUND XI - PLAN D - IDCW Option;10.0000;22-Apr-2021</v>
      </c>
      <c r="B13360" s="1"/>
    </row>
    <row r="13361">
      <c r="A13361" s="1" t="str">
        <f>IFERROR(__xludf.DUMMYFUNCTION("""COMPUTED_VALUE"""),"141690;INF204KB1QU9;-;Nippon India Dual Advantage Fixed Tenure Fund XI- Plan D- Direct Plan- Growth Option;12.7878;22-Apr-2021")</f>
        <v>141690;INF204KB1QU9;-;Nippon India Dual Advantage Fixed Tenure Fund XI- Plan D- Direct Plan- Growth Option;12.7878;22-Apr-2021</v>
      </c>
      <c r="B13361" s="1"/>
    </row>
    <row r="13362">
      <c r="A13362" s="1" t="str">
        <f>IFERROR(__xludf.DUMMYFUNCTION("""COMPUTED_VALUE"""),"141692;INF204KB1QW5;-;Nippon India Dual Advantage Fixed Tenure Fund XI- Plan D- Growth Option;12.3884;22-Apr-2021")</f>
        <v>141692;INF204KB1QW5;-;Nippon India Dual Advantage Fixed Tenure Fund XI- Plan D- Growth Option;12.3884;22-Apr-2021</v>
      </c>
      <c r="B13362" s="1"/>
    </row>
    <row r="13363">
      <c r="A13363" s="1" t="str">
        <f>IFERROR(__xludf.DUMMYFUNCTION("""COMPUTED_VALUE"""),"141800;INF204KB1RK8;-;NIPPON INDIA DUAL ADVANTAGE FIXED TENURE FUND XI - PLAN E - DIRECT Plan - IDCW Option;10.0000;19-Apr-2021")</f>
        <v>141800;INF204KB1RK8;-;NIPPON INDIA DUAL ADVANTAGE FIXED TENURE FUND XI - PLAN E - DIRECT Plan - IDCW Option;10.0000;19-Apr-2021</v>
      </c>
      <c r="B13363" s="1"/>
    </row>
    <row r="13364">
      <c r="A13364" s="1" t="str">
        <f>IFERROR(__xludf.DUMMYFUNCTION("""COMPUTED_VALUE"""),"141802;INF204KB1RM4;-;NIPPON INDIA DUAL ADVANTAGE FIXED TENURE FUND XI - PLAN E - IDCW Option;10.0000;19-Apr-2021")</f>
        <v>141802;INF204KB1RM4;-;NIPPON INDIA DUAL ADVANTAGE FIXED TENURE FUND XI - PLAN E - IDCW Option;10.0000;19-Apr-2021</v>
      </c>
      <c r="B13364" s="1"/>
    </row>
    <row r="13365">
      <c r="A13365" s="1" t="str">
        <f>IFERROR(__xludf.DUMMYFUNCTION("""COMPUTED_VALUE"""),"141801;INF204KB1RL6;-;Nippon India Dual Advantage Fixed Tenure Fund XI- Plan E- Direct Plan- Growth Option;12.6765;19-Apr-2021")</f>
        <v>141801;INF204KB1RL6;-;Nippon India Dual Advantage Fixed Tenure Fund XI- Plan E- Direct Plan- Growth Option;12.6765;19-Apr-2021</v>
      </c>
      <c r="B13365" s="1"/>
    </row>
    <row r="13366">
      <c r="A13366" s="1" t="str">
        <f>IFERROR(__xludf.DUMMYFUNCTION("""COMPUTED_VALUE"""),"141799;INF204KB1RN2;-;Nippon India Dual Advantage Fixed Tenure Fund XI- Plan E- Growth Option;12.3580;19-Apr-2021")</f>
        <v>141799;INF204KB1RN2;-;Nippon India Dual Advantage Fixed Tenure Fund XI- Plan E- Growth Option;12.3580;19-Apr-2021</v>
      </c>
      <c r="B13366" s="1"/>
    </row>
    <row r="13367">
      <c r="A13367" s="1" t="str">
        <f>IFERROR(__xludf.DUMMYFUNCTION("""COMPUTED_VALUE"""),"142105;INF204KB1TK4;-;NIPPON INDIA DUAL ADVANTAGE FIXED TENURE FUND XII - PLAN A - DIRECT Plan - IDCW Option;10.0000;11-May-2021")</f>
        <v>142105;INF204KB1TK4;-;NIPPON INDIA DUAL ADVANTAGE FIXED TENURE FUND XII - PLAN A - DIRECT Plan - IDCW Option;10.0000;11-May-2021</v>
      </c>
      <c r="B13367" s="1"/>
    </row>
    <row r="13368">
      <c r="A13368" s="1" t="str">
        <f>IFERROR(__xludf.DUMMYFUNCTION("""COMPUTED_VALUE"""),"142104;INF204KB1TM0;-;NIPPON INDIA DUAL ADVANTAGE FIXED TENURE FUND XII - PLAN A - IDCW Option;10.0000;11-May-2021")</f>
        <v>142104;INF204KB1TM0;-;NIPPON INDIA DUAL ADVANTAGE FIXED TENURE FUND XII - PLAN A - IDCW Option;10.0000;11-May-2021</v>
      </c>
      <c r="B13368" s="1"/>
    </row>
    <row r="13369">
      <c r="A13369" s="1" t="str">
        <f>IFERROR(__xludf.DUMMYFUNCTION("""COMPUTED_VALUE"""),"142106;INF204KB1TL2;-;Nippon India Dual Advantage Fixed Tenure Fund XII- Plan A- Direct Plan-Growth Option;12.4048;11-May-2021")</f>
        <v>142106;INF204KB1TL2;-;Nippon India Dual Advantage Fixed Tenure Fund XII- Plan A- Direct Plan-Growth Option;12.4048;11-May-2021</v>
      </c>
      <c r="B13369" s="1"/>
    </row>
    <row r="13370">
      <c r="A13370" s="1" t="str">
        <f>IFERROR(__xludf.DUMMYFUNCTION("""COMPUTED_VALUE"""),"142103;INF204KB1TN8;-;Nippon India Dual Advantage Fixed Tenure Fund XII- Plan A- Growth Option;12.1211;11-May-2021")</f>
        <v>142103;INF204KB1TN8;-;Nippon India Dual Advantage Fixed Tenure Fund XII- Plan A- Growth Option;12.1211;11-May-2021</v>
      </c>
      <c r="B13370" s="1"/>
    </row>
    <row r="13371">
      <c r="A13371" s="1" t="str">
        <f>IFERROR(__xludf.DUMMYFUNCTION("""COMPUTED_VALUE"""),"146671;INF204KB1Z07;-;NIPPON INDIA FIXED HORIZON FUND - XLI - SERIES 1 - DIRECT Plan - IDCW Option;12.5867;29-Apr-2022")</f>
        <v>146671;INF204KB1Z07;-;NIPPON INDIA FIXED HORIZON FUND - XLI - SERIES 1 - DIRECT Plan - IDCW Option;12.5867;29-Apr-2022</v>
      </c>
      <c r="B13371" s="1"/>
    </row>
    <row r="13372">
      <c r="A13372" s="1" t="str">
        <f>IFERROR(__xludf.DUMMYFUNCTION("""COMPUTED_VALUE"""),"146672;INF204KB1Y99;-;Nippon India Fixed Horizon Fund XLI - Series 1 - Direct Plan - Growth Option;12.5867;29-Apr-2022")</f>
        <v>146672;INF204KB1Y99;-;Nippon India Fixed Horizon Fund XLI - Series 1 - Direct Plan - Growth Option;12.5867;29-Apr-2022</v>
      </c>
      <c r="B13372" s="1"/>
    </row>
    <row r="13373">
      <c r="A13373" s="1" t="str">
        <f>IFERROR(__xludf.DUMMYFUNCTION("""COMPUTED_VALUE"""),"146673;INF204KB1Y73;-;Nippon India Fixed Horizon Fund XLI - Series 1 - Growth Option;12.5474;29-Apr-2022")</f>
        <v>146673;INF204KB1Y73;-;Nippon India Fixed Horizon Fund XLI - Series 1 - Growth Option;12.5474;29-Apr-2022</v>
      </c>
      <c r="B13373" s="1"/>
    </row>
    <row r="13374">
      <c r="A13374" s="1" t="str">
        <f>IFERROR(__xludf.DUMMYFUNCTION("""COMPUTED_VALUE"""),"147352;INF204KB16C0;-;NIPPON INDIA FIXED HORIZON FUND - XLI - SERIES 10 - DIRECT Plan - IDCW Option;12.9724;30-Jun-2022")</f>
        <v>147352;INF204KB16C0;-;NIPPON INDIA FIXED HORIZON FUND - XLI - SERIES 10 - DIRECT Plan - IDCW Option;12.9724;30-Jun-2022</v>
      </c>
      <c r="B13374" s="1"/>
    </row>
    <row r="13375">
      <c r="A13375" s="1" t="str">
        <f>IFERROR(__xludf.DUMMYFUNCTION("""COMPUTED_VALUE"""),"147354;INF204KB14C5;-;NIPPON INDIA FIXED HORIZON FUND - XLI - SERIES 10 - IDCW Option;12.7570;30-Jun-2022")</f>
        <v>147354;INF204KB14C5;-;NIPPON INDIA FIXED HORIZON FUND - XLI - SERIES 10 - IDCW Option;12.7570;30-Jun-2022</v>
      </c>
      <c r="B13375" s="1"/>
    </row>
    <row r="13376">
      <c r="A13376" s="1" t="str">
        <f>IFERROR(__xludf.DUMMYFUNCTION("""COMPUTED_VALUE"""),"147353;INF204KB15C2;-;Nippon India Fixed Horizon Fund XLI - Series 10 - Direct Plan - Growth Option;12.9724;30-Jun-2022")</f>
        <v>147353;INF204KB15C2;-;Nippon India Fixed Horizon Fund XLI - Series 10 - Direct Plan - Growth Option;12.9724;30-Jun-2022</v>
      </c>
      <c r="B13376" s="1"/>
    </row>
    <row r="13377">
      <c r="A13377" s="1" t="str">
        <f>IFERROR(__xludf.DUMMYFUNCTION("""COMPUTED_VALUE"""),"147351;INF204KB13C7;-;Nippon India Fixed Horizon Fund XLI - Series 10 - Growth Option;12.7570;30-Jun-2022")</f>
        <v>147351;INF204KB13C7;-;Nippon India Fixed Horizon Fund XLI - Series 10 - Growth Option;12.7570;30-Jun-2022</v>
      </c>
      <c r="B13377" s="1"/>
    </row>
    <row r="13378">
      <c r="A13378" s="1" t="str">
        <f>IFERROR(__xludf.DUMMYFUNCTION("""COMPUTED_VALUE"""),"147358;INF204KB10D1;-;NIPPON INDIA FIXED HORIZON FUND - XLI - SERIES 11 - DIRECT Plan - IDCW Option;12.4664;02-Aug-2022")</f>
        <v>147358;INF204KB10D1;-;NIPPON INDIA FIXED HORIZON FUND - XLI - SERIES 11 - DIRECT Plan - IDCW Option;12.4664;02-Aug-2022</v>
      </c>
      <c r="B13378" s="1"/>
    </row>
    <row r="13379">
      <c r="A13379" s="1" t="str">
        <f>IFERROR(__xludf.DUMMYFUNCTION("""COMPUTED_VALUE"""),"147356;INF204KB18C6;-;NIPPON INDIA FIXED HORIZON FUND - XLI - SERIES 11 - IDCW Option;12.3645;02-Aug-2022")</f>
        <v>147356;INF204KB18C6;-;NIPPON INDIA FIXED HORIZON FUND - XLI - SERIES 11 - IDCW Option;12.3645;02-Aug-2022</v>
      </c>
      <c r="B13379" s="1"/>
    </row>
    <row r="13380">
      <c r="A13380" s="1" t="str">
        <f>IFERROR(__xludf.DUMMYFUNCTION("""COMPUTED_VALUE"""),"147355;INF204KB19C4;-;Nippon India Fixed Horizon Fund XLI - Series 11 - Direct Plan - Growth Option;12.4664;02-Aug-2022")</f>
        <v>147355;INF204KB19C4;-;Nippon India Fixed Horizon Fund XLI - Series 11 - Direct Plan - Growth Option;12.4664;02-Aug-2022</v>
      </c>
      <c r="B13380" s="1"/>
    </row>
    <row r="13381">
      <c r="A13381" s="1" t="str">
        <f>IFERROR(__xludf.DUMMYFUNCTION("""COMPUTED_VALUE"""),"147357;INF204KB17C8;-;Nippon India Fixed Horizon Fund XLI - Series 11 - Growth Option;12.3645;02-Aug-2022")</f>
        <v>147357;INF204KB17C8;-;Nippon India Fixed Horizon Fund XLI - Series 11 - Growth Option;12.3645;02-Aug-2022</v>
      </c>
      <c r="B13381" s="1"/>
    </row>
    <row r="13382">
      <c r="A13382" s="1" t="str">
        <f>IFERROR(__xludf.DUMMYFUNCTION("""COMPUTED_VALUE"""),"147461;INF204KB14D3;-;NIPPON INDIA FIXED HORIZON FUND - XLI - SERIES 12 - DIRECT Plan - IDCW Option;12.9474;01-Aug-2022")</f>
        <v>147461;INF204KB14D3;-;NIPPON INDIA FIXED HORIZON FUND - XLI - SERIES 12 - DIRECT Plan - IDCW Option;12.9474;01-Aug-2022</v>
      </c>
      <c r="B13382" s="1"/>
    </row>
    <row r="13383">
      <c r="A13383" s="1" t="str">
        <f>IFERROR(__xludf.DUMMYFUNCTION("""COMPUTED_VALUE"""),"147460;INF204KB12D7;-;NIPPON INDIA FIXED HORIZON FUND - XLI - SERIES 12 - IDCW Option;12.7315;01-Aug-2022")</f>
        <v>147460;INF204KB12D7;-;NIPPON INDIA FIXED HORIZON FUND - XLI - SERIES 12 - IDCW Option;12.7315;01-Aug-2022</v>
      </c>
      <c r="B13383" s="1"/>
    </row>
    <row r="13384">
      <c r="A13384" s="1" t="str">
        <f>IFERROR(__xludf.DUMMYFUNCTION("""COMPUTED_VALUE"""),"147463;INF204KB13D5;-;Nippon India Fixed Horizon Fund XLI - Series 12 - Direct Plan - Growth Option;12.9474;01-Aug-2022")</f>
        <v>147463;INF204KB13D5;-;Nippon India Fixed Horizon Fund XLI - Series 12 - Direct Plan - Growth Option;12.9474;01-Aug-2022</v>
      </c>
      <c r="B13384" s="1"/>
    </row>
    <row r="13385">
      <c r="A13385" s="1" t="str">
        <f>IFERROR(__xludf.DUMMYFUNCTION("""COMPUTED_VALUE"""),"147462;INF204KB11D9;-;Nippon India Fixed Horizon Fund XLI - Series 12 - Growth Option;12.7315;01-Aug-2022")</f>
        <v>147462;INF204KB11D9;-;Nippon India Fixed Horizon Fund XLI - Series 12 - Growth Option;12.7315;01-Aug-2022</v>
      </c>
      <c r="B13385" s="1"/>
    </row>
    <row r="13386">
      <c r="A13386" s="1" t="str">
        <f>IFERROR(__xludf.DUMMYFUNCTION("""COMPUTED_VALUE"""),"146845;INF204KB12A3;-;NIPPON INDIA FIXED HORIZON FUND - XLI - SERIES 4 - DIRECT Plan - IDCW Option;13.1026;15-Jun-2022")</f>
        <v>146845;INF204KB12A3;-;NIPPON INDIA FIXED HORIZON FUND - XLI - SERIES 4 - DIRECT Plan - IDCW Option;13.1026;15-Jun-2022</v>
      </c>
      <c r="B13386" s="1"/>
    </row>
    <row r="13387">
      <c r="A13387" s="1" t="str">
        <f>IFERROR(__xludf.DUMMYFUNCTION("""COMPUTED_VALUE"""),"146848;INF204KB10A7;-;NIPPON INDIA FIXED HORIZON FUND - XLI - SERIES 4 - IDCW Option;12.8519;15-Jun-2022")</f>
        <v>146848;INF204KB10A7;-;NIPPON INDIA FIXED HORIZON FUND - XLI - SERIES 4 - IDCW Option;12.8519;15-Jun-2022</v>
      </c>
      <c r="B13387" s="1"/>
    </row>
    <row r="13388">
      <c r="A13388" s="1" t="str">
        <f>IFERROR(__xludf.DUMMYFUNCTION("""COMPUTED_VALUE"""),"146847;INF204KB11A5;-;Nippon India Fixed Horizon Fund XLI - Series 4 - Direct Plan - Growth Option;13.1026;15-Jun-2022")</f>
        <v>146847;INF204KB11A5;-;Nippon India Fixed Horizon Fund XLI - Series 4 - Direct Plan - Growth Option;13.1026;15-Jun-2022</v>
      </c>
      <c r="B13388" s="1"/>
    </row>
    <row r="13389">
      <c r="A13389" s="1" t="str">
        <f>IFERROR(__xludf.DUMMYFUNCTION("""COMPUTED_VALUE"""),"146846;INF204KB1Z98;-;Nippon India Fixed Horizon Fund XLI - Series 4 - Growth Option;12.8520;15-Jun-2022")</f>
        <v>146846;INF204KB1Z98;-;Nippon India Fixed Horizon Fund XLI - Series 4 - Growth Option;12.8520;15-Jun-2022</v>
      </c>
      <c r="B13389" s="1"/>
    </row>
    <row r="13390">
      <c r="A13390" s="1" t="str">
        <f>IFERROR(__xludf.DUMMYFUNCTION("""COMPUTED_VALUE"""),"147095;INF204KB18B8;-;NIPPON INDIA FIXED HORIZON FUND - XLI - SERIES 8 - DIRECT Plan - IDCW Option;14.2093;25-Aug-2023")</f>
        <v>147095;INF204KB18B8;-;NIPPON INDIA FIXED HORIZON FUND - XLI - SERIES 8 - DIRECT Plan - IDCW Option;14.2093;25-Aug-2023</v>
      </c>
      <c r="B13390" s="1"/>
    </row>
    <row r="13391">
      <c r="A13391" s="1" t="str">
        <f>IFERROR(__xludf.DUMMYFUNCTION("""COMPUTED_VALUE"""),"147096;INF204KB16B2;-;NIPPON INDIA FIXED HORIZON FUND - XLI - SERIES 8 - IDCW Option;14.0257;25-Aug-2023")</f>
        <v>147096;INF204KB16B2;-;NIPPON INDIA FIXED HORIZON FUND - XLI - SERIES 8 - IDCW Option;14.0257;25-Aug-2023</v>
      </c>
      <c r="B13391" s="1"/>
    </row>
    <row r="13392">
      <c r="A13392" s="1" t="str">
        <f>IFERROR(__xludf.DUMMYFUNCTION("""COMPUTED_VALUE"""),"147098;INF204KB17B0;-;Nippon India Fixed Horizon Fund XLI - Series 8 - Direct Plan - Growth Option;14.2092;25-Aug-2023")</f>
        <v>147098;INF204KB17B0;-;Nippon India Fixed Horizon Fund XLI - Series 8 - Direct Plan - Growth Option;14.2092;25-Aug-2023</v>
      </c>
      <c r="B13392" s="1"/>
    </row>
    <row r="13393">
      <c r="A13393" s="1" t="str">
        <f>IFERROR(__xludf.DUMMYFUNCTION("""COMPUTED_VALUE"""),"147097;INF204KB15B4;-;Nippon India Fixed Horizon Fund XLI - Series 8 - Growth Option;14.0257;25-Aug-2023")</f>
        <v>147097;INF204KB15B4;-;Nippon India Fixed Horizon Fund XLI - Series 8 - Growth Option;14.0257;25-Aug-2023</v>
      </c>
      <c r="B13393" s="1"/>
    </row>
    <row r="13394">
      <c r="A13394" s="1" t="str">
        <f>IFERROR(__xludf.DUMMYFUNCTION("""COMPUTED_VALUE"""),"148176;INF204KB17N5;-;Nippon India Fixed Horizon fund - XLII - Series 4 - Direct Plan - Growth Option;12.3028;22-May-2023")</f>
        <v>148176;INF204KB17N5;-;Nippon India Fixed Horizon fund - XLII - Series 4 - Direct Plan - Growth Option;12.3028;22-May-2023</v>
      </c>
      <c r="B13394" s="1"/>
    </row>
    <row r="13395">
      <c r="A13395" s="1" t="str">
        <f>IFERROR(__xludf.DUMMYFUNCTION("""COMPUTED_VALUE"""),"148174;INF204KB16N7;-;NIPPON INDIA FIXED HORIZON FUND - XLII - SERIES 4 - IDCW Option;12.2441;22-May-2023")</f>
        <v>148174;INF204KB16N7;-;NIPPON INDIA FIXED HORIZON FUND - XLII - SERIES 4 - IDCW Option;12.2441;22-May-2023</v>
      </c>
      <c r="B13395" s="1"/>
    </row>
    <row r="13396">
      <c r="A13396" s="1" t="str">
        <f>IFERROR(__xludf.DUMMYFUNCTION("""COMPUTED_VALUE"""),"148175;INF204KB15N9;-;Nippon India Fixed Horizon Fund - XLII - Series 4 - Regular Plan - Growth Option;12.2441;22-May-2023")</f>
        <v>148175;INF204KB15N9;-;Nippon India Fixed Horizon Fund - XLII - Series 4 - Regular Plan - Growth Option;12.2441;22-May-2023</v>
      </c>
      <c r="B13396" s="1"/>
    </row>
    <row r="13397">
      <c r="A13397" s="1" t="str">
        <f>IFERROR(__xludf.DUMMYFUNCTION("""COMPUTED_VALUE"""),"149130;INF204KC1188;-;Nippon India Fixed Horizon Fund - XLIII - Series 1 - Direct Plan - Income Distribution Cum Capital Withdrawal Plan;10.9720;25-Aug-2023")</f>
        <v>149130;INF204KC1188;-;Nippon India Fixed Horizon Fund - XLIII - Series 1 - Direct Plan - Income Distribution Cum Capital Withdrawal Plan;10.9720;25-Aug-2023</v>
      </c>
      <c r="B13397" s="1"/>
    </row>
    <row r="13398">
      <c r="A13398" s="1" t="str">
        <f>IFERROR(__xludf.DUMMYFUNCTION("""COMPUTED_VALUE"""),"149131;INF204KC1154;-;Nippon India Fixed Horizon Fund - XLIII - Series 1 - Regular Plan - Growth Option;10.9168;25-Aug-2023")</f>
        <v>149131;INF204KC1154;-;Nippon India Fixed Horizon Fund - XLIII - Series 1 - Regular Plan - Growth Option;10.9168;25-Aug-2023</v>
      </c>
      <c r="B13398" s="1"/>
    </row>
    <row r="13399">
      <c r="A13399" s="1" t="str">
        <f>IFERROR(__xludf.DUMMYFUNCTION("""COMPUTED_VALUE"""),"149128;INF204KC1162;-;Nippon India Fixed Horizon Fund - XLIII - Series 1 - Regular Plan - Income Distribution cum Capital Withdrawal Plan;10.9168;25-Aug-2023")</f>
        <v>149128;INF204KC1162;-;Nippon India Fixed Horizon Fund - XLIII - Series 1 - Regular Plan - Income Distribution cum Capital Withdrawal Plan;10.9168;25-Aug-2023</v>
      </c>
      <c r="B13399" s="1"/>
    </row>
    <row r="13400">
      <c r="A13400" s="1" t="str">
        <f>IFERROR(__xludf.DUMMYFUNCTION("""COMPUTED_VALUE"""),"149129;INF204KC1170;-;Nippon India Fixed Horizon Fund - XLIII - Series 1- Direct Plan - Growth Option;10.9720;25-Aug-2023")</f>
        <v>149129;INF204KC1170;-;Nippon India Fixed Horizon Fund - XLIII - Series 1- Direct Plan - Growth Option;10.9720;25-Aug-2023</v>
      </c>
      <c r="B13400" s="1"/>
    </row>
    <row r="13401">
      <c r="A13401" s="1" t="str">
        <f>IFERROR(__xludf.DUMMYFUNCTION("""COMPUTED_VALUE"""),"149917;INF204KC1477;-;Nippon India Fixed Horizon Fund-XLIII-Series 5- Direct Plan-Growth Option;10.8366;25-Aug-2023")</f>
        <v>149917;INF204KC1477;-;Nippon India Fixed Horizon Fund-XLIII-Series 5- Direct Plan-Growth Option;10.8366;25-Aug-2023</v>
      </c>
      <c r="B13401" s="1"/>
    </row>
    <row r="13402">
      <c r="A13402" s="1" t="str">
        <f>IFERROR(__xludf.DUMMYFUNCTION("""COMPUTED_VALUE"""),"149914;INF204KC1485;-;Nippon India Fixed Horizon Fund-XLIII-Series 5- Direct Plan-Payout of IDCW;10.8366;25-Aug-2023")</f>
        <v>149914;INF204KC1485;-;Nippon India Fixed Horizon Fund-XLIII-Series 5- Direct Plan-Payout of IDCW;10.8366;25-Aug-2023</v>
      </c>
      <c r="B13402" s="1"/>
    </row>
    <row r="13403">
      <c r="A13403" s="1" t="str">
        <f>IFERROR(__xludf.DUMMYFUNCTION("""COMPUTED_VALUE"""),"149915;INF204KC1451;-;Nippon India Fixed Horizon Fund-XLIII-Series 5- Regular Plan-Growth Option;10.8046;25-Aug-2023")</f>
        <v>149915;INF204KC1451;-;Nippon India Fixed Horizon Fund-XLIII-Series 5- Regular Plan-Growth Option;10.8046;25-Aug-2023</v>
      </c>
      <c r="B13403" s="1"/>
    </row>
    <row r="13404">
      <c r="A13404" s="1" t="str">
        <f>IFERROR(__xludf.DUMMYFUNCTION("""COMPUTED_VALUE"""),"149916;INF204KC1469;-;Nippon India Fixed Horizon Fund-XLIII-Series 5- Regular Plan-Payout of IDCW;10.8046;25-Aug-2023")</f>
        <v>149916;INF204KC1469;-;Nippon India Fixed Horizon Fund-XLIII-Series 5- Regular Plan-Payout of IDCW;10.8046;25-Aug-2023</v>
      </c>
      <c r="B13404" s="1"/>
    </row>
    <row r="13405">
      <c r="A13405" s="1" t="str">
        <f>IFERROR(__xludf.DUMMYFUNCTION("""COMPUTED_VALUE"""),"150627;INF204KC1634;-;Nippon India Fixed Horizon Fund-XLIV-Series 1-Direct Plan-Growth Option;10.7325;25-Aug-2023")</f>
        <v>150627;INF204KC1634;-;Nippon India Fixed Horizon Fund-XLIV-Series 1-Direct Plan-Growth Option;10.7325;25-Aug-2023</v>
      </c>
      <c r="B13405" s="1"/>
    </row>
    <row r="13406">
      <c r="A13406" s="1" t="str">
        <f>IFERROR(__xludf.DUMMYFUNCTION("""COMPUTED_VALUE"""),"150628;INF204KC1642;-;Nippon India Fixed Horizon Fund-XLIV-Series 1-Direct Plan-Payout of IDCW;10.7325;25-Aug-2023")</f>
        <v>150628;INF204KC1642;-;Nippon India Fixed Horizon Fund-XLIV-Series 1-Direct Plan-Payout of IDCW;10.7325;25-Aug-2023</v>
      </c>
      <c r="B13406" s="1"/>
    </row>
    <row r="13407">
      <c r="A13407" s="1" t="str">
        <f>IFERROR(__xludf.DUMMYFUNCTION("""COMPUTED_VALUE"""),"150629;INF204KC1618;-;Nippon India Fixed Horizon Fund-XLIV-Series 1-Regular Plan-Growth Option;10.7126;25-Aug-2023")</f>
        <v>150629;INF204KC1618;-;Nippon India Fixed Horizon Fund-XLIV-Series 1-Regular Plan-Growth Option;10.7126;25-Aug-2023</v>
      </c>
      <c r="B13407" s="1"/>
    </row>
    <row r="13408">
      <c r="A13408" s="1" t="str">
        <f>IFERROR(__xludf.DUMMYFUNCTION("""COMPUTED_VALUE"""),"150630;INF204KC1626;-;Nippon India Fixed Horizon Fund-XLIV-Series 1-Regular Plan-Payout of IDCW;10.7126;25-Aug-2023")</f>
        <v>150630;INF204KC1626;-;Nippon India Fixed Horizon Fund-XLIV-Series 1-Regular Plan-Payout of IDCW;10.7126;25-Aug-2023</v>
      </c>
      <c r="B13408" s="1"/>
    </row>
    <row r="13409">
      <c r="A13409" s="1" t="str">
        <f>IFERROR(__xludf.DUMMYFUNCTION("""COMPUTED_VALUE"""),"150911;INF204KC1774;-;Nippon India Fixed Horizon Fund - XLIV - Series 2-Regular Plan-Growth Option;10.2118;13-Mar-2023")</f>
        <v>150911;INF204KC1774;-;Nippon India Fixed Horizon Fund - XLIV - Series 2-Regular Plan-Growth Option;10.2118;13-Mar-2023</v>
      </c>
      <c r="B13409" s="1"/>
    </row>
    <row r="13410">
      <c r="A13410" s="1" t="str">
        <f>IFERROR(__xludf.DUMMYFUNCTION("""COMPUTED_VALUE"""),"150908;INF204KC1790;-;Nippon India Fixed Horizon Fund XLIV - Series 2-Direct Plan-Growth Option;10.2135;13-Mar-2023")</f>
        <v>150908;INF204KC1790;-;Nippon India Fixed Horizon Fund XLIV - Series 2-Direct Plan-Growth Option;10.2135;13-Mar-2023</v>
      </c>
      <c r="B13410" s="1"/>
    </row>
    <row r="13411">
      <c r="A13411" s="1" t="str">
        <f>IFERROR(__xludf.DUMMYFUNCTION("""COMPUTED_VALUE"""),"150909;INF204KC1808;-;Nippon India Fixed Horizon Fund XLIV - Series 2-Direct Plan-Payout of IDCW;10.2135;13-Mar-2023")</f>
        <v>150909;INF204KC1808;-;Nippon India Fixed Horizon Fund XLIV - Series 2-Direct Plan-Payout of IDCW;10.2135;13-Mar-2023</v>
      </c>
      <c r="B13411" s="1"/>
    </row>
    <row r="13412">
      <c r="A13412" s="1" t="str">
        <f>IFERROR(__xludf.DUMMYFUNCTION("""COMPUTED_VALUE"""),"150910;INF204KC1782;-;Nippon India Fixed Horizon Fund XLIV - Series 2-Regular Plan-Payout of IDCW;10.2118;13-Mar-2023")</f>
        <v>150910;INF204KC1782;-;Nippon India Fixed Horizon Fund XLIV - Series 2-Regular Plan-Payout of IDCW;10.2118;13-Mar-2023</v>
      </c>
      <c r="B13412" s="1"/>
    </row>
    <row r="13413">
      <c r="A13413" s="1" t="str">
        <f>IFERROR(__xludf.DUMMYFUNCTION("""COMPUTED_VALUE"""),"150932;INF204KC1931;-;Nippon India Fixed Horizon Fund - XLIV - Series 4-Direct Plan-Growth Option;10.4431;25-Aug-2023")</f>
        <v>150932;INF204KC1931;-;Nippon India Fixed Horizon Fund - XLIV - Series 4-Direct Plan-Growth Option;10.4431;25-Aug-2023</v>
      </c>
      <c r="B13413" s="1"/>
    </row>
    <row r="13414">
      <c r="A13414" s="1" t="str">
        <f>IFERROR(__xludf.DUMMYFUNCTION("""COMPUTED_VALUE"""),"150935;INF204KC1915;-;Nippon India Fixed Horizon Fund - XLIV - Series 4-Regular Plan-Growth Option;10.4265;25-Aug-2023")</f>
        <v>150935;INF204KC1915;-;Nippon India Fixed Horizon Fund - XLIV - Series 4-Regular Plan-Growth Option;10.4265;25-Aug-2023</v>
      </c>
      <c r="B13414" s="1"/>
    </row>
    <row r="13415">
      <c r="A13415" s="1" t="str">
        <f>IFERROR(__xludf.DUMMYFUNCTION("""COMPUTED_VALUE"""),"150934;INF204KC1923;-;Nippon India Fixed Horizon Fund - XLIV - Series 4-Regular Plan-Payout of IDCW;10.4265;25-Aug-2023")</f>
        <v>150934;INF204KC1923;-;Nippon India Fixed Horizon Fund - XLIV - Series 4-Regular Plan-Payout of IDCW;10.4265;25-Aug-2023</v>
      </c>
      <c r="B13415" s="1"/>
    </row>
    <row r="13416">
      <c r="A13416" s="1" t="str">
        <f>IFERROR(__xludf.DUMMYFUNCTION("""COMPUTED_VALUE"""),"151674;-;-;Nippon India Fixed Horizon Fund-XLV-Series 4-Direct Plan-Growth Option;10.2654;25-Aug-2023")</f>
        <v>151674;-;-;Nippon India Fixed Horizon Fund-XLV-Series 4-Direct Plan-Growth Option;10.2654;25-Aug-2023</v>
      </c>
      <c r="B13416" s="1"/>
    </row>
    <row r="13417">
      <c r="A13417" s="1" t="str">
        <f>IFERROR(__xludf.DUMMYFUNCTION("""COMPUTED_VALUE"""),"151671;-;-;Nippon India Fixed Horizon Fund-XLV-Series 4-Direct Plan-Payout of IDCW;10.2654;25-Aug-2023")</f>
        <v>151671;-;-;Nippon India Fixed Horizon Fund-XLV-Series 4-Direct Plan-Payout of IDCW;10.2654;25-Aug-2023</v>
      </c>
      <c r="B13417" s="1"/>
    </row>
    <row r="13418">
      <c r="A13418" s="1" t="str">
        <f>IFERROR(__xludf.DUMMYFUNCTION("""COMPUTED_VALUE"""),"151672;-;-;Nippon India Fixed Horizon Fund-XLV-Series 4-Regular Plan-Growth Option;10.2571;25-Aug-2023")</f>
        <v>151672;-;-;Nippon India Fixed Horizon Fund-XLV-Series 4-Regular Plan-Growth Option;10.2571;25-Aug-2023</v>
      </c>
      <c r="B13418" s="1"/>
    </row>
    <row r="13419">
      <c r="A13419" s="1" t="str">
        <f>IFERROR(__xludf.DUMMYFUNCTION("""COMPUTED_VALUE"""),"151673;-;-;Nippon India Fixed Horizon Fund-XLV-Series 4-Regular Plan-Payout of IDCW;10.2571;25-Aug-2023")</f>
        <v>151673;-;-;Nippon India Fixed Horizon Fund-XLV-Series 4-Regular Plan-Payout of IDCW;10.2571;25-Aug-2023</v>
      </c>
      <c r="B13419" s="1"/>
    </row>
    <row r="13420">
      <c r="A13420" s="1" t="str">
        <f>IFERROR(__xludf.DUMMYFUNCTION("""COMPUTED_VALUE"""),"151708;-;-;Nippon India Fixed Horizon Fund-XLV-Series 5-Direct Plan-Growth Option;10.3690;25-Aug-2023")</f>
        <v>151708;-;-;Nippon India Fixed Horizon Fund-XLV-Series 5-Direct Plan-Growth Option;10.3690;25-Aug-2023</v>
      </c>
      <c r="B13420" s="1"/>
    </row>
    <row r="13421">
      <c r="A13421" s="1" t="str">
        <f>IFERROR(__xludf.DUMMYFUNCTION("""COMPUTED_VALUE"""),"151710;-;-;Nippon India Fixed Horizon Fund-XLV-Series 5-Regular Plan-Growth Option;10.3564;25-Aug-2023")</f>
        <v>151710;-;-;Nippon India Fixed Horizon Fund-XLV-Series 5-Regular Plan-Growth Option;10.3564;25-Aug-2023</v>
      </c>
      <c r="B13421" s="1"/>
    </row>
    <row r="13422">
      <c r="A13422" s="1" t="str">
        <f>IFERROR(__xludf.DUMMYFUNCTION("""COMPUTED_VALUE"""),"151711;-;-;Nippon India Fixed Horizon Fund-XLV-Series 5-Regular Plan-Payout of IDCW;10.3564;25-Aug-2023")</f>
        <v>151711;-;-;Nippon India Fixed Horizon Fund-XLV-Series 5-Regular Plan-Payout of IDCW;10.3564;25-Aug-2023</v>
      </c>
      <c r="B13422" s="1"/>
    </row>
    <row r="13423">
      <c r="A13423" s="1" t="str">
        <f>IFERROR(__xludf.DUMMYFUNCTION("""COMPUTED_VALUE"""),"126479;INF204KB1A14;-;Nippon India Fixed Horizon Fund - XXV - Series 15 - Direct Plan - Dividend Payout Option;10.0000;03-May-2016")</f>
        <v>126479;INF204KB1A14;-;Nippon India Fixed Horizon Fund - XXV - Series 15 - Direct Plan - Dividend Payout Option;10.0000;03-May-2016</v>
      </c>
      <c r="B13423" s="1"/>
    </row>
    <row r="13424">
      <c r="A13424" s="1" t="str">
        <f>IFERROR(__xludf.DUMMYFUNCTION("""COMPUTED_VALUE"""),"126477;INF204KB1A06;-;Nippon India Fixed Horizon Fund - XXV - Series 15 - Direct Plan - Growth Option;18.1935;17-Aug-2020")</f>
        <v>126477;INF204KB1A06;-;Nippon India Fixed Horizon Fund - XXV - Series 15 - Direct Plan - Growth Option;18.1935;17-Aug-2020</v>
      </c>
      <c r="B13424" s="1"/>
    </row>
    <row r="13425">
      <c r="A13425" s="1" t="str">
        <f>IFERROR(__xludf.DUMMYFUNCTION("""COMPUTED_VALUE"""),"126478;INF204KB1ZZ9;-;Nippon India Fixed Horizon Fund - XXV - Series 15 - Dividend Payout Option;10.0000;13-Jun-2018")</f>
        <v>126478;INF204KB1ZZ9;-;Nippon India Fixed Horizon Fund - XXV - Series 15 - Dividend Payout Option;10.0000;13-Jun-2018</v>
      </c>
      <c r="B13425" s="1"/>
    </row>
    <row r="13426">
      <c r="A13426" s="1" t="str">
        <f>IFERROR(__xludf.DUMMYFUNCTION("""COMPUTED_VALUE"""),"126480;INF204KB1ZY2;-;Nippon India Fixed Horizon Fund - XXV - Series 15 - Growth Option;17.7190;17-Aug-2020")</f>
        <v>126480;INF204KB1ZY2;-;Nippon India Fixed Horizon Fund - XXV - Series 15 - Growth Option;17.7190;17-Aug-2020</v>
      </c>
      <c r="B13426" s="1"/>
    </row>
    <row r="13427">
      <c r="A13427" s="1" t="str">
        <f>IFERROR(__xludf.DUMMYFUNCTION("""COMPUTED_VALUE"""),"145525;INF204KB1N50;-;NIPPON INDIA FIXED HORIZON FUND - XXXIX - SERIES 15 - IDCW Option;13.0954;29-Apr-2022")</f>
        <v>145525;INF204KB1N50;-;NIPPON INDIA FIXED HORIZON FUND - XXXIX - SERIES 15 - IDCW Option;13.0954;29-Apr-2022</v>
      </c>
      <c r="B13427" s="1"/>
    </row>
    <row r="13428">
      <c r="A13428" s="1" t="str">
        <f>IFERROR(__xludf.DUMMYFUNCTION("""COMPUTED_VALUE"""),"145527;INF204KB1N43;-;Nippon India Fixed Horizon Fund XXXIX - Series 15 Growth option;13.0954;29-Apr-2022")</f>
        <v>145527;INF204KB1N43;-;Nippon India Fixed Horizon Fund XXXIX - Series 15 Growth option;13.0954;29-Apr-2022</v>
      </c>
      <c r="B13428" s="1"/>
    </row>
    <row r="13429">
      <c r="A13429" s="1" t="str">
        <f>IFERROR(__xludf.DUMMYFUNCTION("""COMPUTED_VALUE"""),"145528;INF204KB1N68;-;Nippon India Fixed Horizon Fund XXXIX- Series15- Direct Plan - Growth option;13.2076;29-Apr-2022")</f>
        <v>145528;INF204KB1N68;-;Nippon India Fixed Horizon Fund XXXIX- Series15- Direct Plan - Growth option;13.2076;29-Apr-2022</v>
      </c>
      <c r="B13429" s="1"/>
    </row>
    <row r="13430">
      <c r="A13430" s="1" t="str">
        <f>IFERROR(__xludf.DUMMYFUNCTION("""COMPUTED_VALUE"""),"145609;INF204KB1O18;-;NIPPON INDIA FIXED HORIZON FUND - XXXX - SERIES 1 - DIRECT Plan - IDCW Option;13.1755;02-May-2022")</f>
        <v>145609;INF204KB1O18;-;NIPPON INDIA FIXED HORIZON FUND - XXXX - SERIES 1 - DIRECT Plan - IDCW Option;13.1755;02-May-2022</v>
      </c>
      <c r="B13430" s="1"/>
    </row>
    <row r="13431">
      <c r="A13431" s="1" t="str">
        <f>IFERROR(__xludf.DUMMYFUNCTION("""COMPUTED_VALUE"""),"145610;INF204KB1N92;-;NIPPON INDIA FIXED HORIZON FUND - XXXX - SERIES 1 - IDCW Option;13.0630;02-May-2022")</f>
        <v>145610;INF204KB1N92;-;NIPPON INDIA FIXED HORIZON FUND - XXXX - SERIES 1 - IDCW Option;13.0630;02-May-2022</v>
      </c>
      <c r="B13431" s="1"/>
    </row>
    <row r="13432">
      <c r="A13432" s="1" t="str">
        <f>IFERROR(__xludf.DUMMYFUNCTION("""COMPUTED_VALUE"""),"145612;INF204KB1O00;-;Nippon India Fixed Horizon Fund XXXX - Series 1 - Direct Plan - Growth Option;13.1755;02-May-2022")</f>
        <v>145612;INF204KB1O00;-;Nippon India Fixed Horizon Fund XXXX - Series 1 - Direct Plan - Growth Option;13.1755;02-May-2022</v>
      </c>
      <c r="B13432" s="1"/>
    </row>
    <row r="13433">
      <c r="A13433" s="1" t="str">
        <f>IFERROR(__xludf.DUMMYFUNCTION("""COMPUTED_VALUE"""),"145611;INF204KB1N84;-;Nippon India Fixed Horizon Fund XXXX - Series 1 - Growth Option;13.0630;02-May-2022")</f>
        <v>145611;INF204KB1N84;-;Nippon India Fixed Horizon Fund XXXX - Series 1 - Growth Option;13.0630;02-May-2022</v>
      </c>
      <c r="B13433" s="1"/>
    </row>
    <row r="13434">
      <c r="A13434" s="1" t="str">
        <f>IFERROR(__xludf.DUMMYFUNCTION("""COMPUTED_VALUE"""),"146027;INF204KB1U10;-;NIPPON INDIA FIXED HORIZON FUND - XXXX - SERIES 11 - IDCW Option;12.7330;29-Apr-2022")</f>
        <v>146027;INF204KB1U10;-;NIPPON INDIA FIXED HORIZON FUND - XXXX - SERIES 11 - IDCW Option;12.7330;29-Apr-2022</v>
      </c>
      <c r="B13434" s="1"/>
    </row>
    <row r="13435">
      <c r="A13435" s="1" t="str">
        <f>IFERROR(__xludf.DUMMYFUNCTION("""COMPUTED_VALUE"""),"146030;INF204KB1U28;-;Nippon India Fixed Horizon Fund XXXX - Series 11 - Direct Plan - Growth Plan;12.8378;29-Apr-2022")</f>
        <v>146030;INF204KB1U28;-;Nippon India Fixed Horizon Fund XXXX - Series 11 - Direct Plan - Growth Plan;12.8378;29-Apr-2022</v>
      </c>
      <c r="B13435" s="1"/>
    </row>
    <row r="13436">
      <c r="A13436" s="1" t="str">
        <f>IFERROR(__xludf.DUMMYFUNCTION("""COMPUTED_VALUE"""),"146029;INF204KB1U02;-;Nippon India Fixed Horizon Fund XXXX - Series 11 - Growth Option;12.7330;29-Apr-2022")</f>
        <v>146029;INF204KB1U02;-;Nippon India Fixed Horizon Fund XXXX - Series 11 - Growth Option;12.7330;29-Apr-2022</v>
      </c>
      <c r="B13436" s="1"/>
    </row>
    <row r="13437">
      <c r="A13437" s="1" t="str">
        <f>IFERROR(__xludf.DUMMYFUNCTION("""COMPUTED_VALUE"""),"146041;INF204KB1U77;-;NIPPON INDIA FIXED HORIZON FUND - XXXX - SERIES 12 - DIRECT Plan - IDCW Option;13.2382;30-May-2022")</f>
        <v>146041;INF204KB1U77;-;NIPPON INDIA FIXED HORIZON FUND - XXXX - SERIES 12 - DIRECT Plan - IDCW Option;13.2382;30-May-2022</v>
      </c>
      <c r="B13437" s="1"/>
    </row>
    <row r="13438">
      <c r="A13438" s="1" t="str">
        <f>IFERROR(__xludf.DUMMYFUNCTION("""COMPUTED_VALUE"""),"146042;INF204KB1U51;-;NIPPON INDIA FIXED HORIZON FUND - XXXX - SERIES 12 - IDCW Option;12.9764;30-May-2022")</f>
        <v>146042;INF204KB1U51;-;NIPPON INDIA FIXED HORIZON FUND - XXXX - SERIES 12 - IDCW Option;12.9764;30-May-2022</v>
      </c>
      <c r="B13438" s="1"/>
    </row>
    <row r="13439">
      <c r="A13439" s="1" t="str">
        <f>IFERROR(__xludf.DUMMYFUNCTION("""COMPUTED_VALUE"""),"146043;INF204KB1U69;-;Nippon India Fixed Horizon Fund XXXX - Series 12 - Direct Plan - Growth Option;13.2382;30-May-2022")</f>
        <v>146043;INF204KB1U69;-;Nippon India Fixed Horizon Fund XXXX - Series 12 - Direct Plan - Growth Option;13.2382;30-May-2022</v>
      </c>
      <c r="B13439" s="1"/>
    </row>
    <row r="13440">
      <c r="A13440" s="1" t="str">
        <f>IFERROR(__xludf.DUMMYFUNCTION("""COMPUTED_VALUE"""),"146044;INF204KB1U44;-;Nippon India Fixed Horizon Fund XXXX - Series 12 - Growth Option;12.9764;30-May-2022")</f>
        <v>146044;INF204KB1U44;-;Nippon India Fixed Horizon Fund XXXX - Series 12 - Growth Option;12.9764;30-May-2022</v>
      </c>
      <c r="B13440" s="1"/>
    </row>
    <row r="13441">
      <c r="A13441" s="1" t="str">
        <f>IFERROR(__xludf.DUMMYFUNCTION("""COMPUTED_VALUE"""),"146170;INF204KB1V50;-;NIPPON INDIA FIXED HORIZON FUND - XXXX - SERIES 14 - DIRECT Plan - IDCW Option;10.7749;20-Sep-2019")</f>
        <v>146170;INF204KB1V50;-;NIPPON INDIA FIXED HORIZON FUND - XXXX - SERIES 14 - DIRECT Plan - IDCW Option;10.7749;20-Sep-2019</v>
      </c>
      <c r="B13441" s="1"/>
    </row>
    <row r="13442">
      <c r="A13442" s="1" t="str">
        <f>IFERROR(__xludf.DUMMYFUNCTION("""COMPUTED_VALUE"""),"146171;INF204KB1V35;-;NIPPON INDIA FIXED HORIZON FUND - XXXX - SERIES 14 - IDCW Option;12.7453;02-May-2022")</f>
        <v>146171;INF204KB1V35;-;NIPPON INDIA FIXED HORIZON FUND - XXXX - SERIES 14 - IDCW Option;12.7453;02-May-2022</v>
      </c>
      <c r="B13442" s="1"/>
    </row>
    <row r="13443">
      <c r="A13443" s="1" t="str">
        <f>IFERROR(__xludf.DUMMYFUNCTION("""COMPUTED_VALUE"""),"146172;INF204KB1V43;-;Nippon India Fixed Horizon Fund XXXX - Series 14 - Direct Plan - Growth Option;12.8605;02-May-2022")</f>
        <v>146172;INF204KB1V43;-;Nippon India Fixed Horizon Fund XXXX - Series 14 - Direct Plan - Growth Option;12.8605;02-May-2022</v>
      </c>
      <c r="B13443" s="1"/>
    </row>
    <row r="13444">
      <c r="A13444" s="1" t="str">
        <f>IFERROR(__xludf.DUMMYFUNCTION("""COMPUTED_VALUE"""),"146169;INF204KB1V27;-;Nippon India Fixed Horizon Fund XXXX - Series 14 - Growth Option;12.7453;02-May-2022")</f>
        <v>146169;INF204KB1V27;-;Nippon India Fixed Horizon Fund XXXX - Series 14 - Growth Option;12.7453;02-May-2022</v>
      </c>
      <c r="B13444" s="1"/>
    </row>
    <row r="13445">
      <c r="A13445" s="1" t="str">
        <f>IFERROR(__xludf.DUMMYFUNCTION("""COMPUTED_VALUE"""),"146300;INF204KB1V84;-;NIPPON INDIA FIXED HORIZON FUND - XXXX - SERIES 15 - IDCW Option;12.6745;04-May-2022")</f>
        <v>146300;INF204KB1V84;-;NIPPON INDIA FIXED HORIZON FUND - XXXX - SERIES 15 - IDCW Option;12.6745;04-May-2022</v>
      </c>
      <c r="B13445" s="1"/>
    </row>
    <row r="13446">
      <c r="A13446" s="1" t="str">
        <f>IFERROR(__xludf.DUMMYFUNCTION("""COMPUTED_VALUE"""),"146299;INF204KB1V92;-;Nippon India Fixed Horizon Fund XXXX - Series 15 - Direct Plan - Growth Option;12.7814;04-May-2022")</f>
        <v>146299;INF204KB1V92;-;Nippon India Fixed Horizon Fund XXXX - Series 15 - Direct Plan - Growth Option;12.7814;04-May-2022</v>
      </c>
      <c r="B13446" s="1"/>
    </row>
    <row r="13447">
      <c r="A13447" s="1" t="str">
        <f>IFERROR(__xludf.DUMMYFUNCTION("""COMPUTED_VALUE"""),"146301;INF204KB1V76;-;Nippon India Fixed Horizon Fund XXXX - Series 15 - Growth Option;12.6745;04-May-2022")</f>
        <v>146301;INF204KB1V76;-;Nippon India Fixed Horizon Fund XXXX - Series 15 - Growth Option;12.6745;04-May-2022</v>
      </c>
      <c r="B13447" s="1"/>
    </row>
    <row r="13448">
      <c r="A13448" s="1" t="str">
        <f>IFERROR(__xludf.DUMMYFUNCTION("""COMPUTED_VALUE"""),"146328;INF204KB1W42;-;NIPPON INDIA FIXED HORIZON FUND - XXXX - SERIES 16 - DIRECT Plan - IDCW Option;13.3025;15-Jun-2022")</f>
        <v>146328;INF204KB1W42;-;NIPPON INDIA FIXED HORIZON FUND - XXXX - SERIES 16 - DIRECT Plan - IDCW Option;13.3025;15-Jun-2022</v>
      </c>
      <c r="B13448" s="1"/>
    </row>
    <row r="13449">
      <c r="A13449" s="1" t="str">
        <f>IFERROR(__xludf.DUMMYFUNCTION("""COMPUTED_VALUE"""),"146329;INF204KB1W26;-;NIPPON INDIA FIXED HORIZON FUND - XXXX - SERIES 16 - IDCW Option;13.0405;15-Jun-2022")</f>
        <v>146329;INF204KB1W26;-;NIPPON INDIA FIXED HORIZON FUND - XXXX - SERIES 16 - IDCW Option;13.0405;15-Jun-2022</v>
      </c>
      <c r="B13449" s="1"/>
    </row>
    <row r="13450">
      <c r="A13450" s="1" t="str">
        <f>IFERROR(__xludf.DUMMYFUNCTION("""COMPUTED_VALUE"""),"146331;INF204KB1W34;-;Nippon India Fixed Horizon Fund XXXX - Series 16 - Direct Plan - Growth Option;13.3025;15-Jun-2022")</f>
        <v>146331;INF204KB1W34;-;Nippon India Fixed Horizon Fund XXXX - Series 16 - Direct Plan - Growth Option;13.3025;15-Jun-2022</v>
      </c>
      <c r="B13450" s="1"/>
    </row>
    <row r="13451">
      <c r="A13451" s="1" t="str">
        <f>IFERROR(__xludf.DUMMYFUNCTION("""COMPUTED_VALUE"""),"146330;INF204KB1W18;-;Nippon India Fixed Horizon Fund XXXX - Series 16 - Growth Option;13.0405;15-Jun-2022")</f>
        <v>146330;INF204KB1W18;-;Nippon India Fixed Horizon Fund XXXX - Series 16 - Growth Option;13.0405;15-Jun-2022</v>
      </c>
      <c r="B13451" s="1"/>
    </row>
    <row r="13452">
      <c r="A13452" s="1" t="str">
        <f>IFERROR(__xludf.DUMMYFUNCTION("""COMPUTED_VALUE"""),"146471;INF204KB1W83;-;NIPPON INDIA FIXED HORIZON FUND - XXXX - SERIES 17 - DIRECT Plan - IDCW Option;10.6964;24-Sep-2019")</f>
        <v>146471;INF204KB1W83;-;NIPPON INDIA FIXED HORIZON FUND - XXXX - SERIES 17 - DIRECT Plan - IDCW Option;10.6964;24-Sep-2019</v>
      </c>
      <c r="B13452" s="1"/>
    </row>
    <row r="13453">
      <c r="A13453" s="1" t="str">
        <f>IFERROR(__xludf.DUMMYFUNCTION("""COMPUTED_VALUE"""),"146473;INF204KB1W75;-;Nippon India Fixed Horizon Fund XXXX - Series 17 - Direct Plan - Growth Option;12.7093;02-May-2022")</f>
        <v>146473;INF204KB1W75;-;Nippon India Fixed Horizon Fund XXXX - Series 17 - Direct Plan - Growth Option;12.7093;02-May-2022</v>
      </c>
      <c r="B13453" s="1"/>
    </row>
    <row r="13454">
      <c r="A13454" s="1" t="str">
        <f>IFERROR(__xludf.DUMMYFUNCTION("""COMPUTED_VALUE"""),"146472;INF204KB1W59;-;Nippon India Fixed Horizon Fund XXXX - Series 17 - Growth Option;12.6081;02-May-2022")</f>
        <v>146472;INF204KB1W59;-;Nippon India Fixed Horizon Fund XXXX - Series 17 - Growth Option;12.6081;02-May-2022</v>
      </c>
      <c r="B13454" s="1"/>
    </row>
    <row r="13455">
      <c r="A13455" s="1" t="str">
        <f>IFERROR(__xludf.DUMMYFUNCTION("""COMPUTED_VALUE"""),"146594;INF204KB1Y24;-;NIPPON INDIA FIXED HORIZON FUND - XXXX - SERIES 19 - DIRECT Plan - IDCW Option;13.1486;15-Jun-2022")</f>
        <v>146594;INF204KB1Y24;-;NIPPON INDIA FIXED HORIZON FUND - XXXX - SERIES 19 - DIRECT Plan - IDCW Option;13.1486;15-Jun-2022</v>
      </c>
      <c r="B13455" s="1"/>
    </row>
    <row r="13456">
      <c r="A13456" s="1" t="str">
        <f>IFERROR(__xludf.DUMMYFUNCTION("""COMPUTED_VALUE"""),"146597;INF204KB1Y08;-;NIPPON INDIA FIXED HORIZON FUND - XXXX - SERIES 19 - IDCW Option;12.8949;15-Jun-2022")</f>
        <v>146597;INF204KB1Y08;-;NIPPON INDIA FIXED HORIZON FUND - XXXX - SERIES 19 - IDCW Option;12.8949;15-Jun-2022</v>
      </c>
      <c r="B13456" s="1"/>
    </row>
    <row r="13457">
      <c r="A13457" s="1" t="str">
        <f>IFERROR(__xludf.DUMMYFUNCTION("""COMPUTED_VALUE"""),"146596;INF204KB1Y16;-;Nippon India Fixed Horizon Fund XXXX - Series 19 - Direct Plan - Growth Option;13.1486;15-Jun-2022")</f>
        <v>146596;INF204KB1Y16;-;Nippon India Fixed Horizon Fund XXXX - Series 19 - Direct Plan - Growth Option;13.1486;15-Jun-2022</v>
      </c>
      <c r="B13457" s="1"/>
    </row>
    <row r="13458">
      <c r="A13458" s="1" t="str">
        <f>IFERROR(__xludf.DUMMYFUNCTION("""COMPUTED_VALUE"""),"146595;INF204KB1X90;-;Nippon India Fixed Horizon Fund XXXX - Series 19 - Growth Option;12.8949;15-Jun-2022")</f>
        <v>146595;INF204KB1X90;-;Nippon India Fixed Horizon Fund XXXX - Series 19 - Growth Option;12.8949;15-Jun-2022</v>
      </c>
      <c r="B13458" s="1"/>
    </row>
    <row r="13459">
      <c r="A13459" s="1" t="str">
        <f>IFERROR(__xludf.DUMMYFUNCTION("""COMPUTED_VALUE"""),"145613;INF204KB1O59;-;NIPPON INDIA FIXED HORIZON FUND - XXXX - SERIES 2 - DIRECT Plan - IDCW Option;13.1128;29-Apr-2022")</f>
        <v>145613;INF204KB1O59;-;NIPPON INDIA FIXED HORIZON FUND - XXXX - SERIES 2 - DIRECT Plan - IDCW Option;13.1128;29-Apr-2022</v>
      </c>
      <c r="B13459" s="1"/>
    </row>
    <row r="13460">
      <c r="A13460" s="1" t="str">
        <f>IFERROR(__xludf.DUMMYFUNCTION("""COMPUTED_VALUE"""),"145615;INF204KB1O34;-;NIPPON INDIA FIXED HORIZON FUND - XXXX - SERIES 2 - IDCW Option;13.0014;29-Apr-2022")</f>
        <v>145615;INF204KB1O34;-;NIPPON INDIA FIXED HORIZON FUND - XXXX - SERIES 2 - IDCW Option;13.0014;29-Apr-2022</v>
      </c>
      <c r="B13460" s="1"/>
    </row>
    <row r="13461">
      <c r="A13461" s="1" t="str">
        <f>IFERROR(__xludf.DUMMYFUNCTION("""COMPUTED_VALUE"""),"145616;INF204KB1O42;-;Nippon India Fixed Horizon Fund XXXX - Series 2 - Direct Plan - Growth Option;13.1128;29-Apr-2022")</f>
        <v>145616;INF204KB1O42;-;Nippon India Fixed Horizon Fund XXXX - Series 2 - Direct Plan - Growth Option;13.1128;29-Apr-2022</v>
      </c>
      <c r="B13461" s="1"/>
    </row>
    <row r="13462">
      <c r="A13462" s="1" t="str">
        <f>IFERROR(__xludf.DUMMYFUNCTION("""COMPUTED_VALUE"""),"145614;INF204KB1O26;-;Nippon India Fixed Horizon Fund XXXX - Series 2 - Growth Option;13.0014;29-Apr-2022")</f>
        <v>145614;INF204KB1O26;-;Nippon India Fixed Horizon Fund XXXX - Series 2 - Growth Option;13.0014;29-Apr-2022</v>
      </c>
      <c r="B13462" s="1"/>
    </row>
    <row r="13463">
      <c r="A13463" s="1" t="str">
        <f>IFERROR(__xludf.DUMMYFUNCTION("""COMPUTED_VALUE"""),"145617;INF204KB1O91;-;NIPPON INDIA FIXED HORIZON FUND - XXXX - SERIES 3 - DIRECT Plan - IDCW Option;13.0293;31-May-2022")</f>
        <v>145617;INF204KB1O91;-;NIPPON INDIA FIXED HORIZON FUND - XXXX - SERIES 3 - DIRECT Plan - IDCW Option;13.0293;31-May-2022</v>
      </c>
      <c r="B13463" s="1"/>
    </row>
    <row r="13464">
      <c r="A13464" s="1" t="str">
        <f>IFERROR(__xludf.DUMMYFUNCTION("""COMPUTED_VALUE"""),"145620;INF204KB1O75;-;NIPPON INDIA FIXED HORIZON FUND - XXXX - SERIES 3 - IDCW Option;12.7612;31-May-2022")</f>
        <v>145620;INF204KB1O75;-;NIPPON INDIA FIXED HORIZON FUND - XXXX - SERIES 3 - IDCW Option;12.7612;31-May-2022</v>
      </c>
      <c r="B13464" s="1"/>
    </row>
    <row r="13465">
      <c r="A13465" s="1" t="str">
        <f>IFERROR(__xludf.DUMMYFUNCTION("""COMPUTED_VALUE"""),"145619;INF204KB1O83;-;Nippon India Fixed Horizon Fund XXXX - Series 3 - Direct Plan - Growth Option;13.0293;31-May-2022")</f>
        <v>145619;INF204KB1O83;-;Nippon India Fixed Horizon Fund XXXX - Series 3 - Direct Plan - Growth Option;13.0293;31-May-2022</v>
      </c>
      <c r="B13465" s="1"/>
    </row>
    <row r="13466">
      <c r="A13466" s="1" t="str">
        <f>IFERROR(__xludf.DUMMYFUNCTION("""COMPUTED_VALUE"""),"145618;INF204KB1O67;-;Nippon India Fixed Horizon Fund XXXX - Series 3 - Growth Option;12.7612;31-May-2022")</f>
        <v>145618;INF204KB1O67;-;Nippon India Fixed Horizon Fund XXXX - Series 3 - Growth Option;12.7612;31-May-2022</v>
      </c>
      <c r="B13466" s="1"/>
    </row>
    <row r="13467">
      <c r="A13467" s="1" t="str">
        <f>IFERROR(__xludf.DUMMYFUNCTION("""COMPUTED_VALUE"""),"145663;INF204KB1P33;-;NIPPON INDIA FIXED HORIZON FUND - XXXX - SERIES 4 - DIRECT Plan - IDCW Option;13.0689;29-Apr-2022")</f>
        <v>145663;INF204KB1P33;-;NIPPON INDIA FIXED HORIZON FUND - XXXX - SERIES 4 - DIRECT Plan - IDCW Option;13.0689;29-Apr-2022</v>
      </c>
      <c r="B13467" s="1"/>
    </row>
    <row r="13468">
      <c r="A13468" s="1" t="str">
        <f>IFERROR(__xludf.DUMMYFUNCTION("""COMPUTED_VALUE"""),"145664;INF204KB1P17;-;NIPPON INDIA FIXED HORIZON FUND - XXXX - SERIES 4 - IDCW Option;10.9407;28-Aug-2019")</f>
        <v>145664;INF204KB1P17;-;NIPPON INDIA FIXED HORIZON FUND - XXXX - SERIES 4 - IDCW Option;10.9407;28-Aug-2019</v>
      </c>
      <c r="B13468" s="1"/>
    </row>
    <row r="13469">
      <c r="A13469" s="1" t="str">
        <f>IFERROR(__xludf.DUMMYFUNCTION("""COMPUTED_VALUE"""),"145665;INF204KB1P25;-;Nippon India Fixed Horizon Fund XXXX - Series 4 - Direct Plan - Growth Option;13.0689;29-Apr-2022")</f>
        <v>145665;INF204KB1P25;-;Nippon India Fixed Horizon Fund XXXX - Series 4 - Direct Plan - Growth Option;13.0689;29-Apr-2022</v>
      </c>
      <c r="B13469" s="1"/>
    </row>
    <row r="13470">
      <c r="A13470" s="1" t="str">
        <f>IFERROR(__xludf.DUMMYFUNCTION("""COMPUTED_VALUE"""),"145666;INF204KB1P09;-;Nippon India Fixed Horizon Fund XXXX - Series 4 - Growth Option;12.9588;29-Apr-2022")</f>
        <v>145666;INF204KB1P09;-;Nippon India Fixed Horizon Fund XXXX - Series 4 - Growth Option;12.9588;29-Apr-2022</v>
      </c>
      <c r="B13470" s="1"/>
    </row>
    <row r="13471">
      <c r="A13471" s="1" t="str">
        <f>IFERROR(__xludf.DUMMYFUNCTION("""COMPUTED_VALUE"""),"145759;INF204KB1Q57;-;NIPPON INDIA FIXED HORIZON FUND - XXXX - SERIES 5 - DIRECT Plan - IDCW Option;13.0386;02-May-2022")</f>
        <v>145759;INF204KB1Q57;-;NIPPON INDIA FIXED HORIZON FUND - XXXX - SERIES 5 - DIRECT Plan - IDCW Option;13.0386;02-May-2022</v>
      </c>
      <c r="B13471" s="1"/>
    </row>
    <row r="13472">
      <c r="A13472" s="1" t="str">
        <f>IFERROR(__xludf.DUMMYFUNCTION("""COMPUTED_VALUE"""),"145757;INF204KB1Q32;-;NIPPON INDIA FIXED HORIZON FUND - XXXX - SERIES 5 - IDCW Option;12.9292;02-May-2022")</f>
        <v>145757;INF204KB1Q32;-;NIPPON INDIA FIXED HORIZON FUND - XXXX - SERIES 5 - IDCW Option;12.9292;02-May-2022</v>
      </c>
      <c r="B13472" s="1"/>
    </row>
    <row r="13473">
      <c r="A13473" s="1" t="str">
        <f>IFERROR(__xludf.DUMMYFUNCTION("""COMPUTED_VALUE"""),"145760;INF204KB1Q40;-;Nippon India Fixed Horizon Fund XXXX - Series 5 - Direct Plan - Growth Option;13.0385;02-May-2022")</f>
        <v>145760;INF204KB1Q40;-;Nippon India Fixed Horizon Fund XXXX - Series 5 - Direct Plan - Growth Option;13.0385;02-May-2022</v>
      </c>
      <c r="B13473" s="1"/>
    </row>
    <row r="13474">
      <c r="A13474" s="1" t="str">
        <f>IFERROR(__xludf.DUMMYFUNCTION("""COMPUTED_VALUE"""),"145758;INF204KB1Q24;-;Nippon India Fixed Horizon Fund XXXX - Series 5 - Growth Option;12.9292;02-May-2022")</f>
        <v>145758;INF204KB1Q24;-;Nippon India Fixed Horizon Fund XXXX - Series 5 - Growth Option;12.9292;02-May-2022</v>
      </c>
      <c r="B13474" s="1"/>
    </row>
    <row r="13475">
      <c r="A13475" s="1" t="str">
        <f>IFERROR(__xludf.DUMMYFUNCTION("""COMPUTED_VALUE"""),"145787;INF204KB1S30;-;NIPPON INDIA FIXED HORIZON FUND - XXXX - SERIES 6 - DIRECT Plan - IDCW Option;12.9432;29-Apr-2022")</f>
        <v>145787;INF204KB1S30;-;NIPPON INDIA FIXED HORIZON FUND - XXXX - SERIES 6 - DIRECT Plan - IDCW Option;12.9432;29-Apr-2022</v>
      </c>
      <c r="B13475" s="1"/>
    </row>
    <row r="13476">
      <c r="A13476" s="1" t="str">
        <f>IFERROR(__xludf.DUMMYFUNCTION("""COMPUTED_VALUE"""),"145788;INF204KB1S14;-;NIPPON INDIA FIXED HORIZON FUND - XXXX - SERIES 6 - IDCW Option;12.8351;29-Apr-2022")</f>
        <v>145788;INF204KB1S14;-;NIPPON INDIA FIXED HORIZON FUND - XXXX - SERIES 6 - IDCW Option;12.8351;29-Apr-2022</v>
      </c>
      <c r="B13476" s="1"/>
    </row>
    <row r="13477">
      <c r="A13477" s="1" t="str">
        <f>IFERROR(__xludf.DUMMYFUNCTION("""COMPUTED_VALUE"""),"145790;INF204KB1S22;-;Nippon India Fixed Horizon Fund XXXX - Series 6 - Direct Plan - Growth Option;12.9432;29-Apr-2022")</f>
        <v>145790;INF204KB1S22;-;Nippon India Fixed Horizon Fund XXXX - Series 6 - Direct Plan - Growth Option;12.9432;29-Apr-2022</v>
      </c>
      <c r="B13477" s="1"/>
    </row>
    <row r="13478">
      <c r="A13478" s="1" t="str">
        <f>IFERROR(__xludf.DUMMYFUNCTION("""COMPUTED_VALUE"""),"145789;INF204KB1S06;-;Nippon India Fixed Horizon Fund XXXX - Series 6 - Growth Option;12.8351;29-Apr-2022")</f>
        <v>145789;INF204KB1S06;-;Nippon India Fixed Horizon Fund XXXX - Series 6 - Growth Option;12.8351;29-Apr-2022</v>
      </c>
      <c r="B13478" s="1"/>
    </row>
    <row r="13479">
      <c r="A13479" s="1" t="str">
        <f>IFERROR(__xludf.DUMMYFUNCTION("""COMPUTED_VALUE"""),"145880;INF204KB1S63;-;Nippon India Fixed Horizon Fund XXXX - Series 7 - Direct Plan - Growth Option;12.9418;28-Apr-2022")</f>
        <v>145880;INF204KB1S63;-;Nippon India Fixed Horizon Fund XXXX - Series 7 - Direct Plan - Growth Option;12.9418;28-Apr-2022</v>
      </c>
      <c r="B13479" s="1"/>
    </row>
    <row r="13480">
      <c r="A13480" s="1" t="str">
        <f>IFERROR(__xludf.DUMMYFUNCTION("""COMPUTED_VALUE"""),"145879;INF204KB1S48;-;Nippon India Fixed Horizon Fund XXXX - Series 7 - Growth Option;12.8344;28-Apr-2022")</f>
        <v>145879;INF204KB1S48;-;Nippon India Fixed Horizon Fund XXXX - Series 7 - Growth Option;12.8344;28-Apr-2022</v>
      </c>
      <c r="B13480" s="1"/>
    </row>
    <row r="13481">
      <c r="A13481" s="1" t="str">
        <f>IFERROR(__xludf.DUMMYFUNCTION("""COMPUTED_VALUE"""),"145914;INF204KB1T13;-;NIPPON INDIA FIXED HORIZON FUND - XXXX - SERIES 8 - DIRECT Plan - IDCW Option;13.1698;30-May-2022")</f>
        <v>145914;INF204KB1T13;-;NIPPON INDIA FIXED HORIZON FUND - XXXX - SERIES 8 - DIRECT Plan - IDCW Option;13.1698;30-May-2022</v>
      </c>
      <c r="B13481" s="1"/>
    </row>
    <row r="13482">
      <c r="A13482" s="1" t="str">
        <f>IFERROR(__xludf.DUMMYFUNCTION("""COMPUTED_VALUE"""),"145915;INF204KB1S97;-;NIPPON INDIA FIXED HORIZON FUND - XXXX - SERIES 8 - IDCW Option;12.9422;30-May-2022")</f>
        <v>145915;INF204KB1S97;-;NIPPON INDIA FIXED HORIZON FUND - XXXX - SERIES 8 - IDCW Option;12.9422;30-May-2022</v>
      </c>
      <c r="B13482" s="1"/>
    </row>
    <row r="13483">
      <c r="A13483" s="1" t="str">
        <f>IFERROR(__xludf.DUMMYFUNCTION("""COMPUTED_VALUE"""),"145917;INF204KB1T05;-;Nippon India Fixed Horizon Fund XXXX - Series 8 - Direct Plan - Growth Option;13.1698;30-May-2022")</f>
        <v>145917;INF204KB1T05;-;Nippon India Fixed Horizon Fund XXXX - Series 8 - Direct Plan - Growth Option;13.1698;30-May-2022</v>
      </c>
      <c r="B13483" s="1"/>
    </row>
    <row r="13484">
      <c r="A13484" s="1" t="str">
        <f>IFERROR(__xludf.DUMMYFUNCTION("""COMPUTED_VALUE"""),"145916;INF204KB1S89;-;Nippon India Fixed Horizon Fund XXXX - Series 8 - Growth Option;12.9422;30-May-2022")</f>
        <v>145916;INF204KB1S89;-;Nippon India Fixed Horizon Fund XXXX - Series 8 - Growth Option;12.9422;30-May-2022</v>
      </c>
      <c r="B13484" s="1"/>
    </row>
    <row r="13485">
      <c r="A13485" s="1" t="str">
        <f>IFERROR(__xludf.DUMMYFUNCTION("""COMPUTED_VALUE"""),"139734;INF204KB1BW7;-;Nippon India Fixed Horizon Fund XXXI Series 9 - Direct Plan - Dividend Payout Option;10.0000;30-Sep-2019")</f>
        <v>139734;INF204KB1BW7;-;Nippon India Fixed Horizon Fund XXXI Series 9 - Direct Plan - Dividend Payout Option;10.0000;30-Sep-2019</v>
      </c>
      <c r="B13485" s="1"/>
    </row>
    <row r="13486">
      <c r="A13486" s="1" t="str">
        <f>IFERROR(__xludf.DUMMYFUNCTION("""COMPUTED_VALUE"""),"139735;INF204KB1BV9;-;Nippon India Fixed Horizon Fund XXXI Series 9 - Direct Plan - Growth Option;12.5200;30-Sep-2019")</f>
        <v>139735;INF204KB1BV9;-;Nippon India Fixed Horizon Fund XXXI Series 9 - Direct Plan - Growth Option;12.5200;30-Sep-2019</v>
      </c>
      <c r="B13486" s="1"/>
    </row>
    <row r="13487">
      <c r="A13487" s="1" t="str">
        <f>IFERROR(__xludf.DUMMYFUNCTION("""COMPUTED_VALUE"""),"139736;INF204KB1BU1;-;Nippon India Fixed Horizon Fund XXXI Series 9 - Dividend Payout Option;10.0000;30-Sep-2019")</f>
        <v>139736;INF204KB1BU1;-;Nippon India Fixed Horizon Fund XXXI Series 9 - Dividend Payout Option;10.0000;30-Sep-2019</v>
      </c>
      <c r="B13487" s="1"/>
    </row>
    <row r="13488">
      <c r="A13488" s="1" t="str">
        <f>IFERROR(__xludf.DUMMYFUNCTION("""COMPUTED_VALUE"""),"139733;INF204KB1BT3;-;Nippon India Fixed Horizon Fund XXXI Series 9 - Growth Option;12.3235;30-Sep-2019")</f>
        <v>139733;INF204KB1BT3;-;Nippon India Fixed Horizon Fund XXXI Series 9 - Growth Option;12.3235;30-Sep-2019</v>
      </c>
      <c r="B13488" s="1"/>
    </row>
    <row r="13489">
      <c r="A13489" s="1" t="str">
        <f>IFERROR(__xludf.DUMMYFUNCTION("""COMPUTED_VALUE"""),"139850;INF204KB1DG6;-;Nippon India Fixed Horizon Fund XXXI- Series 13- Direct Plan-Dividend Payout Option;10.0000;22-Oct-2019")</f>
        <v>139850;INF204KB1DG6;-;Nippon India Fixed Horizon Fund XXXI- Series 13- Direct Plan-Dividend Payout Option;10.0000;22-Oct-2019</v>
      </c>
      <c r="B13489" s="1"/>
    </row>
    <row r="13490">
      <c r="A13490" s="1" t="str">
        <f>IFERROR(__xludf.DUMMYFUNCTION("""COMPUTED_VALUE"""),"139851;INF204KB1DF8;-;Nippon India Fixed Horizon Fund XXXI- Series 13- Direct Plan-Growth Option;12.4486;22-Oct-2019")</f>
        <v>139851;INF204KB1DF8;-;Nippon India Fixed Horizon Fund XXXI- Series 13- Direct Plan-Growth Option;12.4486;22-Oct-2019</v>
      </c>
      <c r="B13490" s="1"/>
    </row>
    <row r="13491">
      <c r="A13491" s="1" t="str">
        <f>IFERROR(__xludf.DUMMYFUNCTION("""COMPUTED_VALUE"""),"139849;INF204KB1DE1;-;Nippon India Fixed Horizon Fund XXXI- Series 13- Dividend Payout Option;10.0000;22-Oct-2019")</f>
        <v>139849;INF204KB1DE1;-;Nippon India Fixed Horizon Fund XXXI- Series 13- Dividend Payout Option;10.0000;22-Oct-2019</v>
      </c>
      <c r="B13491" s="1"/>
    </row>
    <row r="13492">
      <c r="A13492" s="1" t="str">
        <f>IFERROR(__xludf.DUMMYFUNCTION("""COMPUTED_VALUE"""),"139852;INF204KB1DD3;-;Nippon India Fixed Horizon Fund XXXI- Series 13- Growth Option;12.3484;22-Oct-2019")</f>
        <v>139852;INF204KB1DD3;-;Nippon India Fixed Horizon Fund XXXI- Series 13- Growth Option;12.3484;22-Oct-2019</v>
      </c>
      <c r="B13492" s="1"/>
    </row>
    <row r="13493">
      <c r="A13493" s="1" t="str">
        <f>IFERROR(__xludf.DUMMYFUNCTION("""COMPUTED_VALUE"""),"139965;INF204KB1EE9;-;Nippon India Fixed Horizon Fund XXXI- Series 15- Direct Plan-Dividend Payout Option;10.0000;17-Aug-2020")</f>
        <v>139965;INF204KB1EE9;-;Nippon India Fixed Horizon Fund XXXI- Series 15- Direct Plan-Dividend Payout Option;10.0000;17-Aug-2020</v>
      </c>
      <c r="B13493" s="1"/>
    </row>
    <row r="13494">
      <c r="A13494" s="1" t="str">
        <f>IFERROR(__xludf.DUMMYFUNCTION("""COMPUTED_VALUE"""),"139964;INF204KB1ED1;-;Nippon India Fixed Horizon Fund XXXI- Series 15- Direct Plan-Growth Option;13.0663;17-Aug-2020")</f>
        <v>139964;INF204KB1ED1;-;Nippon India Fixed Horizon Fund XXXI- Series 15- Direct Plan-Growth Option;13.0663;17-Aug-2020</v>
      </c>
      <c r="B13494" s="1"/>
    </row>
    <row r="13495">
      <c r="A13495" s="1" t="str">
        <f>IFERROR(__xludf.DUMMYFUNCTION("""COMPUTED_VALUE"""),"139966;INF204KB1EC3;-;Nippon India Fixed Horizon Fund XXXI- Series 15- Dividend Payout Option;10.0000;17-Aug-2020")</f>
        <v>139966;INF204KB1EC3;-;Nippon India Fixed Horizon Fund XXXI- Series 15- Dividend Payout Option;10.0000;17-Aug-2020</v>
      </c>
      <c r="B13495" s="1"/>
    </row>
    <row r="13496">
      <c r="A13496" s="1" t="str">
        <f>IFERROR(__xludf.DUMMYFUNCTION("""COMPUTED_VALUE"""),"139963;INF204KB1EB5;-;Nippon India Fixed Horizon Fund XXXI- Series 15-Growth Option;12.9186;17-Aug-2020")</f>
        <v>139963;INF204KB1EB5;-;Nippon India Fixed Horizon Fund XXXI- Series 15-Growth Option;12.9186;17-Aug-2020</v>
      </c>
      <c r="B13496" s="1"/>
    </row>
    <row r="13497">
      <c r="A13497" s="1" t="str">
        <f>IFERROR(__xludf.DUMMYFUNCTION("""COMPUTED_VALUE"""),"139652;INF204KB1BB1;-;Nippon India Fixed Horizon Fund XXXI- Series 8- Direct Plan - Growth Option;13.2895;01-Jul-2020")</f>
        <v>139652;INF204KB1BB1;-;Nippon India Fixed Horizon Fund XXXI- Series 8- Direct Plan - Growth Option;13.2895;01-Jul-2020</v>
      </c>
      <c r="B13497" s="1"/>
    </row>
    <row r="13498">
      <c r="A13498" s="1" t="str">
        <f>IFERROR(__xludf.DUMMYFUNCTION("""COMPUTED_VALUE"""),"139654;INF204KB1BC9;-;Nippon India Fixed Horizon Fund XXXI- Series 8- Direct Plan-Dividend Payout Option;10.0000;01-Jul-2020")</f>
        <v>139654;INF204KB1BC9;-;Nippon India Fixed Horizon Fund XXXI- Series 8- Direct Plan-Dividend Payout Option;10.0000;01-Jul-2020</v>
      </c>
      <c r="B13498" s="1"/>
    </row>
    <row r="13499">
      <c r="A13499" s="1" t="str">
        <f>IFERROR(__xludf.DUMMYFUNCTION("""COMPUTED_VALUE"""),"139653;INF204KB1BA3;-;Nippon India Fixed Horizon Fund XXXI- Series 8- Dividend Payout Option;10.0000;01-Jul-2020")</f>
        <v>139653;INF204KB1BA3;-;Nippon India Fixed Horizon Fund XXXI- Series 8- Dividend Payout Option;10.0000;01-Jul-2020</v>
      </c>
      <c r="B13499" s="1"/>
    </row>
    <row r="13500">
      <c r="A13500" s="1" t="str">
        <f>IFERROR(__xludf.DUMMYFUNCTION("""COMPUTED_VALUE"""),"139651;INF204KB1AZ2;-;Nippon India Fixed Horizon Fund XXXI- Series 8- Growth Option;13.0202;01-Jul-2020")</f>
        <v>139651;INF204KB1AZ2;-;Nippon India Fixed Horizon Fund XXXI- Series 8- Growth Option;13.0202;01-Jul-2020</v>
      </c>
      <c r="B13500" s="1"/>
    </row>
    <row r="13501">
      <c r="A13501" s="1" t="str">
        <f>IFERROR(__xludf.DUMMYFUNCTION("""COMPUTED_VALUE"""),"140155;INF204KB1FP2;-;Nippon India Fixed Horizon Fund XXXII- Series 1- Direct Plan- Dividend Payout Option;10.0000;04-Nov-2020")</f>
        <v>140155;INF204KB1FP2;-;Nippon India Fixed Horizon Fund XXXII- Series 1- Direct Plan- Dividend Payout Option;10.0000;04-Nov-2020</v>
      </c>
      <c r="B13501" s="1"/>
    </row>
    <row r="13502">
      <c r="A13502" s="1" t="str">
        <f>IFERROR(__xludf.DUMMYFUNCTION("""COMPUTED_VALUE"""),"140154;INF204KB1FO5;-;Nippon India Fixed Horizon Fund XXXII- Series 1- Direct Plan-Growth Option;12.6855;04-Nov-2020")</f>
        <v>140154;INF204KB1FO5;-;Nippon India Fixed Horizon Fund XXXII- Series 1- Direct Plan-Growth Option;12.6855;04-Nov-2020</v>
      </c>
      <c r="B13502" s="1"/>
    </row>
    <row r="13503">
      <c r="A13503" s="1" t="str">
        <f>IFERROR(__xludf.DUMMYFUNCTION("""COMPUTED_VALUE"""),"140153;INF204KB1FN7;-;Nippon India Fixed Horizon Fund XXXII- Series 1- Dividend Payout Option;10.0000;04-Nov-2020")</f>
        <v>140153;INF204KB1FN7;-;Nippon India Fixed Horizon Fund XXXII- Series 1- Dividend Payout Option;10.0000;04-Nov-2020</v>
      </c>
      <c r="B13503" s="1"/>
    </row>
    <row r="13504">
      <c r="A13504" s="1" t="str">
        <f>IFERROR(__xludf.DUMMYFUNCTION("""COMPUTED_VALUE"""),"140152;INF204KB1FM9;-;Nippon India Fixed Horizon Fund XXXII- Series 1- Growth Option;12.4934;04-Nov-2020")</f>
        <v>140152;INF204KB1FM9;-;Nippon India Fixed Horizon Fund XXXII- Series 1- Growth Option;12.4934;04-Nov-2020</v>
      </c>
      <c r="B13504" s="1"/>
    </row>
    <row r="13505">
      <c r="A13505" s="1" t="str">
        <f>IFERROR(__xludf.DUMMYFUNCTION("""COMPUTED_VALUE"""),"140601;INF204KB1HL7;-;Nippon India Fixed Horizon Fund XXXII- Series 10- Direct Plan- Dividend Payout Option;10.5548;27-Apr-2020")</f>
        <v>140601;INF204KB1HL7;-;Nippon India Fixed Horizon Fund XXXII- Series 10- Direct Plan- Dividend Payout Option;10.5548;27-Apr-2020</v>
      </c>
      <c r="B13505" s="1"/>
    </row>
    <row r="13506">
      <c r="A13506" s="1" t="str">
        <f>IFERROR(__xludf.DUMMYFUNCTION("""COMPUTED_VALUE"""),"140600;INF204KB1HK9;-;Nippon India Fixed Horizon Fund XXXII- Series 10- Direct Plan- Growth Option;10.5549;27-Apr-2020")</f>
        <v>140600;INF204KB1HK9;-;Nippon India Fixed Horizon Fund XXXII- Series 10- Direct Plan- Growth Option;10.5549;27-Apr-2020</v>
      </c>
      <c r="B13506" s="1"/>
    </row>
    <row r="13507">
      <c r="A13507" s="1" t="str">
        <f>IFERROR(__xludf.DUMMYFUNCTION("""COMPUTED_VALUE"""),"140599;INF204KB1HJ1;-;Nippon India Fixed Horizon Fund XXXII- Series 10- Dividend Payout Option;10.4302;27-Apr-2020")</f>
        <v>140599;INF204KB1HJ1;-;Nippon India Fixed Horizon Fund XXXII- Series 10- Dividend Payout Option;10.4302;27-Apr-2020</v>
      </c>
      <c r="B13507" s="1"/>
    </row>
    <row r="13508">
      <c r="A13508" s="1" t="str">
        <f>IFERROR(__xludf.DUMMYFUNCTION("""COMPUTED_VALUE"""),"140602;INF204KB1HI3;-;Nippon India Fixed Horizon Fund XXXII- Series 10- Growth Option;10.4302;27-Apr-2020")</f>
        <v>140602;INF204KB1HI3;-;Nippon India Fixed Horizon Fund XXXII- Series 10- Growth Option;10.4302;27-Apr-2020</v>
      </c>
      <c r="B13508" s="1"/>
    </row>
    <row r="13509">
      <c r="A13509" s="1" t="str">
        <f>IFERROR(__xludf.DUMMYFUNCTION("""COMPUTED_VALUE"""),"140156;INF204KB1FT4;-;Nippon India Fixed Horizon Fund XXXII- Series 2- Direct Plan- Dividend Payout Option;10.0000;06-Nov-2020")</f>
        <v>140156;INF204KB1FT4;-;Nippon India Fixed Horizon Fund XXXII- Series 2- Direct Plan- Dividend Payout Option;10.0000;06-Nov-2020</v>
      </c>
      <c r="B13509" s="1"/>
    </row>
    <row r="13510">
      <c r="A13510" s="1" t="str">
        <f>IFERROR(__xludf.DUMMYFUNCTION("""COMPUTED_VALUE"""),"140158;INF204KB1FS6;-;Nippon India Fixed Horizon Fund XXXII- Series 2- Direct Plan-Growth Option;12.7182;06-Nov-2020")</f>
        <v>140158;INF204KB1FS6;-;Nippon India Fixed Horizon Fund XXXII- Series 2- Direct Plan-Growth Option;12.7182;06-Nov-2020</v>
      </c>
      <c r="B13510" s="1"/>
    </row>
    <row r="13511">
      <c r="A13511" s="1" t="str">
        <f>IFERROR(__xludf.DUMMYFUNCTION("""COMPUTED_VALUE"""),"140157;INF204KB1FR8;-;Nippon India Fixed Horizon Fund XXXII- Series 2- Dividend Payout Option;10.0000;06-Nov-2020")</f>
        <v>140157;INF204KB1FR8;-;Nippon India Fixed Horizon Fund XXXII- Series 2- Dividend Payout Option;10.0000;06-Nov-2020</v>
      </c>
      <c r="B13511" s="1"/>
    </row>
    <row r="13512">
      <c r="A13512" s="1" t="str">
        <f>IFERROR(__xludf.DUMMYFUNCTION("""COMPUTED_VALUE"""),"140159;INF204KB1FQ0;-;Nippon India Fixed Horizon Fund XXXII- Series 2- Growth Option;12.5536;06-Nov-2020")</f>
        <v>140159;INF204KB1FQ0;-;Nippon India Fixed Horizon Fund XXXII- Series 2- Growth Option;12.5536;06-Nov-2020</v>
      </c>
      <c r="B13512" s="1"/>
    </row>
    <row r="13513">
      <c r="A13513" s="1" t="str">
        <f>IFERROR(__xludf.DUMMYFUNCTION("""COMPUTED_VALUE"""),"140166;INF204KB1GB0;-;Nippon India Fixed Horizon Fund XXXII- Series 4- Direct Plan- Dividend Payout Option;10.0000;19-Oct-2020")</f>
        <v>140166;INF204KB1GB0;-;Nippon India Fixed Horizon Fund XXXII- Series 4- Direct Plan- Dividend Payout Option;10.0000;19-Oct-2020</v>
      </c>
      <c r="B13513" s="1"/>
    </row>
    <row r="13514">
      <c r="A13514" s="1" t="str">
        <f>IFERROR(__xludf.DUMMYFUNCTION("""COMPUTED_VALUE"""),"140167;INF204KB1GA2;-;Nippon India Fixed Horizon Fund XXXII- Series 4- Direct Plan-Growth Option;13.2009;19-Oct-2020")</f>
        <v>140167;INF204KB1GA2;-;Nippon India Fixed Horizon Fund XXXII- Series 4- Direct Plan-Growth Option;13.2009;19-Oct-2020</v>
      </c>
      <c r="B13514" s="1"/>
    </row>
    <row r="13515">
      <c r="A13515" s="1" t="str">
        <f>IFERROR(__xludf.DUMMYFUNCTION("""COMPUTED_VALUE"""),"140165;INF204KB1FZ1;-;Nippon India Fixed Horizon Fund XXXII- Series 4- Dividend Payout Option;10.0000;19-Oct-2020")</f>
        <v>140165;INF204KB1FZ1;-;Nippon India Fixed Horizon Fund XXXII- Series 4- Dividend Payout Option;10.0000;19-Oct-2020</v>
      </c>
      <c r="B13515" s="1"/>
    </row>
    <row r="13516">
      <c r="A13516" s="1" t="str">
        <f>IFERROR(__xludf.DUMMYFUNCTION("""COMPUTED_VALUE"""),"140164;INF204KB1FY4;-;Nippon India Fixed Horizon Fund XXXII- Series 4- Growth Option;13.0669;19-Oct-2020")</f>
        <v>140164;INF204KB1FY4;-;Nippon India Fixed Horizon Fund XXXII- Series 4- Growth Option;13.0669;19-Oct-2020</v>
      </c>
      <c r="B13516" s="1"/>
    </row>
    <row r="13517">
      <c r="A13517" s="1" t="str">
        <f>IFERROR(__xludf.DUMMYFUNCTION("""COMPUTED_VALUE"""),"140428;INF204KB1GJ3;-;Nippon India Fixed Horizon Fund XXXII- Series 5- Direct Plan-Dividend Payout Option;10.0000;19-Aug-2020")</f>
        <v>140428;INF204KB1GJ3;-;Nippon India Fixed Horizon Fund XXXII- Series 5- Direct Plan-Dividend Payout Option;10.0000;19-Aug-2020</v>
      </c>
      <c r="B13517" s="1"/>
    </row>
    <row r="13518">
      <c r="A13518" s="1" t="str">
        <f>IFERROR(__xludf.DUMMYFUNCTION("""COMPUTED_VALUE"""),"140426;INF204KB1GI5;-;Nippon India Fixed Horizon Fund XXXII- Series 5- Direct Plan-Growth Option;12.8698;19-Aug-2020")</f>
        <v>140426;INF204KB1GI5;-;Nippon India Fixed Horizon Fund XXXII- Series 5- Direct Plan-Growth Option;12.8698;19-Aug-2020</v>
      </c>
      <c r="B13518" s="1"/>
    </row>
    <row r="13519">
      <c r="A13519" s="1" t="str">
        <f>IFERROR(__xludf.DUMMYFUNCTION("""COMPUTED_VALUE"""),"140425;INF204KB1GH7;-;Nippon India Fixed Horizon Fund XXXII- Series 5- Dividend Payout Option;10.0000;19-Aug-2020")</f>
        <v>140425;INF204KB1GH7;-;Nippon India Fixed Horizon Fund XXXII- Series 5- Dividend Payout Option;10.0000;19-Aug-2020</v>
      </c>
      <c r="B13519" s="1"/>
    </row>
    <row r="13520">
      <c r="A13520" s="1" t="str">
        <f>IFERROR(__xludf.DUMMYFUNCTION("""COMPUTED_VALUE"""),"140427;INF204KB1GG9;-;Nippon India Fixed Horizon Fund XXXII- Series 5- Growth Option;12.8321;19-Aug-2020")</f>
        <v>140427;INF204KB1GG9;-;Nippon India Fixed Horizon Fund XXXII- Series 5- Growth Option;12.8321;19-Aug-2020</v>
      </c>
      <c r="B13520" s="1"/>
    </row>
    <row r="13521">
      <c r="A13521" s="1" t="str">
        <f>IFERROR(__xludf.DUMMYFUNCTION("""COMPUTED_VALUE"""),"140509;INF204KB1HD4;-;Nippon India Fixed Horizon Fund XXXII- Series 7- Direct Plan-Dividend Payout Option;10.0000;06-Nov-2020")</f>
        <v>140509;INF204KB1HD4;-;Nippon India Fixed Horizon Fund XXXII- Series 7- Direct Plan-Dividend Payout Option;10.0000;06-Nov-2020</v>
      </c>
      <c r="B13521" s="1"/>
    </row>
    <row r="13522">
      <c r="A13522" s="1" t="str">
        <f>IFERROR(__xludf.DUMMYFUNCTION("""COMPUTED_VALUE"""),"140512;INF204KB1HC6;-;Nippon India Fixed Horizon Fund XXXII- Series 7- Direct Plan-Growth Option;12.1896;06-Nov-2020")</f>
        <v>140512;INF204KB1HC6;-;Nippon India Fixed Horizon Fund XXXII- Series 7- Direct Plan-Growth Option;12.1896;06-Nov-2020</v>
      </c>
      <c r="B13522" s="1"/>
    </row>
    <row r="13523">
      <c r="A13523" s="1" t="str">
        <f>IFERROR(__xludf.DUMMYFUNCTION("""COMPUTED_VALUE"""),"140511;INF204KB1HB8;-;Nippon India Fixed Horizon Fund XXXII- Series 7- Dividend Payout Option;10.0000;06-Nov-2020")</f>
        <v>140511;INF204KB1HB8;-;Nippon India Fixed Horizon Fund XXXII- Series 7- Dividend Payout Option;10.0000;06-Nov-2020</v>
      </c>
      <c r="B13523" s="1"/>
    </row>
    <row r="13524">
      <c r="A13524" s="1" t="str">
        <f>IFERROR(__xludf.DUMMYFUNCTION("""COMPUTED_VALUE"""),"140510;INF204KB1HA0;-;Nippon India Fixed Horizon Fund XXXII- Series 7- Growth Option;12.0429;06-Nov-2020")</f>
        <v>140510;INF204KB1HA0;-;Nippon India Fixed Horizon Fund XXXII- Series 7- Growth Option;12.0429;06-Nov-2020</v>
      </c>
      <c r="B13524" s="1"/>
    </row>
    <row r="13525">
      <c r="A13525" s="1" t="str">
        <f>IFERROR(__xludf.DUMMYFUNCTION("""COMPUTED_VALUE"""),"140535;INF204KB1HG7;-;Nippon India Fixed Horizon Fund XXXII- Series 8- Direct Plan-Growth Option;12.7172;17-Aug-2020")</f>
        <v>140535;INF204KB1HG7;-;Nippon India Fixed Horizon Fund XXXII- Series 8- Direct Plan-Growth Option;12.7172;17-Aug-2020</v>
      </c>
      <c r="B13525" s="1"/>
    </row>
    <row r="13526">
      <c r="A13526" s="1" t="str">
        <f>IFERROR(__xludf.DUMMYFUNCTION("""COMPUTED_VALUE"""),"140536;INF204KB1HF9;-;Nippon India Fixed Horizon Fund XXXII- Series 8- Dividend Payout Option;10.0000;17-Aug-2020")</f>
        <v>140536;INF204KB1HF9;-;Nippon India Fixed Horizon Fund XXXII- Series 8- Dividend Payout Option;10.0000;17-Aug-2020</v>
      </c>
      <c r="B13526" s="1"/>
    </row>
    <row r="13527">
      <c r="A13527" s="1" t="str">
        <f>IFERROR(__xludf.DUMMYFUNCTION("""COMPUTED_VALUE"""),"140534;INF204KB1HE2;-;Nippon India Fixed Horizon Fund XXXII- Series 8- Growth Option;12.6946;17-Aug-2020")</f>
        <v>140534;INF204KB1HE2;-;Nippon India Fixed Horizon Fund XXXII- Series 8- Growth Option;12.6946;17-Aug-2020</v>
      </c>
      <c r="B13527" s="1"/>
    </row>
    <row r="13528">
      <c r="A13528" s="1" t="str">
        <f>IFERROR(__xludf.DUMMYFUNCTION("""COMPUTED_VALUE"""),"140561;INF204KB1HP8;-;Nippon India Fixed Horizon Fund - XXXII - Series 9 - Direct Plan - Dividend Payout Option;10.0000;21-Aug-2020")</f>
        <v>140561;INF204KB1HP8;-;Nippon India Fixed Horizon Fund - XXXII - Series 9 - Direct Plan - Dividend Payout Option;10.0000;21-Aug-2020</v>
      </c>
      <c r="B13528" s="1"/>
    </row>
    <row r="13529">
      <c r="A13529" s="1" t="str">
        <f>IFERROR(__xludf.DUMMYFUNCTION("""COMPUTED_VALUE"""),"140560;INF204KB1HO1;-;Nippon India Fixed Horizon Fund - XXXII - Series 9 - Direct Plan - Growth Option;12.7482;21-Aug-2020")</f>
        <v>140560;INF204KB1HO1;-;Nippon India Fixed Horizon Fund - XXXII - Series 9 - Direct Plan - Growth Option;12.7482;21-Aug-2020</v>
      </c>
      <c r="B13529" s="1"/>
    </row>
    <row r="13530">
      <c r="A13530" s="1" t="str">
        <f>IFERROR(__xludf.DUMMYFUNCTION("""COMPUTED_VALUE"""),"140562;INF204KB1HN3;-;Nippon India Fixed Horizon Fund - XXXII - Series 9 - Dividend Payout Option;10.0000;21-Aug-2020")</f>
        <v>140562;INF204KB1HN3;-;Nippon India Fixed Horizon Fund - XXXII - Series 9 - Dividend Payout Option;10.0000;21-Aug-2020</v>
      </c>
      <c r="B13530" s="1"/>
    </row>
    <row r="13531">
      <c r="A13531" s="1" t="str">
        <f>IFERROR(__xludf.DUMMYFUNCTION("""COMPUTED_VALUE"""),"140559;INF204KB1HM5;-;Nippon India Fixed Horizon Fund - XXXII - Series 9 - Growth Option;12.7273;21-Aug-2020")</f>
        <v>140559;INF204KB1HM5;-;Nippon India Fixed Horizon Fund - XXXII - Series 9 - Growth Option;12.7273;21-Aug-2020</v>
      </c>
      <c r="B13531" s="1"/>
    </row>
    <row r="13532">
      <c r="A13532" s="1" t="str">
        <f>IFERROR(__xludf.DUMMYFUNCTION("""COMPUTED_VALUE"""),"140739;INF204KB1IB6;-;Nippon India Fixed Horizon Fund XXXIII- Series 1- Direct Plan- Dividend Payout Option;10.0000;08-Jul-2020")</f>
        <v>140739;INF204KB1IB6;-;Nippon India Fixed Horizon Fund XXXIII- Series 1- Direct Plan- Dividend Payout Option;10.0000;08-Jul-2020</v>
      </c>
      <c r="B13532" s="1"/>
    </row>
    <row r="13533">
      <c r="A13533" s="1" t="str">
        <f>IFERROR(__xludf.DUMMYFUNCTION("""COMPUTED_VALUE"""),"140738;INF204KB1IA8;-;Nippon India Fixed Horizon Fund XXXIII- Series 1- Direct Plan- Growth Option;12.6711;08-Jul-2020")</f>
        <v>140738;INF204KB1IA8;-;Nippon India Fixed Horizon Fund XXXIII- Series 1- Direct Plan- Growth Option;12.6711;08-Jul-2020</v>
      </c>
      <c r="B13533" s="1"/>
    </row>
    <row r="13534">
      <c r="A13534" s="1" t="str">
        <f>IFERROR(__xludf.DUMMYFUNCTION("""COMPUTED_VALUE"""),"140737;INF204KB1HY0;-;Nippon India Fixed Horizon Fund XXXIII- Series 1- Growth Option;12.6489;08-Jul-2020")</f>
        <v>140737;INF204KB1HY0;-;Nippon India Fixed Horizon Fund XXXIII- Series 1- Growth Option;12.6489;08-Jul-2020</v>
      </c>
      <c r="B13534" s="1"/>
    </row>
    <row r="13535">
      <c r="A13535" s="1" t="str">
        <f>IFERROR(__xludf.DUMMYFUNCTION("""COMPUTED_VALUE"""),"141188;INF204KB1KF3;-;Nippon India Fixed Horizon Fund XXXIII- Series 10- Direct Plan - Dividend Payout Option;10.0000;15-Jul-2020")</f>
        <v>141188;INF204KB1KF3;-;Nippon India Fixed Horizon Fund XXXIII- Series 10- Direct Plan - Dividend Payout Option;10.0000;15-Jul-2020</v>
      </c>
      <c r="B13535" s="1"/>
    </row>
    <row r="13536">
      <c r="A13536" s="1" t="str">
        <f>IFERROR(__xludf.DUMMYFUNCTION("""COMPUTED_VALUE"""),"141187;INF204KB1KE6;-;Nippon India Fixed Horizon Fund XXXIII- Series 10- Direct Plan - Growth Option;12.5115;15-Jul-2020")</f>
        <v>141187;INF204KB1KE6;-;Nippon India Fixed Horizon Fund XXXIII- Series 10- Direct Plan - Growth Option;12.5115;15-Jul-2020</v>
      </c>
      <c r="B13536" s="1"/>
    </row>
    <row r="13537">
      <c r="A13537" s="1" t="str">
        <f>IFERROR(__xludf.DUMMYFUNCTION("""COMPUTED_VALUE"""),"141186;INF204KB1KD8;-;Nippon India Fixed Horizon Fund XXXIII- Series 10- Dividend Payout Option;10.0000;15-Jul-2020")</f>
        <v>141186;INF204KB1KD8;-;Nippon India Fixed Horizon Fund XXXIII- Series 10- Dividend Payout Option;10.0000;15-Jul-2020</v>
      </c>
      <c r="B13537" s="1"/>
    </row>
    <row r="13538">
      <c r="A13538" s="1" t="str">
        <f>IFERROR(__xludf.DUMMYFUNCTION("""COMPUTED_VALUE"""),"141185;INF204KB1KC0;-;Nippon India Fixed Horizon Fund XXXIII- Series 10- Growth Option;12.4170;15-Jul-2020")</f>
        <v>141185;INF204KB1KC0;-;Nippon India Fixed Horizon Fund XXXIII- Series 10- Growth Option;12.4170;15-Jul-2020</v>
      </c>
      <c r="B13538" s="1"/>
    </row>
    <row r="13539">
      <c r="A13539" s="1" t="str">
        <f>IFERROR(__xludf.DUMMYFUNCTION("""COMPUTED_VALUE"""),"140741;INF204KB1IF7;-;Nippon India Fixed Horizon Fund XXXIII- Series 2- Direct Plan- Dividend Payout Option;10.0000;22-Oct-2020")</f>
        <v>140741;INF204KB1IF7;-;Nippon India Fixed Horizon Fund XXXIII- Series 2- Direct Plan- Dividend Payout Option;10.0000;22-Oct-2020</v>
      </c>
      <c r="B13539" s="1"/>
    </row>
    <row r="13540">
      <c r="A13540" s="1" t="str">
        <f>IFERROR(__xludf.DUMMYFUNCTION("""COMPUTED_VALUE"""),"140744;INF204KB1IE0;-;Nippon India Fixed Horizon Fund XXXIII- Series 2- Direct Plan- Growth Option;12.0987;22-Oct-2020")</f>
        <v>140744;INF204KB1IE0;-;Nippon India Fixed Horizon Fund XXXIII- Series 2- Direct Plan- Growth Option;12.0987;22-Oct-2020</v>
      </c>
      <c r="B13540" s="1"/>
    </row>
    <row r="13541">
      <c r="A13541" s="1" t="str">
        <f>IFERROR(__xludf.DUMMYFUNCTION("""COMPUTED_VALUE"""),"140743;INF204KB1ID2;-;Nippon India Fixed Horizon Fund XXXIII- Series 2- Dividend Payout Option;10.0000;22-Oct-2020")</f>
        <v>140743;INF204KB1ID2;-;Nippon India Fixed Horizon Fund XXXIII- Series 2- Dividend Payout Option;10.0000;22-Oct-2020</v>
      </c>
      <c r="B13541" s="1"/>
    </row>
    <row r="13542">
      <c r="A13542" s="1" t="str">
        <f>IFERROR(__xludf.DUMMYFUNCTION("""COMPUTED_VALUE"""),"140742;INF204KB1IC4;-;Nippon India Fixed Horizon Fund XXXIII- Series 2- Growth Option;11.9298;22-Oct-2020")</f>
        <v>140742;INF204KB1IC4;-;Nippon India Fixed Horizon Fund XXXIII- Series 2- Growth Option;11.9298;22-Oct-2020</v>
      </c>
      <c r="B13542" s="1"/>
    </row>
    <row r="13543">
      <c r="A13543" s="1" t="str">
        <f>IFERROR(__xludf.DUMMYFUNCTION("""COMPUTED_VALUE"""),"140864;INF204KB1IH3;-;Nippon India Fixed Horizon Fund XXXIII- Series 3 - Dividend Payout Option;10.0000;13-Jul-2020")</f>
        <v>140864;INF204KB1IH3;-;Nippon India Fixed Horizon Fund XXXIII- Series 3 - Dividend Payout Option;10.0000;13-Jul-2020</v>
      </c>
      <c r="B13543" s="1"/>
    </row>
    <row r="13544">
      <c r="A13544" s="1" t="str">
        <f>IFERROR(__xludf.DUMMYFUNCTION("""COMPUTED_VALUE"""),"140863;INF204KB1IG5;-;Nippon India Fixed Horizon Fund XXXIII- Series 3- Growth Option;12.6256;13-Jul-2020")</f>
        <v>140863;INF204KB1IG5;-;Nippon India Fixed Horizon Fund XXXIII- Series 3- Growth Option;12.6256;13-Jul-2020</v>
      </c>
      <c r="B13544" s="1"/>
    </row>
    <row r="13545">
      <c r="A13545" s="1" t="str">
        <f>IFERROR(__xludf.DUMMYFUNCTION("""COMPUTED_VALUE"""),"140865;INF204KB1II1;-;Nippon India Fixed Horizon Fund XXXIII- Series 3-Direct Plan- Growth Option;12.6483;13-Jul-2020")</f>
        <v>140865;INF204KB1II1;-;Nippon India Fixed Horizon Fund XXXIII- Series 3-Direct Plan- Growth Option;12.6483;13-Jul-2020</v>
      </c>
      <c r="B13545" s="1"/>
    </row>
    <row r="13546">
      <c r="A13546" s="1" t="str">
        <f>IFERROR(__xludf.DUMMYFUNCTION("""COMPUTED_VALUE"""),"140917;INF204KB1IU6;-;Nippon India Fixed Horizon Fund XXXIII- Series 4- Direct Plan-Growth Option;12.6602;08-Jul-2020")</f>
        <v>140917;INF204KB1IU6;-;Nippon India Fixed Horizon Fund XXXIII- Series 4- Direct Plan-Growth Option;12.6602;08-Jul-2020</v>
      </c>
      <c r="B13546" s="1"/>
    </row>
    <row r="13547">
      <c r="A13547" s="1" t="str">
        <f>IFERROR(__xludf.DUMMYFUNCTION("""COMPUTED_VALUE"""),"140914;INF204KB1IS0;-;Nippon India Fixed Horizon Fund XXXIII- Series 4- Growth Option;12.6373;08-Jul-2020")</f>
        <v>140914;INF204KB1IS0;-;Nippon India Fixed Horizon Fund XXXIII- Series 4- Growth Option;12.6373;08-Jul-2020</v>
      </c>
      <c r="B13547" s="1"/>
    </row>
    <row r="13548">
      <c r="A13548" s="1" t="str">
        <f>IFERROR(__xludf.DUMMYFUNCTION("""COMPUTED_VALUE"""),"140924;INF204KB1IX0;-;Nippon India Fixed Horizon Fund XXXIII- Series 5- Dividend Payout Option;10.0000;16-Oct-2020")</f>
        <v>140924;INF204KB1IX0;-;Nippon India Fixed Horizon Fund XXXIII- Series 5- Dividend Payout Option;10.0000;16-Oct-2020</v>
      </c>
      <c r="B13548" s="1"/>
    </row>
    <row r="13549">
      <c r="A13549" s="1" t="str">
        <f>IFERROR(__xludf.DUMMYFUNCTION("""COMPUTED_VALUE"""),"140927;INF204KB1IW2;-;Nippon India Fixed Horizon Fund XXXIII- Series 5- Growth Option;12.0198;16-Oct-2020")</f>
        <v>140927;INF204KB1IW2;-;Nippon India Fixed Horizon Fund XXXIII- Series 5- Growth Option;12.0198;16-Oct-2020</v>
      </c>
      <c r="B13549" s="1"/>
    </row>
    <row r="13550">
      <c r="A13550" s="1" t="str">
        <f>IFERROR(__xludf.DUMMYFUNCTION("""COMPUTED_VALUE"""),"140926;INF204KB1IZ5;-;Nippon India Fixed Horizon Fund XXXIII- Series 5-Direct Plan- Dividend Payout Option;10.0000;16-Oct-2020")</f>
        <v>140926;INF204KB1IZ5;-;Nippon India Fixed Horizon Fund XXXIII- Series 5-Direct Plan- Dividend Payout Option;10.0000;16-Oct-2020</v>
      </c>
      <c r="B13550" s="1"/>
    </row>
    <row r="13551">
      <c r="A13551" s="1" t="str">
        <f>IFERROR(__xludf.DUMMYFUNCTION("""COMPUTED_VALUE"""),"140925;INF204KB1IY8;-;Nippon India Fixed Horizon Fund XXXIII- Series 5-Direct Plan- Growth Option;12.1798;16-Oct-2020")</f>
        <v>140925;INF204KB1IY8;-;Nippon India Fixed Horizon Fund XXXIII- Series 5-Direct Plan- Growth Option;12.1798;16-Oct-2020</v>
      </c>
      <c r="B13551" s="1"/>
    </row>
    <row r="13552">
      <c r="A13552" s="1" t="str">
        <f>IFERROR(__xludf.DUMMYFUNCTION("""COMPUTED_VALUE"""),"140977;INF204KB1JD0;-;Nippon India Fixed Horizon Fund XXXIII- Series 6- Direct Plan- Dividend Payout Option;10.0000;08-Jul-2020")</f>
        <v>140977;INF204KB1JD0;-;Nippon India Fixed Horizon Fund XXXIII- Series 6- Direct Plan- Dividend Payout Option;10.0000;08-Jul-2020</v>
      </c>
      <c r="B13552" s="1"/>
    </row>
    <row r="13553">
      <c r="A13553" s="1" t="str">
        <f>IFERROR(__xludf.DUMMYFUNCTION("""COMPUTED_VALUE"""),"140974;INF204KB1JB4;-;Nippon India Fixed Horizon Fund XXXIII- Series 6- Dividend Payout Option;10.0000;08-Jul-2020")</f>
        <v>140974;INF204KB1JB4;-;Nippon India Fixed Horizon Fund XXXIII- Series 6- Dividend Payout Option;10.0000;08-Jul-2020</v>
      </c>
      <c r="B13553" s="1"/>
    </row>
    <row r="13554">
      <c r="A13554" s="1" t="str">
        <f>IFERROR(__xludf.DUMMYFUNCTION("""COMPUTED_VALUE"""),"140975;INF204KB1JA6;-;Nippon India Fixed Horizon Fund XXXIII- Series 6- Growth Option;12.5736;08-Jul-2020")</f>
        <v>140975;INF204KB1JA6;-;Nippon India Fixed Horizon Fund XXXIII- Series 6- Growth Option;12.5736;08-Jul-2020</v>
      </c>
      <c r="B13554" s="1"/>
    </row>
    <row r="13555">
      <c r="A13555" s="1" t="str">
        <f>IFERROR(__xludf.DUMMYFUNCTION("""COMPUTED_VALUE"""),"140976;INF204KB1JC2;-;Nippon India Fixed Horizon Fund XXXIII- Series 6-Direct Plan- Growth Option;12.5991;08-Jul-2020")</f>
        <v>140976;INF204KB1JC2;-;Nippon India Fixed Horizon Fund XXXIII- Series 6-Direct Plan- Growth Option;12.5991;08-Jul-2020</v>
      </c>
      <c r="B13555" s="1"/>
    </row>
    <row r="13556">
      <c r="A13556" s="1" t="str">
        <f>IFERROR(__xludf.DUMMYFUNCTION("""COMPUTED_VALUE"""),"141038;INF204KB1JL3;-;Nippon India Fixed Horizon Fund XXXIII- Series 7- Direct Plan-Dividend Payout Option;10.0000;09-Jul-2020")</f>
        <v>141038;INF204KB1JL3;-;Nippon India Fixed Horizon Fund XXXIII- Series 7- Direct Plan-Dividend Payout Option;10.0000;09-Jul-2020</v>
      </c>
      <c r="B13556" s="1"/>
    </row>
    <row r="13557">
      <c r="A13557" s="1" t="str">
        <f>IFERROR(__xludf.DUMMYFUNCTION("""COMPUTED_VALUE"""),"141036;INF204KB1JK5;-;Nippon India Fixed Horizon Fund XXXIII- Series 7- Direct Plan-Growth Option;12.5697;09-Jul-2020")</f>
        <v>141036;INF204KB1JK5;-;Nippon India Fixed Horizon Fund XXXIII- Series 7- Direct Plan-Growth Option;12.5697;09-Jul-2020</v>
      </c>
      <c r="B13557" s="1"/>
    </row>
    <row r="13558">
      <c r="A13558" s="1" t="str">
        <f>IFERROR(__xludf.DUMMYFUNCTION("""COMPUTED_VALUE"""),"141037;INF204KB1JI9;-;Nippon India Fixed Horizon Fund XXXIII- Series 7- Growth Option;12.5473;09-Jul-2020")</f>
        <v>141037;INF204KB1JI9;-;Nippon India Fixed Horizon Fund XXXIII- Series 7- Growth Option;12.5473;09-Jul-2020</v>
      </c>
      <c r="B13558" s="1"/>
    </row>
    <row r="13559">
      <c r="A13559" s="1" t="str">
        <f>IFERROR(__xludf.DUMMYFUNCTION("""COMPUTED_VALUE"""),"141153;INF204KB1JT6;-;Nippon India Fixed Horizon Fund XXXIII- Series 8- Direct Plan-Dividend Payout Option;10.0000;08-Jul-2020")</f>
        <v>141153;INF204KB1JT6;-;Nippon India Fixed Horizon Fund XXXIII- Series 8- Direct Plan-Dividend Payout Option;10.0000;08-Jul-2020</v>
      </c>
      <c r="B13559" s="1"/>
    </row>
    <row r="13560">
      <c r="A13560" s="1" t="str">
        <f>IFERROR(__xludf.DUMMYFUNCTION("""COMPUTED_VALUE"""),"141152;INF204KB1JR0;-;Nippon India Fixed Horizon Fund XXXIII- Series 8- Dividend Payout Option;10.0000;08-Jul-2020")</f>
        <v>141152;INF204KB1JR0;-;Nippon India Fixed Horizon Fund XXXIII- Series 8- Dividend Payout Option;10.0000;08-Jul-2020</v>
      </c>
      <c r="B13560" s="1"/>
    </row>
    <row r="13561">
      <c r="A13561" s="1" t="str">
        <f>IFERROR(__xludf.DUMMYFUNCTION("""COMPUTED_VALUE"""),"141151;INF204KB1JQ2;-;Nippon India Fixed Horizon Fund XXXIII- Series 8- Growth Option;12.5330;08-Jul-2020")</f>
        <v>141151;INF204KB1JQ2;-;Nippon India Fixed Horizon Fund XXXIII- Series 8- Growth Option;12.5330;08-Jul-2020</v>
      </c>
      <c r="B13561" s="1"/>
    </row>
    <row r="13562">
      <c r="A13562" s="1" t="str">
        <f>IFERROR(__xludf.DUMMYFUNCTION("""COMPUTED_VALUE"""),"141154;INF204KB1JS8;-;Nippon India Fixed Horizon Fund XXXIII- Series 8-Direct Plan- Growth Option;12.5558;08-Jul-2020")</f>
        <v>141154;INF204KB1JS8;-;Nippon India Fixed Horizon Fund XXXIII- Series 8-Direct Plan- Growth Option;12.5558;08-Jul-2020</v>
      </c>
      <c r="B13562" s="1"/>
    </row>
    <row r="13563">
      <c r="A13563" s="1" t="str">
        <f>IFERROR(__xludf.DUMMYFUNCTION("""COMPUTED_VALUE"""),"141180;INF204KB1KB2;-;Nippon India Fixed Horizon Fund XXXIII- Series 9- Direct Plan - Dividend Payout Option;10.0000;20-Oct-2020")</f>
        <v>141180;INF204KB1KB2;-;Nippon India Fixed Horizon Fund XXXIII- Series 9- Direct Plan - Dividend Payout Option;10.0000;20-Oct-2020</v>
      </c>
      <c r="B13563" s="1"/>
    </row>
    <row r="13564">
      <c r="A13564" s="1" t="str">
        <f>IFERROR(__xludf.DUMMYFUNCTION("""COMPUTED_VALUE"""),"141179;INF204KB1KA4;-;Nippon India Fixed Horizon Fund XXXIII- Series 9- Direct Plan - Growth Option;11.8237;20-Oct-2020")</f>
        <v>141179;INF204KB1KA4;-;Nippon India Fixed Horizon Fund XXXIII- Series 9- Direct Plan - Growth Option;11.8237;20-Oct-2020</v>
      </c>
      <c r="B13564" s="1"/>
    </row>
    <row r="13565">
      <c r="A13565" s="1" t="str">
        <f>IFERROR(__xludf.DUMMYFUNCTION("""COMPUTED_VALUE"""),"141178;INF204KB1JZ3;-;Nippon India Fixed Horizon Fund XXXIII- Series 9- Dividend Payout Option;10.0000;20-Oct-2020")</f>
        <v>141178;INF204KB1JZ3;-;Nippon India Fixed Horizon Fund XXXIII- Series 9- Dividend Payout Option;10.0000;20-Oct-2020</v>
      </c>
      <c r="B13565" s="1"/>
    </row>
    <row r="13566">
      <c r="A13566" s="1" t="str">
        <f>IFERROR(__xludf.DUMMYFUNCTION("""COMPUTED_VALUE"""),"141177;INF204KB1JY6;-;Nippon India Fixed Horizon Fund XXXIII- Series 9- Growth Option;11.6782;20-Oct-2020")</f>
        <v>141177;INF204KB1JY6;-;Nippon India Fixed Horizon Fund XXXIII- Series 9- Growth Option;11.6782;20-Oct-2020</v>
      </c>
      <c r="B13566" s="1"/>
    </row>
    <row r="13567">
      <c r="A13567" s="1" t="str">
        <f>IFERROR(__xludf.DUMMYFUNCTION("""COMPUTED_VALUE"""),"141389;INF204KB1NP6;-;Nippon India Fixed Horizon Fund XXXIV- Series 1 - Direct Plan- Dividend Payout Option;10.0000;21-Oct-2020")</f>
        <v>141389;INF204KB1NP6;-;Nippon India Fixed Horizon Fund XXXIV- Series 1 - Direct Plan- Dividend Payout Option;10.0000;21-Oct-2020</v>
      </c>
      <c r="B13567" s="1"/>
    </row>
    <row r="13568">
      <c r="A13568" s="1" t="str">
        <f>IFERROR(__xludf.DUMMYFUNCTION("""COMPUTED_VALUE"""),"141388;INF204KB1NO9;-;Nippon India Fixed Horizon Fund XXXIV- Series 1 - Direct Plan- Growth Option;11.8793;21-Oct-2020")</f>
        <v>141388;INF204KB1NO9;-;Nippon India Fixed Horizon Fund XXXIV- Series 1 - Direct Plan- Growth Option;11.8793;21-Oct-2020</v>
      </c>
      <c r="B13568" s="1"/>
    </row>
    <row r="13569">
      <c r="A13569" s="1" t="str">
        <f>IFERROR(__xludf.DUMMYFUNCTION("""COMPUTED_VALUE"""),"141387;INF204KB1NN1;-;Nippon India Fixed Horizon Fund XXXIV- Series 1 - Dividend Payout Option;10.0000;21-Oct-2020")</f>
        <v>141387;INF204KB1NN1;-;Nippon India Fixed Horizon Fund XXXIV- Series 1 - Dividend Payout Option;10.0000;21-Oct-2020</v>
      </c>
      <c r="B13569" s="1"/>
    </row>
    <row r="13570">
      <c r="A13570" s="1" t="str">
        <f>IFERROR(__xludf.DUMMYFUNCTION("""COMPUTED_VALUE"""),"141386;INF204KB1NM3;-;Nippon India Fixed Horizon Fund XXXIV- Series 1 - Growth Option;11.7435;21-Oct-2020")</f>
        <v>141386;INF204KB1NM3;-;Nippon India Fixed Horizon Fund XXXIV- Series 1 - Growth Option;11.7435;21-Oct-2020</v>
      </c>
      <c r="B13570" s="1"/>
    </row>
    <row r="13571">
      <c r="A13571" s="1" t="str">
        <f>IFERROR(__xludf.DUMMYFUNCTION("""COMPUTED_VALUE"""),"141659;INF204KB1QK0;-;Nippon India Fixed Horizon Fund XXXIV- Series 10- Direct Plan-Dividend Payout Option;10.0000;20-Oct-2020")</f>
        <v>141659;INF204KB1QK0;-;Nippon India Fixed Horizon Fund XXXIV- Series 10- Direct Plan-Dividend Payout Option;10.0000;20-Oct-2020</v>
      </c>
      <c r="B13571" s="1"/>
    </row>
    <row r="13572">
      <c r="A13572" s="1" t="str">
        <f>IFERROR(__xludf.DUMMYFUNCTION("""COMPUTED_VALUE"""),"141658;INF204KB1QJ2;-;Nippon India Fixed Horizon Fund XXXIV- Series 10- Direct Plan-Growth Option;11.5433;20-Oct-2020")</f>
        <v>141658;INF204KB1QJ2;-;Nippon India Fixed Horizon Fund XXXIV- Series 10- Direct Plan-Growth Option;11.5433;20-Oct-2020</v>
      </c>
      <c r="B13572" s="1"/>
    </row>
    <row r="13573">
      <c r="A13573" s="1" t="str">
        <f>IFERROR(__xludf.DUMMYFUNCTION("""COMPUTED_VALUE"""),"141657;INF204KB1QI4;-;Nippon India Fixed Horizon Fund XXXIV- Series 10- Dividend Payout Option;10.0000;20-Oct-2020")</f>
        <v>141657;INF204KB1QI4;-;Nippon India Fixed Horizon Fund XXXIV- Series 10- Dividend Payout Option;10.0000;20-Oct-2020</v>
      </c>
      <c r="B13573" s="1"/>
    </row>
    <row r="13574">
      <c r="A13574" s="1" t="str">
        <f>IFERROR(__xludf.DUMMYFUNCTION("""COMPUTED_VALUE"""),"141660;INF204KB1QH6;-;Nippon India Fixed Horizon Fund XXXIV- Series 10- Growth Option;11.4009;20-Oct-2020")</f>
        <v>141660;INF204KB1QH6;-;Nippon India Fixed Horizon Fund XXXIV- Series 10- Growth Option;11.4009;20-Oct-2020</v>
      </c>
      <c r="B13574" s="1"/>
    </row>
    <row r="13575">
      <c r="A13575" s="1" t="str">
        <f>IFERROR(__xludf.DUMMYFUNCTION("""COMPUTED_VALUE"""),"141393;INF204KB1NT8;-;Nippon India Fixed Horizon Fund XXXIV- Series 2 - Direct Plan- Dividend Payout Option;10.0000;08-Jul-2020")</f>
        <v>141393;INF204KB1NT8;-;Nippon India Fixed Horizon Fund XXXIV- Series 2 - Direct Plan- Dividend Payout Option;10.0000;08-Jul-2020</v>
      </c>
      <c r="B13575" s="1"/>
    </row>
    <row r="13576">
      <c r="A13576" s="1" t="str">
        <f>IFERROR(__xludf.DUMMYFUNCTION("""COMPUTED_VALUE"""),"141392;INF204KB1NS0;-;Nippon India Fixed Horizon Fund XXXIV- Series 2 - Direct Plan- Growth Option;12.4953;08-Jul-2020")</f>
        <v>141392;INF204KB1NS0;-;Nippon India Fixed Horizon Fund XXXIV- Series 2 - Direct Plan- Growth Option;12.4953;08-Jul-2020</v>
      </c>
      <c r="B13576" s="1"/>
    </row>
    <row r="13577">
      <c r="A13577" s="1" t="str">
        <f>IFERROR(__xludf.DUMMYFUNCTION("""COMPUTED_VALUE"""),"141391;INF204KB1NR2;-;Nippon India Fixed Horizon Fund XXXIV- Series 2 - Dividend Payout Option;10.0000;08-Jul-2020")</f>
        <v>141391;INF204KB1NR2;-;Nippon India Fixed Horizon Fund XXXIV- Series 2 - Dividend Payout Option;10.0000;08-Jul-2020</v>
      </c>
      <c r="B13577" s="1"/>
    </row>
    <row r="13578">
      <c r="A13578" s="1" t="str">
        <f>IFERROR(__xludf.DUMMYFUNCTION("""COMPUTED_VALUE"""),"141390;INF204KB1NQ4;-;Nippon India Fixed Horizon Fund XXXIV- Series 2 - Growth Option;12.3201;08-Jul-2020")</f>
        <v>141390;INF204KB1NQ4;-;Nippon India Fixed Horizon Fund XXXIV- Series 2 - Growth Option;12.3201;08-Jul-2020</v>
      </c>
      <c r="B13578" s="1"/>
    </row>
    <row r="13579">
      <c r="A13579" s="1" t="str">
        <f>IFERROR(__xludf.DUMMYFUNCTION("""COMPUTED_VALUE"""),"141433;INF204KB1NV4;-;Nippon India Fixed Horizon Fund XXXIV- Series 3- Direct Plan-Dividend Payout Option;10.0000;08-Jul-2020")</f>
        <v>141433;INF204KB1NV4;-;Nippon India Fixed Horizon Fund XXXIV- Series 3- Direct Plan-Dividend Payout Option;10.0000;08-Jul-2020</v>
      </c>
      <c r="B13579" s="1"/>
    </row>
    <row r="13580">
      <c r="A13580" s="1" t="str">
        <f>IFERROR(__xludf.DUMMYFUNCTION("""COMPUTED_VALUE"""),"141434;INF204KB1NX0;-;Nippon India Fixed Horizon Fund XXXIV- Series 3- Dividend Payout Option;10.0000;08-Jul-2020")</f>
        <v>141434;INF204KB1NX0;-;Nippon India Fixed Horizon Fund XXXIV- Series 3- Dividend Payout Option;10.0000;08-Jul-2020</v>
      </c>
      <c r="B13580" s="1"/>
    </row>
    <row r="13581">
      <c r="A13581" s="1" t="str">
        <f>IFERROR(__xludf.DUMMYFUNCTION("""COMPUTED_VALUE"""),"141435;INF204KB1NW2;-;Nippon India Fixed Horizon Fund XXXIV- Series 3- Growth Option;12.3104;08-Jul-2020")</f>
        <v>141435;INF204KB1NW2;-;Nippon India Fixed Horizon Fund XXXIV- Series 3- Growth Option;12.3104;08-Jul-2020</v>
      </c>
      <c r="B13581" s="1"/>
    </row>
    <row r="13582">
      <c r="A13582" s="1" t="str">
        <f>IFERROR(__xludf.DUMMYFUNCTION("""COMPUTED_VALUE"""),"141432;INF204KB1NU6;-;Nippon India Fixed Horizon Fund XXXIV- Series 3-Direct Plan- Growth Option;12.4918;08-Jul-2020")</f>
        <v>141432;INF204KB1NU6;-;Nippon India Fixed Horizon Fund XXXIV- Series 3-Direct Plan- Growth Option;12.4918;08-Jul-2020</v>
      </c>
      <c r="B13582" s="1"/>
    </row>
    <row r="13583">
      <c r="A13583" s="1" t="str">
        <f>IFERROR(__xludf.DUMMYFUNCTION("""COMPUTED_VALUE"""),"141460;INF204KB1OB4;-;Nippon India Fixed Horizon Fund XXXIV- Series 4- Direct Plan-Dividend Payout Option;10.0000;13-Jul-2020")</f>
        <v>141460;INF204KB1OB4;-;Nippon India Fixed Horizon Fund XXXIV- Series 4- Direct Plan-Dividend Payout Option;10.0000;13-Jul-2020</v>
      </c>
      <c r="B13583" s="1"/>
    </row>
    <row r="13584">
      <c r="A13584" s="1" t="str">
        <f>IFERROR(__xludf.DUMMYFUNCTION("""COMPUTED_VALUE"""),"141458;INF204KB1NZ5;-;Nippon India Fixed Horizon Fund XXXIV- Series 4- Dividend Payout Option;10.0000;13-Jul-2020")</f>
        <v>141458;INF204KB1NZ5;-;Nippon India Fixed Horizon Fund XXXIV- Series 4- Dividend Payout Option;10.0000;13-Jul-2020</v>
      </c>
      <c r="B13584" s="1"/>
    </row>
    <row r="13585">
      <c r="A13585" s="1" t="str">
        <f>IFERROR(__xludf.DUMMYFUNCTION("""COMPUTED_VALUE"""),"141459;INF204KB1NY8;-;Nippon India Fixed Horizon Fund XXXIV- Series 4- Growth Option;12.2879;13-Jul-2020")</f>
        <v>141459;INF204KB1NY8;-;Nippon India Fixed Horizon Fund XXXIV- Series 4- Growth Option;12.2879;13-Jul-2020</v>
      </c>
      <c r="B13585" s="1"/>
    </row>
    <row r="13586">
      <c r="A13586" s="1" t="str">
        <f>IFERROR(__xludf.DUMMYFUNCTION("""COMPUTED_VALUE"""),"141461;INF204KB1OA6;-;Nippon India Fixed Horizon Fund XXXIV- Series 4-Direct Plan- Growth Option;12.4283;13-Jul-2020")</f>
        <v>141461;INF204KB1OA6;-;Nippon India Fixed Horizon Fund XXXIV- Series 4-Direct Plan- Growth Option;12.4283;13-Jul-2020</v>
      </c>
      <c r="B13586" s="1"/>
    </row>
    <row r="13587">
      <c r="A13587" s="1" t="str">
        <f>IFERROR(__xludf.DUMMYFUNCTION("""COMPUTED_VALUE"""),"141518;INF204KB1PL0;-;Nippon India Fixed Horizon Fund XXXIV- Series 6- Direct Plan- Dividend Payout Option;10.0000;20-Oct-2020")</f>
        <v>141518;INF204KB1PL0;-;Nippon India Fixed Horizon Fund XXXIV- Series 6- Direct Plan- Dividend Payout Option;10.0000;20-Oct-2020</v>
      </c>
      <c r="B13587" s="1"/>
    </row>
    <row r="13588">
      <c r="A13588" s="1" t="str">
        <f>IFERROR(__xludf.DUMMYFUNCTION("""COMPUTED_VALUE"""),"141521;INF204KB1PK2;-;Nippon India Fixed Horizon Fund XXXIV- Series 6- Direct Plan-Growth Option;11.7586;20-Oct-2020")</f>
        <v>141521;INF204KB1PK2;-;Nippon India Fixed Horizon Fund XXXIV- Series 6- Direct Plan-Growth Option;11.7586;20-Oct-2020</v>
      </c>
      <c r="B13588" s="1"/>
    </row>
    <row r="13589">
      <c r="A13589" s="1" t="str">
        <f>IFERROR(__xludf.DUMMYFUNCTION("""COMPUTED_VALUE"""),"141519;INF204KB1PJ4;-;Nippon India Fixed Horizon Fund XXXIV- Series 6- Dividend Payout Option;10.0000;20-Oct-2020")</f>
        <v>141519;INF204KB1PJ4;-;Nippon India Fixed Horizon Fund XXXIV- Series 6- Dividend Payout Option;10.0000;20-Oct-2020</v>
      </c>
      <c r="B13589" s="1"/>
    </row>
    <row r="13590">
      <c r="A13590" s="1" t="str">
        <f>IFERROR(__xludf.DUMMYFUNCTION("""COMPUTED_VALUE"""),"141520;INF204KB1PI6;-;Nippon India Fixed Horizon Fund XXXIV- Series 6- Growth Option;11.6083;20-Oct-2020")</f>
        <v>141520;INF204KB1PI6;-;Nippon India Fixed Horizon Fund XXXIV- Series 6- Growth Option;11.6083;20-Oct-2020</v>
      </c>
      <c r="B13590" s="1"/>
    </row>
    <row r="13591">
      <c r="A13591" s="1" t="str">
        <f>IFERROR(__xludf.DUMMYFUNCTION("""COMPUTED_VALUE"""),"141552;INF204KB1PP1;-;Nippon India Fixed Horizon Fund XXXIV- Series 7- Direct Plan- Dividend Payout Option;10.0000;08-Jul-2020")</f>
        <v>141552;INF204KB1PP1;-;Nippon India Fixed Horizon Fund XXXIV- Series 7- Direct Plan- Dividend Payout Option;10.0000;08-Jul-2020</v>
      </c>
      <c r="B13591" s="1"/>
    </row>
    <row r="13592">
      <c r="A13592" s="1" t="str">
        <f>IFERROR(__xludf.DUMMYFUNCTION("""COMPUTED_VALUE"""),"141553;INF204KB1PO4;-;Nippon India Fixed Horizon Fund XXXIV- Series 7- Direct Plan-Growth Option;12.3038;08-Jul-2020")</f>
        <v>141553;INF204KB1PO4;-;Nippon India Fixed Horizon Fund XXXIV- Series 7- Direct Plan-Growth Option;12.3038;08-Jul-2020</v>
      </c>
      <c r="B13592" s="1"/>
    </row>
    <row r="13593">
      <c r="A13593" s="1" t="str">
        <f>IFERROR(__xludf.DUMMYFUNCTION("""COMPUTED_VALUE"""),"141550;INF204KB1PN6;-;Nippon India Fixed Horizon Fund XXXIV- Series 7- Dividend Payout Option;10.0000;08-Jul-2020")</f>
        <v>141550;INF204KB1PN6;-;Nippon India Fixed Horizon Fund XXXIV- Series 7- Dividend Payout Option;10.0000;08-Jul-2020</v>
      </c>
      <c r="B13593" s="1"/>
    </row>
    <row r="13594">
      <c r="A13594" s="1" t="str">
        <f>IFERROR(__xludf.DUMMYFUNCTION("""COMPUTED_VALUE"""),"141551;INF204KB1PM8;-;Nippon India Fixed Horizon Fund XXXIV- Series 7- Growth Option;12.2111;08-Jul-2020")</f>
        <v>141551;INF204KB1PM8;-;Nippon India Fixed Horizon Fund XXXIV- Series 7- Growth Option;12.2111;08-Jul-2020</v>
      </c>
      <c r="B13594" s="1"/>
    </row>
    <row r="13595">
      <c r="A13595" s="1" t="str">
        <f>IFERROR(__xludf.DUMMYFUNCTION("""COMPUTED_VALUE"""),"141613;INF204KB1PT3;-;Nippon India Fixed Horizon Fund XXXIV- Series 8- Direct Plan- Dividend Payout Option;10.0000;20-Oct-2020")</f>
        <v>141613;INF204KB1PT3;-;Nippon India Fixed Horizon Fund XXXIV- Series 8- Direct Plan- Dividend Payout Option;10.0000;20-Oct-2020</v>
      </c>
      <c r="B13595" s="1"/>
    </row>
    <row r="13596">
      <c r="A13596" s="1" t="str">
        <f>IFERROR(__xludf.DUMMYFUNCTION("""COMPUTED_VALUE"""),"141614;INF204KB1PS5;-;Nippon India Fixed Horizon Fund XXXIV- Series 8- Direct Plan-Growth Option;11.5168;20-Oct-2020")</f>
        <v>141614;INF204KB1PS5;-;Nippon India Fixed Horizon Fund XXXIV- Series 8- Direct Plan-Growth Option;11.5168;20-Oct-2020</v>
      </c>
      <c r="B13596" s="1"/>
    </row>
    <row r="13597">
      <c r="A13597" s="1" t="str">
        <f>IFERROR(__xludf.DUMMYFUNCTION("""COMPUTED_VALUE"""),"141611;INF204KB1PR7;-;Nippon India Fixed Horizon Fund XXXIV- Series 8- Dividend Payout Option;10.0000;20-Oct-2020")</f>
        <v>141611;INF204KB1PR7;-;Nippon India Fixed Horizon Fund XXXIV- Series 8- Dividend Payout Option;10.0000;20-Oct-2020</v>
      </c>
      <c r="B13597" s="1"/>
    </row>
    <row r="13598">
      <c r="A13598" s="1" t="str">
        <f>IFERROR(__xludf.DUMMYFUNCTION("""COMPUTED_VALUE"""),"141612;INF204KB1PQ9;-;Nippon India Fixed Horizon Fund XXXIV- Series 8- Growth Option;11.4426;20-Oct-2020")</f>
        <v>141612;INF204KB1PQ9;-;Nippon India Fixed Horizon Fund XXXIV- Series 8- Growth Option;11.4426;20-Oct-2020</v>
      </c>
      <c r="B13598" s="1"/>
    </row>
    <row r="13599">
      <c r="A13599" s="1" t="str">
        <f>IFERROR(__xludf.DUMMYFUNCTION("""COMPUTED_VALUE"""),"141619;INF204KB1QG8;-;Nippon India Fixed Horizon Fund XXXIV - Series 9 - Direct Plan - Dividend Payout Option;10.0000;20-Aug-2020")</f>
        <v>141619;INF204KB1QG8;-;Nippon India Fixed Horizon Fund XXXIV - Series 9 - Direct Plan - Dividend Payout Option;10.0000;20-Aug-2020</v>
      </c>
      <c r="B13599" s="1"/>
    </row>
    <row r="13600">
      <c r="A13600" s="1" t="str">
        <f>IFERROR(__xludf.DUMMYFUNCTION("""COMPUTED_VALUE"""),"141616;INF204KB1QF0;-;Nippon India Fixed Horizon Fund XXXIV - Series 9 - Direct Plan - Growth Option;12.3264;20-Aug-2020")</f>
        <v>141616;INF204KB1QF0;-;Nippon India Fixed Horizon Fund XXXIV - Series 9 - Direct Plan - Growth Option;12.3264;20-Aug-2020</v>
      </c>
      <c r="B13600" s="1"/>
    </row>
    <row r="13601">
      <c r="A13601" s="1" t="str">
        <f>IFERROR(__xludf.DUMMYFUNCTION("""COMPUTED_VALUE"""),"141617;INF204KB1QE3;-;Nippon India Fixed Horizon Fund XXXIV - Series 9 - Dividend Payout Option;10.0000;20-Aug-2020")</f>
        <v>141617;INF204KB1QE3;-;Nippon India Fixed Horizon Fund XXXIV - Series 9 - Dividend Payout Option;10.0000;20-Aug-2020</v>
      </c>
      <c r="B13601" s="1"/>
    </row>
    <row r="13602">
      <c r="A13602" s="1" t="str">
        <f>IFERROR(__xludf.DUMMYFUNCTION("""COMPUTED_VALUE"""),"141618;INF204KB1QD5;-;Nippon India Fixed Horizon Fund XXXIV - Series 9 - Growth Option;12.2859;20-Aug-2020")</f>
        <v>141618;INF204KB1QD5;-;Nippon India Fixed Horizon Fund XXXIV - Series 9 - Growth Option;12.2859;20-Aug-2020</v>
      </c>
      <c r="B13602" s="1"/>
    </row>
    <row r="13603">
      <c r="A13603" s="1" t="str">
        <f>IFERROR(__xludf.DUMMYFUNCTION("""COMPUTED_VALUE"""),"145406;INF204KB1N35;-;NIPPON INDIA FIXED HORIZON FUND - XXXIX - SERIES 14 - DIRECT Plan - IDCW Option;13.1959;29-Apr-2022")</f>
        <v>145406;INF204KB1N35;-;NIPPON INDIA FIXED HORIZON FUND - XXXIX - SERIES 14 - DIRECT Plan - IDCW Option;13.1959;29-Apr-2022</v>
      </c>
      <c r="B13603" s="1"/>
    </row>
    <row r="13604">
      <c r="A13604" s="1" t="str">
        <f>IFERROR(__xludf.DUMMYFUNCTION("""COMPUTED_VALUE"""),"145405;INF204KB1N19;-;NIPPON INDIA FIXED HORIZON FUND - XXXIX - SERIES 14 - IDCW Option;13.0825;29-Apr-2022")</f>
        <v>145405;INF204KB1N19;-;NIPPON INDIA FIXED HORIZON FUND - XXXIX - SERIES 14 - IDCW Option;13.0825;29-Apr-2022</v>
      </c>
      <c r="B13604" s="1"/>
    </row>
    <row r="13605">
      <c r="A13605" s="1" t="str">
        <f>IFERROR(__xludf.DUMMYFUNCTION("""COMPUTED_VALUE"""),"145408;INF204KB1N01;-;Nippon India Fixed Horizon Fund XXXIX -  Series 14 -Growth Option;13.0824;29-Apr-2022")</f>
        <v>145408;INF204KB1N01;-;Nippon India Fixed Horizon Fund XXXIX -  Series 14 -Growth Option;13.0824;29-Apr-2022</v>
      </c>
      <c r="B13605" s="1"/>
    </row>
    <row r="13606">
      <c r="A13606" s="1" t="str">
        <f>IFERROR(__xludf.DUMMYFUNCTION("""COMPUTED_VALUE"""),"145407;INF204KB1N27;-;Nippon India Fixed Horizon Fund XXXIX - Series 14 - Direct Plan - Growth Option;13.1959;29-Apr-2022")</f>
        <v>145407;INF204KB1N27;-;Nippon India Fixed Horizon Fund XXXIX - Series 14 - Direct Plan - Growth Option;13.1959;29-Apr-2022</v>
      </c>
      <c r="B13606" s="1"/>
    </row>
    <row r="13607">
      <c r="A13607" s="1" t="str">
        <f>IFERROR(__xludf.DUMMYFUNCTION("""COMPUTED_VALUE"""),"144693;INF204KB1G59;-;NIPPON INDIA FIXED HORIZON FUND - XXXIX - SERIES 1 - DIRECT Plan - IDCW Option;12.8562;20-Oct-2021")</f>
        <v>144693;INF204KB1G59;-;NIPPON INDIA FIXED HORIZON FUND - XXXIX - SERIES 1 - DIRECT Plan - IDCW Option;12.8562;20-Oct-2021</v>
      </c>
      <c r="B13607" s="1"/>
    </row>
    <row r="13608">
      <c r="A13608" s="1" t="str">
        <f>IFERROR(__xludf.DUMMYFUNCTION("""COMPUTED_VALUE"""),"144695;INF204KB1G34;-;NIPPON INDIA FIXED HORIZON FUND - XXXIX - SERIES 1 - IDCW Option;12.7556;20-Oct-2021")</f>
        <v>144695;INF204KB1G34;-;NIPPON INDIA FIXED HORIZON FUND - XXXIX - SERIES 1 - IDCW Option;12.7556;20-Oct-2021</v>
      </c>
      <c r="B13608" s="1"/>
    </row>
    <row r="13609">
      <c r="A13609" s="1" t="str">
        <f>IFERROR(__xludf.DUMMYFUNCTION("""COMPUTED_VALUE"""),"144692;INF204KB1G42;-;Nippon India Fixed Horizon Fund XXXIX- Series 1- Direct Plan- Growth Option;12.8562;20-Oct-2021")</f>
        <v>144692;INF204KB1G42;-;Nippon India Fixed Horizon Fund XXXIX- Series 1- Direct Plan- Growth Option;12.8562;20-Oct-2021</v>
      </c>
      <c r="B13609" s="1"/>
    </row>
    <row r="13610">
      <c r="A13610" s="1" t="str">
        <f>IFERROR(__xludf.DUMMYFUNCTION("""COMPUTED_VALUE"""),"144694;INF204KB1G26;-;Nippon India Fixed Horizon Fund XXXIX- Series 1- Growth Plan;12.7556;20-Oct-2021")</f>
        <v>144694;INF204KB1G26;-;Nippon India Fixed Horizon Fund XXXIX- Series 1- Growth Plan;12.7556;20-Oct-2021</v>
      </c>
      <c r="B13610" s="1"/>
    </row>
    <row r="13611">
      <c r="A13611" s="1" t="str">
        <f>IFERROR(__xludf.DUMMYFUNCTION("""COMPUTED_VALUE"""),"145178;INF204KB1L78;-;NIPPON INDIA FIXED HORIZON FUND - XXXIX - SERIES 11 - DIRECT Plan - IDCW Option;13.1885;30-May-2022")</f>
        <v>145178;INF204KB1L78;-;NIPPON INDIA FIXED HORIZON FUND - XXXIX - SERIES 11 - DIRECT Plan - IDCW Option;13.1885;30-May-2022</v>
      </c>
      <c r="B13611" s="1"/>
    </row>
    <row r="13612">
      <c r="A13612" s="1" t="str">
        <f>IFERROR(__xludf.DUMMYFUNCTION("""COMPUTED_VALUE"""),"145180;INF204KB1L52;-;NIPPON INDIA FIXED HORIZON FUND - XXXIX - SERIES 11 - IDCW Option;12.9534;30-May-2022")</f>
        <v>145180;INF204KB1L52;-;NIPPON INDIA FIXED HORIZON FUND - XXXIX - SERIES 11 - IDCW Option;12.9534;30-May-2022</v>
      </c>
      <c r="B13612" s="1"/>
    </row>
    <row r="13613">
      <c r="A13613" s="1" t="str">
        <f>IFERROR(__xludf.DUMMYFUNCTION("""COMPUTED_VALUE"""),"145177;INF204KB1L60;-;Nippon India Fixed Horizon Fund XXXIX- Series 11- Direct Plan- Growth Option;13.1885;30-May-2022")</f>
        <v>145177;INF204KB1L60;-;Nippon India Fixed Horizon Fund XXXIX- Series 11- Direct Plan- Growth Option;13.1885;30-May-2022</v>
      </c>
      <c r="B13613" s="1"/>
    </row>
    <row r="13614">
      <c r="A13614" s="1" t="str">
        <f>IFERROR(__xludf.DUMMYFUNCTION("""COMPUTED_VALUE"""),"145179;INF204KB1L45;-;Nippon India Fixed Horizon Fund XXXIX- Series 11- Growth Option;12.9534;30-May-2022")</f>
        <v>145179;INF204KB1L45;-;Nippon India Fixed Horizon Fund XXXIX- Series 11- Growth Option;12.9534;30-May-2022</v>
      </c>
      <c r="B13614" s="1"/>
    </row>
    <row r="13615">
      <c r="A13615" s="1" t="str">
        <f>IFERROR(__xludf.DUMMYFUNCTION("""COMPUTED_VALUE"""),"144771;INF204KB1H74;-;NIPPON INDIA FIXED HORIZON FUND - XXXIX - SERIES 2 - DIRECT Plan - IDCW Option;13.4753;28-Apr-2022")</f>
        <v>144771;INF204KB1H74;-;NIPPON INDIA FIXED HORIZON FUND - XXXIX - SERIES 2 - DIRECT Plan - IDCW Option;13.4753;28-Apr-2022</v>
      </c>
      <c r="B13615" s="1"/>
    </row>
    <row r="13616">
      <c r="A13616" s="1" t="str">
        <f>IFERROR(__xludf.DUMMYFUNCTION("""COMPUTED_VALUE"""),"144772;INF204KB1H58;-;NIPPON INDIA FIXED HORIZON FUND - XXXIX - SERIES 2 - IDCW Option;13.3703;28-Apr-2022")</f>
        <v>144772;INF204KB1H58;-;NIPPON INDIA FIXED HORIZON FUND - XXXIX - SERIES 2 - IDCW Option;13.3703;28-Apr-2022</v>
      </c>
      <c r="B13616" s="1"/>
    </row>
    <row r="13617">
      <c r="A13617" s="1" t="str">
        <f>IFERROR(__xludf.DUMMYFUNCTION("""COMPUTED_VALUE"""),"144770;INF204KB1H66;-;Nippon India Fixed Horizon Fund XXXIX- Series 2- Direct Plan- Growth Option;13.4753;28-Apr-2022")</f>
        <v>144770;INF204KB1H66;-;Nippon India Fixed Horizon Fund XXXIX- Series 2- Direct Plan- Growth Option;13.4753;28-Apr-2022</v>
      </c>
      <c r="B13617" s="1"/>
    </row>
    <row r="13618">
      <c r="A13618" s="1" t="str">
        <f>IFERROR(__xludf.DUMMYFUNCTION("""COMPUTED_VALUE"""),"144769;INF204KB1H41;-;Nippon India Fixed Horizon Fund XXXIX- Series 2- Growth Option;13.3703;28-Apr-2022")</f>
        <v>144769;INF204KB1H41;-;Nippon India Fixed Horizon Fund XXXIX- Series 2- Growth Option;13.3703;28-Apr-2022</v>
      </c>
      <c r="B13618" s="1"/>
    </row>
    <row r="13619">
      <c r="A13619" s="1" t="str">
        <f>IFERROR(__xludf.DUMMYFUNCTION("""COMPUTED_VALUE"""),"144898;INF204KB1I99;-;NIPPON INDIA FIXED HORIZON FUND - XXXIX - SERIES 4 - DIRECT Plan - IDCW Option;13.5281;29-Apr-2022")</f>
        <v>144898;INF204KB1I99;-;NIPPON INDIA FIXED HORIZON FUND - XXXIX - SERIES 4 - DIRECT Plan - IDCW Option;13.5281;29-Apr-2022</v>
      </c>
      <c r="B13619" s="1"/>
    </row>
    <row r="13620">
      <c r="A13620" s="1" t="str">
        <f>IFERROR(__xludf.DUMMYFUNCTION("""COMPUTED_VALUE"""),"144901;INF204KB1I73;-;NIPPON INDIA FIXED HORIZON FUND - XXXIX - SERIES 4 - IDCW Option;13.4061;29-Apr-2022")</f>
        <v>144901;INF204KB1I73;-;NIPPON INDIA FIXED HORIZON FUND - XXXIX - SERIES 4 - IDCW Option;13.4061;29-Apr-2022</v>
      </c>
      <c r="B13620" s="1"/>
    </row>
    <row r="13621">
      <c r="A13621" s="1" t="str">
        <f>IFERROR(__xludf.DUMMYFUNCTION("""COMPUTED_VALUE"""),"144899;INF204KB1I81;-;Nippon India Fixed Horizon Fund XXXIX- Series 4- Direct Plan- Growth Option;13.5281;29-Apr-2022")</f>
        <v>144899;INF204KB1I81;-;Nippon India Fixed Horizon Fund XXXIX- Series 4- Direct Plan- Growth Option;13.5281;29-Apr-2022</v>
      </c>
      <c r="B13621" s="1"/>
    </row>
    <row r="13622">
      <c r="A13622" s="1" t="str">
        <f>IFERROR(__xludf.DUMMYFUNCTION("""COMPUTED_VALUE"""),"144900;INF204KB1I65;-;Nippon India Fixed Horizon Fund XXXIX- Series 4- Growth Option;13.4061;29-Apr-2022")</f>
        <v>144900;INF204KB1I65;-;Nippon India Fixed Horizon Fund XXXIX- Series 4- Growth Option;13.4061;29-Apr-2022</v>
      </c>
      <c r="B13622" s="1"/>
    </row>
    <row r="13623">
      <c r="A13623" s="1" t="str">
        <f>IFERROR(__xludf.DUMMYFUNCTION("""COMPUTED_VALUE"""),"144911;INF204KB1J31;-;NIPPON INDIA FIXED HORIZON FUND - XXXIX - SERIES 5 - DIRECT Plan - IDCW Option;13.3206;31-May-2022")</f>
        <v>144911;INF204KB1J31;-;NIPPON INDIA FIXED HORIZON FUND - XXXIX - SERIES 5 - DIRECT Plan - IDCW Option;13.3206;31-May-2022</v>
      </c>
      <c r="B13623" s="1"/>
    </row>
    <row r="13624">
      <c r="A13624" s="1" t="str">
        <f>IFERROR(__xludf.DUMMYFUNCTION("""COMPUTED_VALUE"""),"144909;INF204KB1J15;-;NIPPON INDIA FIXED HORIZON FUND - XXXIX - SERIES 5 - IDCW Option;13.1742;31-May-2022")</f>
        <v>144909;INF204KB1J15;-;NIPPON INDIA FIXED HORIZON FUND - XXXIX - SERIES 5 - IDCW Option;13.1742;31-May-2022</v>
      </c>
      <c r="B13624" s="1"/>
    </row>
    <row r="13625">
      <c r="A13625" s="1" t="str">
        <f>IFERROR(__xludf.DUMMYFUNCTION("""COMPUTED_VALUE"""),"144910;INF204KB1J23;-;Nippon India Fixed Horizon Fund XXXIX- Series 5- Direct Plan- Growth Option;13.3206;31-May-2022")</f>
        <v>144910;INF204KB1J23;-;Nippon India Fixed Horizon Fund XXXIX- Series 5- Direct Plan- Growth Option;13.3206;31-May-2022</v>
      </c>
      <c r="B13625" s="1"/>
    </row>
    <row r="13626">
      <c r="A13626" s="1" t="str">
        <f>IFERROR(__xludf.DUMMYFUNCTION("""COMPUTED_VALUE"""),"144908;INF204KB1J07;-;Nippon India Fixed Horizon Fund XXXIX- Series 5- Growth Option;13.1742;31-May-2022")</f>
        <v>144908;INF204KB1J07;-;Nippon India Fixed Horizon Fund XXXIX- Series 5- Growth Option;13.1742;31-May-2022</v>
      </c>
      <c r="B13626" s="1"/>
    </row>
    <row r="13627">
      <c r="A13627" s="1" t="str">
        <f>IFERROR(__xludf.DUMMYFUNCTION("""COMPUTED_VALUE"""),"144934;INF204KB1J64;-;Nippon India Fixed Horizon Fund XXXIX- Series 6- Direct Plan- Growth Option;13.4608;29-Apr-2022")</f>
        <v>144934;INF204KB1J64;-;Nippon India Fixed Horizon Fund XXXIX- Series 6- Direct Plan- Growth Option;13.4608;29-Apr-2022</v>
      </c>
      <c r="B13627" s="1"/>
    </row>
    <row r="13628">
      <c r="A13628" s="1" t="str">
        <f>IFERROR(__xludf.DUMMYFUNCTION("""COMPUTED_VALUE"""),"144933;INF204KB1J49;-;Nippon India Fixed Horizon Fund XXXIX- Series 6- Growth Plan;13.3562;29-Apr-2022")</f>
        <v>144933;INF204KB1J49;-;Nippon India Fixed Horizon Fund XXXIX- Series 6- Growth Plan;13.3562;29-Apr-2022</v>
      </c>
      <c r="B13628" s="1"/>
    </row>
    <row r="13629">
      <c r="A13629" s="1" t="str">
        <f>IFERROR(__xludf.DUMMYFUNCTION("""COMPUTED_VALUE"""),"145033;INF204KB1K53;-;NIPPON INDIA FIXED HORIZON FUND - XXXIX - SERIES 8 - DIRECT Plan - IDCW Option;13.3926;05-May-2022")</f>
        <v>145033;INF204KB1K53;-;NIPPON INDIA FIXED HORIZON FUND - XXXIX - SERIES 8 - DIRECT Plan - IDCW Option;13.3926;05-May-2022</v>
      </c>
      <c r="B13629" s="1"/>
    </row>
    <row r="13630">
      <c r="A13630" s="1" t="str">
        <f>IFERROR(__xludf.DUMMYFUNCTION("""COMPUTED_VALUE"""),"145030;INF204KB1K38;-;NIPPON INDIA FIXED HORIZON FUND - XXXIX - SERIES 8 - IDCW Option;13.2731;05-May-2022")</f>
        <v>145030;INF204KB1K38;-;NIPPON INDIA FIXED HORIZON FUND - XXXIX - SERIES 8 - IDCW Option;13.2731;05-May-2022</v>
      </c>
      <c r="B13630" s="1"/>
    </row>
    <row r="13631">
      <c r="A13631" s="1" t="str">
        <f>IFERROR(__xludf.DUMMYFUNCTION("""COMPUTED_VALUE"""),"145031;INF204KB1K46;-;Nippon India Fixed Horizon Fund XXXIX- Series 8- Direct Plan- Growth Option;13.3926;05-May-2022")</f>
        <v>145031;INF204KB1K46;-;Nippon India Fixed Horizon Fund XXXIX- Series 8- Direct Plan- Growth Option;13.3926;05-May-2022</v>
      </c>
      <c r="B13631" s="1"/>
    </row>
    <row r="13632">
      <c r="A13632" s="1" t="str">
        <f>IFERROR(__xludf.DUMMYFUNCTION("""COMPUTED_VALUE"""),"145032;INF204KB1K20;-;Nippon India Fixed Horizon Fund XXXIX- Series 8- Growth Option;13.2731;05-May-2022")</f>
        <v>145032;INF204KB1K20;-;Nippon India Fixed Horizon Fund XXXIX- Series 8- Growth Option;13.2731;05-May-2022</v>
      </c>
      <c r="B13632" s="1"/>
    </row>
    <row r="13633">
      <c r="A13633" s="1" t="str">
        <f>IFERROR(__xludf.DUMMYFUNCTION("""COMPUTED_VALUE"""),"145142;INF204KB1K95;-;NIPPON INDIA FIXED HORIZON FUND - XXXIX - SERIES 9 - DIRECT Plan - IDCW Option;13.3334;10-May-2022")</f>
        <v>145142;INF204KB1K95;-;NIPPON INDIA FIXED HORIZON FUND - XXXIX - SERIES 9 - DIRECT Plan - IDCW Option;13.3334;10-May-2022</v>
      </c>
      <c r="B13633" s="1"/>
    </row>
    <row r="13634">
      <c r="A13634" s="1" t="str">
        <f>IFERROR(__xludf.DUMMYFUNCTION("""COMPUTED_VALUE"""),"145144;INF204KB1K79;-;NIPPON INDIA FIXED HORIZON FUND - XXXIX - SERIES 9 - IDCW Option;13.2156;10-May-2022")</f>
        <v>145144;INF204KB1K79;-;NIPPON INDIA FIXED HORIZON FUND - XXXIX - SERIES 9 - IDCW Option;13.2156;10-May-2022</v>
      </c>
      <c r="B13634" s="1"/>
    </row>
    <row r="13635">
      <c r="A13635" s="1" t="str">
        <f>IFERROR(__xludf.DUMMYFUNCTION("""COMPUTED_VALUE"""),"145141;INF204KB1K87;-;Nippon India Fixed Horizon Fund XXXIX- Series 9- Direct Plan- Growth Option;13.3334;10-May-2022")</f>
        <v>145141;INF204KB1K87;-;Nippon India Fixed Horizon Fund XXXIX- Series 9- Direct Plan- Growth Option;13.3334;10-May-2022</v>
      </c>
      <c r="B13635" s="1"/>
    </row>
    <row r="13636">
      <c r="A13636" s="1" t="str">
        <f>IFERROR(__xludf.DUMMYFUNCTION("""COMPUTED_VALUE"""),"145143;INF204KB1K61;-;Nippon India Fixed Horizon Fund XXXIX- Series 9- Growth Option;13.2156;10-May-2022")</f>
        <v>145143;INF204KB1K61;-;Nippon India Fixed Horizon Fund XXXIX- Series 9- Growth Option;13.2156;10-May-2022</v>
      </c>
      <c r="B13636" s="1"/>
    </row>
    <row r="13637">
      <c r="A13637" s="1" t="str">
        <f>IFERROR(__xludf.DUMMYFUNCTION("""COMPUTED_VALUE"""),"142023;INF204KB1SX9;-;NIPPON INDIA FIXED HORIZON FUND - XXXV - SERIES 11 - DIRECT Plan - IDCW Option;10.0000;10-May-2021")</f>
        <v>142023;INF204KB1SX9;-;NIPPON INDIA FIXED HORIZON FUND - XXXV - SERIES 11 - DIRECT Plan - IDCW Option;10.0000;10-May-2021</v>
      </c>
      <c r="B13637" s="1"/>
    </row>
    <row r="13638">
      <c r="A13638" s="1" t="str">
        <f>IFERROR(__xludf.DUMMYFUNCTION("""COMPUTED_VALUE"""),"142024;INF204KB1SV3;-;NIPPON INDIA FIXED HORIZON FUND - XXXV - SERIES 11 - IDCW Option;10.0000;10-May-2021")</f>
        <v>142024;INF204KB1SV3;-;NIPPON INDIA FIXED HORIZON FUND - XXXV - SERIES 11 - IDCW Option;10.0000;10-May-2021</v>
      </c>
      <c r="B13638" s="1"/>
    </row>
    <row r="13639">
      <c r="A13639" s="1" t="str">
        <f>IFERROR(__xludf.DUMMYFUNCTION("""COMPUTED_VALUE"""),"142022;INF204KB1SW1;-;Nippon India Fixed Horizon Fund XXXV- Series 11- Direct Plan-Growth Option;12.7358;10-May-2021")</f>
        <v>142022;INF204KB1SW1;-;Nippon India Fixed Horizon Fund XXXV- Series 11- Direct Plan-Growth Option;12.7358;10-May-2021</v>
      </c>
      <c r="B13639" s="1"/>
    </row>
    <row r="13640">
      <c r="A13640" s="1" t="str">
        <f>IFERROR(__xludf.DUMMYFUNCTION("""COMPUTED_VALUE"""),"142021;INF204KB1SU5;-;Nippon India Fixed Horizon Fund XXXV- Series 11- Growth Option;12.6992;10-May-2021")</f>
        <v>142021;INF204KB1SU5;-;Nippon India Fixed Horizon Fund XXXV- Series 11- Growth Option;12.6992;10-May-2021</v>
      </c>
      <c r="B13640" s="1"/>
    </row>
    <row r="13641">
      <c r="A13641" s="1" t="str">
        <f>IFERROR(__xludf.DUMMYFUNCTION("""COMPUTED_VALUE"""),"142118;INF204KB1TB3;-;NIPPON INDIA FIXED HORIZON FUND - XXXV - SERIES 12 - DIRECT Plan - IDCW Option;10.0000;10-May-2021")</f>
        <v>142118;INF204KB1TB3;-;NIPPON INDIA FIXED HORIZON FUND - XXXV - SERIES 12 - DIRECT Plan - IDCW Option;10.0000;10-May-2021</v>
      </c>
      <c r="B13641" s="1"/>
    </row>
    <row r="13642">
      <c r="A13642" s="1" t="str">
        <f>IFERROR(__xludf.DUMMYFUNCTION("""COMPUTED_VALUE"""),"142117;INF204KB1TA5;-;Nippon India Fixed Horizon Fund XXXV- Series 12- Direct Plan-Growth Option;12.7465;10-May-2021")</f>
        <v>142117;INF204KB1TA5;-;Nippon India Fixed Horizon Fund XXXV- Series 12- Direct Plan-Growth Option;12.7465;10-May-2021</v>
      </c>
      <c r="B13642" s="1"/>
    </row>
    <row r="13643">
      <c r="A13643" s="1" t="str">
        <f>IFERROR(__xludf.DUMMYFUNCTION("""COMPUTED_VALUE"""),"142120;INF204KB1SY7;-;Nippon India Fixed Horizon Fund XXXV- Series 12- Growth Option;12.7085;10-May-2021")</f>
        <v>142120;INF204KB1SY7;-;Nippon India Fixed Horizon Fund XXXV- Series 12- Growth Option;12.7085;10-May-2021</v>
      </c>
      <c r="B13643" s="1"/>
    </row>
    <row r="13644">
      <c r="A13644" s="1" t="str">
        <f>IFERROR(__xludf.DUMMYFUNCTION("""COMPUTED_VALUE"""),"142124;INF204KB1TF4;-;NIPPON INDIA FIXED HORIZON FUND - XXXV - SERIES 13 - DIRECT Plan - IDCW Option;10.0000;10-May-2021")</f>
        <v>142124;INF204KB1TF4;-;NIPPON INDIA FIXED HORIZON FUND - XXXV - SERIES 13 - DIRECT Plan - IDCW Option;10.0000;10-May-2021</v>
      </c>
      <c r="B13644" s="1"/>
    </row>
    <row r="13645">
      <c r="A13645" s="1" t="str">
        <f>IFERROR(__xludf.DUMMYFUNCTION("""COMPUTED_VALUE"""),"142121;INF204KB1TD9;-;NIPPON INDIA FIXED HORIZON FUND - XXXV - SERIES 13 - IDCW Option;10.0000;10-May-2021")</f>
        <v>142121;INF204KB1TD9;-;NIPPON INDIA FIXED HORIZON FUND - XXXV - SERIES 13 - IDCW Option;10.0000;10-May-2021</v>
      </c>
      <c r="B13645" s="1"/>
    </row>
    <row r="13646">
      <c r="A13646" s="1" t="str">
        <f>IFERROR(__xludf.DUMMYFUNCTION("""COMPUTED_VALUE"""),"142123;INF204KB1TE7;-;Nippon India Fixed Horizon Fund XXXV- Series 13- Direct Plan-Growth Option;12.7233;10-May-2021")</f>
        <v>142123;INF204KB1TE7;-;Nippon India Fixed Horizon Fund XXXV- Series 13- Direct Plan-Growth Option;12.7233;10-May-2021</v>
      </c>
      <c r="B13646" s="1"/>
    </row>
    <row r="13647">
      <c r="A13647" s="1" t="str">
        <f>IFERROR(__xludf.DUMMYFUNCTION("""COMPUTED_VALUE"""),"142122;INF204KB1TC1;-;Nippon India Fixed Horizon Fund XXXV- Series 13- Growth Option;12.6875;10-May-2021")</f>
        <v>142122;INF204KB1TC1;-;Nippon India Fixed Horizon Fund XXXV- Series 13- Growth Option;12.6875;10-May-2021</v>
      </c>
      <c r="B13647" s="1"/>
    </row>
    <row r="13648">
      <c r="A13648" s="1" t="str">
        <f>IFERROR(__xludf.DUMMYFUNCTION("""COMPUTED_VALUE"""),"142184;INF204KB1TR9;-;NIPPON INDIA FIXED HORIZON FUND - XXXV - SERIES 14 - DIRECT Plan - IDCW Option;10.0000;10-May-2021")</f>
        <v>142184;INF204KB1TR9;-;NIPPON INDIA FIXED HORIZON FUND - XXXV - SERIES 14 - DIRECT Plan - IDCW Option;10.0000;10-May-2021</v>
      </c>
      <c r="B13648" s="1"/>
    </row>
    <row r="13649">
      <c r="A13649" s="1" t="str">
        <f>IFERROR(__xludf.DUMMYFUNCTION("""COMPUTED_VALUE"""),"142182;INF204KB1TP3;-;NIPPON INDIA FIXED HORIZON FUND - XXXV - SERIES 14 - IDCW Option;10.0000;10-May-2021")</f>
        <v>142182;INF204KB1TP3;-;NIPPON INDIA FIXED HORIZON FUND - XXXV - SERIES 14 - IDCW Option;10.0000;10-May-2021</v>
      </c>
      <c r="B13649" s="1"/>
    </row>
    <row r="13650">
      <c r="A13650" s="1" t="str">
        <f>IFERROR(__xludf.DUMMYFUNCTION("""COMPUTED_VALUE"""),"142183;INF204KB1TQ1;-;Nippon India Fixed Horizon Fund XXXV- Series 14- Direct Plan-Growth Option;12.7242;10-May-2021")</f>
        <v>142183;INF204KB1TQ1;-;Nippon India Fixed Horizon Fund XXXV- Series 14- Direct Plan-Growth Option;12.7242;10-May-2021</v>
      </c>
      <c r="B13650" s="1"/>
    </row>
    <row r="13651">
      <c r="A13651" s="1" t="str">
        <f>IFERROR(__xludf.DUMMYFUNCTION("""COMPUTED_VALUE"""),"142181;INF204KB1TO6;-;Nippon India Fixed Horizon Fund XXXV- Series 14- Growth Option;12.6864;10-May-2021")</f>
        <v>142181;INF204KB1TO6;-;Nippon India Fixed Horizon Fund XXXV- Series 14- Growth Option;12.6864;10-May-2021</v>
      </c>
      <c r="B13651" s="1"/>
    </row>
    <row r="13652">
      <c r="A13652" s="1" t="str">
        <f>IFERROR(__xludf.DUMMYFUNCTION("""COMPUTED_VALUE"""),"142194;INF204KB1TV1;-;NIPPON INDIA FIXED HORIZON FUND - XXXV - SERIES 15 - DIRECT Plan - IDCW Option;10.0000;10-May-2021")</f>
        <v>142194;INF204KB1TV1;-;NIPPON INDIA FIXED HORIZON FUND - XXXV - SERIES 15 - DIRECT Plan - IDCW Option;10.0000;10-May-2021</v>
      </c>
      <c r="B13652" s="1"/>
    </row>
    <row r="13653">
      <c r="A13653" s="1" t="str">
        <f>IFERROR(__xludf.DUMMYFUNCTION("""COMPUTED_VALUE"""),"142191;INF204KB1TT5;-;NIPPON INDIA FIXED HORIZON FUND - XXXV - SERIES 15 - IDCW Option;10.0000;10-May-2021")</f>
        <v>142191;INF204KB1TT5;-;NIPPON INDIA FIXED HORIZON FUND - XXXV - SERIES 15 - IDCW Option;10.0000;10-May-2021</v>
      </c>
      <c r="B13653" s="1"/>
    </row>
    <row r="13654">
      <c r="A13654" s="1" t="str">
        <f>IFERROR(__xludf.DUMMYFUNCTION("""COMPUTED_VALUE"""),"142192;INF204KB1TU3;-;Nippon India Fixed Horizon Fund XXXV- Series 15- Direct Plan-Growth Option;12.7310;10-May-2021")</f>
        <v>142192;INF204KB1TU3;-;Nippon India Fixed Horizon Fund XXXV- Series 15- Direct Plan-Growth Option;12.7310;10-May-2021</v>
      </c>
      <c r="B13654" s="1"/>
    </row>
    <row r="13655">
      <c r="A13655" s="1" t="str">
        <f>IFERROR(__xludf.DUMMYFUNCTION("""COMPUTED_VALUE"""),"142193;INF204KB1TS7;-;Nippon India Fixed Horizon Fund XXXV- Series 15- Growth Option;12.6919;10-May-2021")</f>
        <v>142193;INF204KB1TS7;-;Nippon India Fixed Horizon Fund XXXV- Series 15- Growth Option;12.6919;10-May-2021</v>
      </c>
      <c r="B13655" s="1"/>
    </row>
    <row r="13656">
      <c r="A13656" s="1" t="str">
        <f>IFERROR(__xludf.DUMMYFUNCTION("""COMPUTED_VALUE"""),"142197;INF204KB1TZ2;-;NIPPON INDIA FIXED HORIZON FUND - XXXV - SERIES 16 - DIRECT Plan - IDCW Option;10.0000;15-Sep-2021")</f>
        <v>142197;INF204KB1TZ2;-;NIPPON INDIA FIXED HORIZON FUND - XXXV - SERIES 16 - DIRECT Plan - IDCW Option;10.0000;15-Sep-2021</v>
      </c>
      <c r="B13656" s="1"/>
    </row>
    <row r="13657">
      <c r="A13657" s="1" t="str">
        <f>IFERROR(__xludf.DUMMYFUNCTION("""COMPUTED_VALUE"""),"142196;INF204KB1TX7;-;NIPPON INDIA FIXED HORIZON FUND - XXXV - SERIES 16 - IDCW Option;10.0000;15-Sep-2021")</f>
        <v>142196;INF204KB1TX7;-;NIPPON INDIA FIXED HORIZON FUND - XXXV - SERIES 16 - IDCW Option;10.0000;15-Sep-2021</v>
      </c>
      <c r="B13657" s="1"/>
    </row>
    <row r="13658">
      <c r="A13658" s="1" t="str">
        <f>IFERROR(__xludf.DUMMYFUNCTION("""COMPUTED_VALUE"""),"142198;INF204KB1TY5;-;Nippon India Fixed Horizon Fund XXXV- Series 16- Direct Plan-Growth Option;12.1795;15-Sep-2021")</f>
        <v>142198;INF204KB1TY5;-;Nippon India Fixed Horizon Fund XXXV- Series 16- Direct Plan-Growth Option;12.1795;15-Sep-2021</v>
      </c>
      <c r="B13658" s="1"/>
    </row>
    <row r="13659">
      <c r="A13659" s="1" t="str">
        <f>IFERROR(__xludf.DUMMYFUNCTION("""COMPUTED_VALUE"""),"142195;INF204KB1TW9;-;Nippon India Fixed Horizon Fund XXXV- Series 16- Growth Option;12.0351;15-Sep-2021")</f>
        <v>142195;INF204KB1TW9;-;Nippon India Fixed Horizon Fund XXXV- Series 16- Growth Option;12.0351;15-Sep-2021</v>
      </c>
      <c r="B13659" s="1"/>
    </row>
    <row r="13660">
      <c r="A13660" s="1" t="str">
        <f>IFERROR(__xludf.DUMMYFUNCTION("""COMPUTED_VALUE"""),"141794;INF204KB1RJ0;-;Nippon India Fixed Horizon Fund XXXV- Series 5- Direct Plan- Dividend Payout Option;10.0000;02-Nov-2020")</f>
        <v>141794;INF204KB1RJ0;-;Nippon India Fixed Horizon Fund XXXV- Series 5- Direct Plan- Dividend Payout Option;10.0000;02-Nov-2020</v>
      </c>
      <c r="B13660" s="1"/>
    </row>
    <row r="13661">
      <c r="A13661" s="1" t="str">
        <f>IFERROR(__xludf.DUMMYFUNCTION("""COMPUTED_VALUE"""),"141793;INF204KB1RI2;-;Nippon India Fixed Horizon Fund XXXV- Series 5- Direct Plan-Growth Option;11.6748;02-Nov-2020")</f>
        <v>141793;INF204KB1RI2;-;Nippon India Fixed Horizon Fund XXXV- Series 5- Direct Plan-Growth Option;11.6748;02-Nov-2020</v>
      </c>
      <c r="B13661" s="1"/>
    </row>
    <row r="13662">
      <c r="A13662" s="1" t="str">
        <f>IFERROR(__xludf.DUMMYFUNCTION("""COMPUTED_VALUE"""),"141792;INF204KB1RH4;-;Nippon India Fixed Horizon Fund XXXV- Series 5- Dividend Payout Option;10.0000;02-Nov-2020")</f>
        <v>141792;INF204KB1RH4;-;Nippon India Fixed Horizon Fund XXXV- Series 5- Dividend Payout Option;10.0000;02-Nov-2020</v>
      </c>
      <c r="B13662" s="1"/>
    </row>
    <row r="13663">
      <c r="A13663" s="1" t="str">
        <f>IFERROR(__xludf.DUMMYFUNCTION("""COMPUTED_VALUE"""),"141791;INF204KB1RG6;-;Nippon India Fixed Horizon Fund XXXV- Series 5- Growth Option;11.5393;02-Nov-2020")</f>
        <v>141791;INF204KB1RG6;-;Nippon India Fixed Horizon Fund XXXV- Series 5- Growth Option;11.5393;02-Nov-2020</v>
      </c>
      <c r="B13663" s="1"/>
    </row>
    <row r="13664">
      <c r="A13664" s="1" t="str">
        <f>IFERROR(__xludf.DUMMYFUNCTION("""COMPUTED_VALUE"""),"141911;INF204KB1RZ6;-;NIPPON INDIA FIXED HORIZON FUND - XXXV - SERIES 6 - DIRECT Plan - IDCW Option;10.0000;20-Apr-2021")</f>
        <v>141911;INF204KB1RZ6;-;NIPPON INDIA FIXED HORIZON FUND - XXXV - SERIES 6 - DIRECT Plan - IDCW Option;10.0000;20-Apr-2021</v>
      </c>
      <c r="B13664" s="1"/>
    </row>
    <row r="13665">
      <c r="A13665" s="1" t="str">
        <f>IFERROR(__xludf.DUMMYFUNCTION("""COMPUTED_VALUE"""),"141912;INF204KB1RX1;-;NIPPON INDIA FIXED HORIZON FUND - XXXV - SERIES 6 - IDCW Option;10.0000;20-Apr-2021")</f>
        <v>141912;INF204KB1RX1;-;NIPPON INDIA FIXED HORIZON FUND - XXXV - SERIES 6 - IDCW Option;10.0000;20-Apr-2021</v>
      </c>
      <c r="B13665" s="1"/>
    </row>
    <row r="13666">
      <c r="A13666" s="1" t="str">
        <f>IFERROR(__xludf.DUMMYFUNCTION("""COMPUTED_VALUE"""),"141910;INF204KB1RY9;-;Nippon India Fixed Horizon Fund XXXV- Series 6- Direct Plan-Growth Option;12.7068;20-Apr-2021")</f>
        <v>141910;INF204KB1RY9;-;Nippon India Fixed Horizon Fund XXXV- Series 6- Direct Plan-Growth Option;12.7068;20-Apr-2021</v>
      </c>
      <c r="B13666" s="1"/>
    </row>
    <row r="13667">
      <c r="A13667" s="1" t="str">
        <f>IFERROR(__xludf.DUMMYFUNCTION("""COMPUTED_VALUE"""),"141909;INF204KB1RW3;-;Nippon India Fixed Horizon Fund XXXV- Series 6- Growth Option;12.6676;20-Apr-2021")</f>
        <v>141909;INF204KB1RW3;-;Nippon India Fixed Horizon Fund XXXV- Series 6- Growth Option;12.6676;20-Apr-2021</v>
      </c>
      <c r="B13667" s="1"/>
    </row>
    <row r="13668">
      <c r="A13668" s="1" t="str">
        <f>IFERROR(__xludf.DUMMYFUNCTION("""COMPUTED_VALUE"""),"141956;INF204KB1SC3;-;Nippon India Fixed Horizon Fund XXXV- Series 7- Direct Plan-Growth Option;12.7272;12-May-2021")</f>
        <v>141956;INF204KB1SC3;-;Nippon India Fixed Horizon Fund XXXV- Series 7- Direct Plan-Growth Option;12.7272;12-May-2021</v>
      </c>
      <c r="B13668" s="1"/>
    </row>
    <row r="13669">
      <c r="A13669" s="1" t="str">
        <f>IFERROR(__xludf.DUMMYFUNCTION("""COMPUTED_VALUE"""),"141955;INF204KB1SA7;-;Nippon India Fixed Horizon Fund XXXV- Series 7- Growth Option;12.6888;12-May-2021")</f>
        <v>141955;INF204KB1SA7;-;Nippon India Fixed Horizon Fund XXXV- Series 7- Growth Option;12.6888;12-May-2021</v>
      </c>
      <c r="B13669" s="1"/>
    </row>
    <row r="13670">
      <c r="A13670" s="1" t="str">
        <f>IFERROR(__xludf.DUMMYFUNCTION("""COMPUTED_VALUE"""),"141992;INF204KB1SL4;-;NIPPON INDIA FIXED HORIZON FUND - XXXV - SERIES 9 - DIRECT Plan - IDCW Option;10.0000;20-Aug-2021")</f>
        <v>141992;INF204KB1SL4;-;NIPPON INDIA FIXED HORIZON FUND - XXXV - SERIES 9 - DIRECT Plan - IDCW Option;10.0000;20-Aug-2021</v>
      </c>
      <c r="B13670" s="1"/>
    </row>
    <row r="13671">
      <c r="A13671" s="1" t="str">
        <f>IFERROR(__xludf.DUMMYFUNCTION("""COMPUTED_VALUE"""),"141994;INF204KB1SJ8;-;NIPPON INDIA FIXED HORIZON FUND - XXXV - SERIES 9 - IDCW Option;10.0000;20-Aug-2021")</f>
        <v>141994;INF204KB1SJ8;-;NIPPON INDIA FIXED HORIZON FUND - XXXV - SERIES 9 - IDCW Option;10.0000;20-Aug-2021</v>
      </c>
      <c r="B13671" s="1"/>
    </row>
    <row r="13672">
      <c r="A13672" s="1" t="str">
        <f>IFERROR(__xludf.DUMMYFUNCTION("""COMPUTED_VALUE"""),"141991;INF204KB1SK6;-;Nippon India Fixed Horizon Fund XXXV- Series 9- Direct Plan-Growth Option;11.9679;20-Aug-2021")</f>
        <v>141991;INF204KB1SK6;-;Nippon India Fixed Horizon Fund XXXV- Series 9- Direct Plan-Growth Option;11.9679;20-Aug-2021</v>
      </c>
      <c r="B13672" s="1"/>
    </row>
    <row r="13673">
      <c r="A13673" s="1" t="str">
        <f>IFERROR(__xludf.DUMMYFUNCTION("""COMPUTED_VALUE"""),"141993;INF204KB1SI0;-;Nippon India Fixed Horizon Fund XXXV- Series 9- Growth Option;11.7528;20-Aug-2021")</f>
        <v>141993;INF204KB1SI0;-;Nippon India Fixed Horizon Fund XXXV- Series 9- Growth Option;11.7528;20-Aug-2021</v>
      </c>
      <c r="B13673" s="1"/>
    </row>
    <row r="13674">
      <c r="A13674" s="1" t="str">
        <f>IFERROR(__xludf.DUMMYFUNCTION("""COMPUTED_VALUE"""),"142455;INF204KB1UL0;-;NIPPON INDIA FIXED HORIZON FUND - XXXVI - SERIES 2 - DIRECT Plan - IDCW Option;12.8202;15-Dec-2021")</f>
        <v>142455;INF204KB1UL0;-;NIPPON INDIA FIXED HORIZON FUND - XXXVI - SERIES 2 - DIRECT Plan - IDCW Option;12.8202;15-Dec-2021</v>
      </c>
      <c r="B13674" s="1"/>
    </row>
    <row r="13675">
      <c r="A13675" s="1" t="str">
        <f>IFERROR(__xludf.DUMMYFUNCTION("""COMPUTED_VALUE"""),"142456;INF204KB1UJ4;-;NIPPON INDIA FIXED HORIZON FUND - XXXVI - SERIES 2 - IDCW Option;12.7148;15-Dec-2021")</f>
        <v>142456;INF204KB1UJ4;-;NIPPON INDIA FIXED HORIZON FUND - XXXVI - SERIES 2 - IDCW Option;12.7148;15-Dec-2021</v>
      </c>
      <c r="B13675" s="1"/>
    </row>
    <row r="13676">
      <c r="A13676" s="1" t="str">
        <f>IFERROR(__xludf.DUMMYFUNCTION("""COMPUTED_VALUE"""),"142457;INF204KB1UK2;-;Nippon India Fixed Horizon Fund XXXVI- Series 2- Direct Plan-Growth Option;12.8202;15-Dec-2021")</f>
        <v>142457;INF204KB1UK2;-;Nippon India Fixed Horizon Fund XXXVI- Series 2- Direct Plan-Growth Option;12.8202;15-Dec-2021</v>
      </c>
      <c r="B13676" s="1"/>
    </row>
    <row r="13677">
      <c r="A13677" s="1" t="str">
        <f>IFERROR(__xludf.DUMMYFUNCTION("""COMPUTED_VALUE"""),"142458;INF204KB1UI6;-;Nippon India Fixed Horizon Fund XXXVI- Series 2- Growth Option;12.7148;15-Dec-2021")</f>
        <v>142458;INF204KB1UI6;-;Nippon India Fixed Horizon Fund XXXVI- Series 2- Growth Option;12.7148;15-Dec-2021</v>
      </c>
      <c r="B13677" s="1"/>
    </row>
    <row r="13678">
      <c r="A13678" s="1" t="str">
        <f>IFERROR(__xludf.DUMMYFUNCTION("""COMPUTED_VALUE"""),"142462;INF204KB1UP1;-;NIPPON INDIA FIXED HORIZON FUND - XXXVI - SERIES 3 - DIRECT Plan - IDCW Option;10.0000;10-May-2021")</f>
        <v>142462;INF204KB1UP1;-;NIPPON INDIA FIXED HORIZON FUND - XXXVI - SERIES 3 - DIRECT Plan - IDCW Option;10.0000;10-May-2021</v>
      </c>
      <c r="B13678" s="1"/>
    </row>
    <row r="13679">
      <c r="A13679" s="1" t="str">
        <f>IFERROR(__xludf.DUMMYFUNCTION("""COMPUTED_VALUE"""),"142460;INF204KB1UN6;-;NIPPON INDIA FIXED HORIZON FUND - XXXVI - SERIES 3 - IDCW Option;10.0000;10-May-2021")</f>
        <v>142460;INF204KB1UN6;-;NIPPON INDIA FIXED HORIZON FUND - XXXVI - SERIES 3 - IDCW Option;10.0000;10-May-2021</v>
      </c>
      <c r="B13679" s="1"/>
    </row>
    <row r="13680">
      <c r="A13680" s="1" t="str">
        <f>IFERROR(__xludf.DUMMYFUNCTION("""COMPUTED_VALUE"""),"142461;INF204KB1UO4;-;Nippon India Fixed Horizon Fund XXXVI- Series 3- Direct Plan-Growth Option;12.6597;10-May-2021")</f>
        <v>142461;INF204KB1UO4;-;Nippon India Fixed Horizon Fund XXXVI- Series 3- Direct Plan-Growth Option;12.6597;10-May-2021</v>
      </c>
      <c r="B13680" s="1"/>
    </row>
    <row r="13681">
      <c r="A13681" s="1" t="str">
        <f>IFERROR(__xludf.DUMMYFUNCTION("""COMPUTED_VALUE"""),"142459;INF204KB1UM8;-;Nippon India Fixed Horizon Fund XXXVI- Series 3- Growth Option;12.5572;10-May-2021")</f>
        <v>142459;INF204KB1UM8;-;Nippon India Fixed Horizon Fund XXXVI- Series 3- Growth Option;12.5572;10-May-2021</v>
      </c>
      <c r="B13681" s="1"/>
    </row>
    <row r="13682">
      <c r="A13682" s="1" t="str">
        <f>IFERROR(__xludf.DUMMYFUNCTION("""COMPUTED_VALUE"""),"142564;INF204KB1UX5;-;NIPPON INDIA FIXED HORIZON FUND - XXXVI - SERIES 5 - DIRECT Plan - IDCW Option;13.2754;30-Sep-2021")</f>
        <v>142564;INF204KB1UX5;-;NIPPON INDIA FIXED HORIZON FUND - XXXVI - SERIES 5 - DIRECT Plan - IDCW Option;13.2754;30-Sep-2021</v>
      </c>
      <c r="B13682" s="1"/>
    </row>
    <row r="13683">
      <c r="A13683" s="1" t="str">
        <f>IFERROR(__xludf.DUMMYFUNCTION("""COMPUTED_VALUE"""),"142566;INF204KB1UV9;-;NIPPON INDIA FIXED HORIZON FUND - XXXVI - SERIES 5 - IDCW Option;13.1595;30-Sep-2021")</f>
        <v>142566;INF204KB1UV9;-;NIPPON INDIA FIXED HORIZON FUND - XXXVI - SERIES 5 - IDCW Option;13.1595;30-Sep-2021</v>
      </c>
      <c r="B13683" s="1"/>
    </row>
    <row r="13684">
      <c r="A13684" s="1" t="str">
        <f>IFERROR(__xludf.DUMMYFUNCTION("""COMPUTED_VALUE"""),"142565;INF204KB1UW7;-;Nippon India Fixed Horizon Fund XXXVI- Series 5- Direct Plan-Growth Option;13.2754;30-Sep-2021")</f>
        <v>142565;INF204KB1UW7;-;Nippon India Fixed Horizon Fund XXXVI- Series 5- Direct Plan-Growth Option;13.2754;30-Sep-2021</v>
      </c>
      <c r="B13684" s="1"/>
    </row>
    <row r="13685">
      <c r="A13685" s="1" t="str">
        <f>IFERROR(__xludf.DUMMYFUNCTION("""COMPUTED_VALUE"""),"142563;INF204KB1UU1;-;Nippon India Fixed Horizon Fund XXXVI- Series 5- Growth Option;13.1595;30-Sep-2021")</f>
        <v>142563;INF204KB1UU1;-;Nippon India Fixed Horizon Fund XXXVI- Series 5- Growth Option;13.1595;30-Sep-2021</v>
      </c>
      <c r="B13685" s="1"/>
    </row>
    <row r="13686">
      <c r="A13686" s="1" t="str">
        <f>IFERROR(__xludf.DUMMYFUNCTION("""COMPUTED_VALUE"""),"142569;INF204KB1VB9;-;NIPPON INDIA FIXED HORIZON FUND - XXXVI - SERIES 6 - DIRECT Plan - IDCW Option;10.0000;10-May-2021")</f>
        <v>142569;INF204KB1VB9;-;NIPPON INDIA FIXED HORIZON FUND - XXXVI - SERIES 6 - DIRECT Plan - IDCW Option;10.0000;10-May-2021</v>
      </c>
      <c r="B13686" s="1"/>
    </row>
    <row r="13687">
      <c r="A13687" s="1" t="str">
        <f>IFERROR(__xludf.DUMMYFUNCTION("""COMPUTED_VALUE"""),"142568;INF204KB1UZ0;-;NIPPON INDIA FIXED HORIZON FUND - XXXVI - SERIES 6 - IDCW Option;10.0000;10-May-2021")</f>
        <v>142568;INF204KB1UZ0;-;NIPPON INDIA FIXED HORIZON FUND - XXXVI - SERIES 6 - IDCW Option;10.0000;10-May-2021</v>
      </c>
      <c r="B13687" s="1"/>
    </row>
    <row r="13688">
      <c r="A13688" s="1" t="str">
        <f>IFERROR(__xludf.DUMMYFUNCTION("""COMPUTED_VALUE"""),"142570;INF204KB1VA1;-;Nippon India Fixed Horizon Fund XXXVI- Series 6- Direct Plan-Growth Option;12.6645;10-May-2021")</f>
        <v>142570;INF204KB1VA1;-;Nippon India Fixed Horizon Fund XXXVI- Series 6- Direct Plan-Growth Option;12.6645;10-May-2021</v>
      </c>
      <c r="B13688" s="1"/>
    </row>
    <row r="13689">
      <c r="A13689" s="1" t="str">
        <f>IFERROR(__xludf.DUMMYFUNCTION("""COMPUTED_VALUE"""),"142567;INF204KB1UY3;-;Nippon India Fixed Horizon Fund XXXVI- Series 6- Growth Option;12.5581;10-May-2021")</f>
        <v>142567;INF204KB1UY3;-;Nippon India Fixed Horizon Fund XXXVI- Series 6- Growth Option;12.5581;10-May-2021</v>
      </c>
      <c r="B13689" s="1"/>
    </row>
    <row r="13690">
      <c r="A13690" s="1" t="str">
        <f>IFERROR(__xludf.DUMMYFUNCTION("""COMPUTED_VALUE"""),"142645;INF204KB1VJ2;-;NIPPON INDIA FIXED HORIZON FUND - XXXVI - SERIES 7 - DIRECT Plan - IDCW Option;10.0000;10-May-2021")</f>
        <v>142645;INF204KB1VJ2;-;NIPPON INDIA FIXED HORIZON FUND - XXXVI - SERIES 7 - DIRECT Plan - IDCW Option;10.0000;10-May-2021</v>
      </c>
      <c r="B13690" s="1"/>
    </row>
    <row r="13691">
      <c r="A13691" s="1" t="str">
        <f>IFERROR(__xludf.DUMMYFUNCTION("""COMPUTED_VALUE"""),"142647;INF204KB1VH6;-;NIPPON INDIA FIXED HORIZON FUND - XXXVI - SERIES 7 - IDCW Option;10.0000;10-May-2021")</f>
        <v>142647;INF204KB1VH6;-;NIPPON INDIA FIXED HORIZON FUND - XXXVI - SERIES 7 - IDCW Option;10.0000;10-May-2021</v>
      </c>
      <c r="B13691" s="1"/>
    </row>
    <row r="13692">
      <c r="A13692" s="1" t="str">
        <f>IFERROR(__xludf.DUMMYFUNCTION("""COMPUTED_VALUE"""),"142644;INF204KB1VI4;-;Nippon India Fixed Horizon Fund XXXVI- Series 7- Direct Plan-Growth Option;12.6268;10-May-2021")</f>
        <v>142644;INF204KB1VI4;-;Nippon India Fixed Horizon Fund XXXVI- Series 7- Direct Plan-Growth Option;12.6268;10-May-2021</v>
      </c>
      <c r="B13692" s="1"/>
    </row>
    <row r="13693">
      <c r="A13693" s="1" t="str">
        <f>IFERROR(__xludf.DUMMYFUNCTION("""COMPUTED_VALUE"""),"142646;INF204KB1VG8;-;Nippon India Fixed Horizon Fund XXXVI- Series 7- Growth Option;12.5869;10-May-2021")</f>
        <v>142646;INF204KB1VG8;-;Nippon India Fixed Horizon Fund XXXVI- Series 7- Growth Option;12.5869;10-May-2021</v>
      </c>
      <c r="B13693" s="1"/>
    </row>
    <row r="13694">
      <c r="A13694" s="1" t="str">
        <f>IFERROR(__xludf.DUMMYFUNCTION("""COMPUTED_VALUE"""),"142818;INF204KB1VN4;-;NIPPON INDIA FIXED HORIZON FUND - XXXVI - SERIES 8 - DIRECT Plan - IDCW Option;13.4617;01-Nov-2021")</f>
        <v>142818;INF204KB1VN4;-;NIPPON INDIA FIXED HORIZON FUND - XXXVI - SERIES 8 - DIRECT Plan - IDCW Option;13.4617;01-Nov-2021</v>
      </c>
      <c r="B13694" s="1"/>
    </row>
    <row r="13695">
      <c r="A13695" s="1" t="str">
        <f>IFERROR(__xludf.DUMMYFUNCTION("""COMPUTED_VALUE"""),"142817;INF204KB1VL8;-;NIPPON INDIA FIXED HORIZON FUND - XXXVI - SERIES 8 - IDCW Option;13.3132;01-Nov-2021")</f>
        <v>142817;INF204KB1VL8;-;NIPPON INDIA FIXED HORIZON FUND - XXXVI - SERIES 8 - IDCW Option;13.3132;01-Nov-2021</v>
      </c>
      <c r="B13695" s="1"/>
    </row>
    <row r="13696">
      <c r="A13696" s="1" t="str">
        <f>IFERROR(__xludf.DUMMYFUNCTION("""COMPUTED_VALUE"""),"142819;INF204KB1VM6;-;Nippon India Fixed Horizon Fund XXXVI- Series 8- Direct Plan-Growth Option;13.4617;01-Nov-2021")</f>
        <v>142819;INF204KB1VM6;-;Nippon India Fixed Horizon Fund XXXVI- Series 8- Direct Plan-Growth Option;13.4617;01-Nov-2021</v>
      </c>
      <c r="B13696" s="1"/>
    </row>
    <row r="13697">
      <c r="A13697" s="1" t="str">
        <f>IFERROR(__xludf.DUMMYFUNCTION("""COMPUTED_VALUE"""),"142816;INF204KB1VK0;-;Nippon India Fixed Horizon Fund XXXVI- Series 8- Growth Option;13.3132;01-Nov-2021")</f>
        <v>142816;INF204KB1VK0;-;Nippon India Fixed Horizon Fund XXXVI- Series 8- Growth Option;13.3132;01-Nov-2021</v>
      </c>
      <c r="B13697" s="1"/>
    </row>
    <row r="13698">
      <c r="A13698" s="1" t="str">
        <f>IFERROR(__xludf.DUMMYFUNCTION("""COMPUTED_VALUE"""),"142916;INF204KB1XN0;-;NIPPON INDIA FIXED HORIZON FUND - XXXVI - SERIES 9 - DIRECT Plan - IDCW Option;10.0000;10-May-2021")</f>
        <v>142916;INF204KB1XN0;-;NIPPON INDIA FIXED HORIZON FUND - XXXVI - SERIES 9 - DIRECT Plan - IDCW Option;10.0000;10-May-2021</v>
      </c>
      <c r="B13698" s="1"/>
    </row>
    <row r="13699">
      <c r="A13699" s="1" t="str">
        <f>IFERROR(__xludf.DUMMYFUNCTION("""COMPUTED_VALUE"""),"142915;INF204KB1VU9;-;Nippon India Fixed Horizon Fund XXXVI- Series 9- Direct Plan-Growth Option;12.5597;10-May-2021")</f>
        <v>142915;INF204KB1VU9;-;Nippon India Fixed Horizon Fund XXXVI- Series 9- Direct Plan-Growth Option;12.5597;10-May-2021</v>
      </c>
      <c r="B13699" s="1"/>
    </row>
    <row r="13700">
      <c r="A13700" s="1" t="str">
        <f>IFERROR(__xludf.DUMMYFUNCTION("""COMPUTED_VALUE"""),"142913;INF204KB1XK6;-;Nippon India Fixed Horizon Fund XXXVI- Series 9- Growth Option;12.4655;10-May-2021")</f>
        <v>142913;INF204KB1XK6;-;Nippon India Fixed Horizon Fund XXXVI- Series 9- Growth Option;12.4655;10-May-2021</v>
      </c>
      <c r="B13700" s="1"/>
    </row>
    <row r="13701">
      <c r="A13701" s="1" t="str">
        <f>IFERROR(__xludf.DUMMYFUNCTION("""COMPUTED_VALUE"""),"143084;INF204KB1WD3;-;NIPPON INDIA FIXED HORIZON FUND - XXXVII - SERIES 01 - DIRECT Plan - IDCW Option;10.0000;21-May-2021")</f>
        <v>143084;INF204KB1WD3;-;NIPPON INDIA FIXED HORIZON FUND - XXXVII - SERIES 01 - DIRECT Plan - IDCW Option;10.0000;21-May-2021</v>
      </c>
      <c r="B13701" s="1"/>
    </row>
    <row r="13702">
      <c r="A13702" s="1" t="str">
        <f>IFERROR(__xludf.DUMMYFUNCTION("""COMPUTED_VALUE"""),"143083;INF204KB1WB7;-;NIPPON INDIA FIXED HORIZON FUND - XXXVII - SERIES 01 - IDCW Option;10.0000;21-May-2021")</f>
        <v>143083;INF204KB1WB7;-;NIPPON INDIA FIXED HORIZON FUND - XXXVII - SERIES 01 - IDCW Option;10.0000;21-May-2021</v>
      </c>
      <c r="B13702" s="1"/>
    </row>
    <row r="13703">
      <c r="A13703" s="1" t="str">
        <f>IFERROR(__xludf.DUMMYFUNCTION("""COMPUTED_VALUE"""),"143082;INF204KB1WC5;-;Nippon India Fixed Horizon Fund XXXVII- Series 1- Direct Plan- Growth Option;12.5822;21-May-2021")</f>
        <v>143082;INF204KB1WC5;-;Nippon India Fixed Horizon Fund XXXVII- Series 1- Direct Plan- Growth Option;12.5822;21-May-2021</v>
      </c>
      <c r="B13703" s="1"/>
    </row>
    <row r="13704">
      <c r="A13704" s="1" t="str">
        <f>IFERROR(__xludf.DUMMYFUNCTION("""COMPUTED_VALUE"""),"143081;INF204KB1WA9;-;Nippon India Fixed Horizon Fund XXXVII- Series 1- Growth Option;12.5132;21-May-2021")</f>
        <v>143081;INF204KB1WA9;-;Nippon India Fixed Horizon Fund XXXVII- Series 1- Growth Option;12.5132;21-May-2021</v>
      </c>
      <c r="B13704" s="1"/>
    </row>
    <row r="13705">
      <c r="A13705" s="1" t="str">
        <f>IFERROR(__xludf.DUMMYFUNCTION("""COMPUTED_VALUE"""),"143456;INF204KB1XR1;-;NIPPON INDIA FIXED HORIZON FUND - XXXVII - SERIES 10 - DIRECT Plan - IDCW Option;10.0000;07-Jul-2021")</f>
        <v>143456;INF204KB1XR1;-;NIPPON INDIA FIXED HORIZON FUND - XXXVII - SERIES 10 - DIRECT Plan - IDCW Option;10.0000;07-Jul-2021</v>
      </c>
      <c r="B13705" s="1"/>
    </row>
    <row r="13706">
      <c r="A13706" s="1" t="str">
        <f>IFERROR(__xludf.DUMMYFUNCTION("""COMPUTED_VALUE"""),"143457;INF204KB1XQ3;-;Nippon India Fixed Horizon Fund XXXVII- Series 10- Direct Plan- Growth Option;12.8216;07-Jul-2021")</f>
        <v>143457;INF204KB1XQ3;-;Nippon India Fixed Horizon Fund XXXVII- Series 10- Direct Plan- Growth Option;12.8216;07-Jul-2021</v>
      </c>
      <c r="B13706" s="1"/>
    </row>
    <row r="13707">
      <c r="A13707" s="1" t="str">
        <f>IFERROR(__xludf.DUMMYFUNCTION("""COMPUTED_VALUE"""),"143454;INF204KB1XO8;-;Nippon India Fixed Horizon Fund XXXVII- Series 10- Growth Option;12.7313;07-Jul-2021")</f>
        <v>143454;INF204KB1XO8;-;Nippon India Fixed Horizon Fund XXXVII- Series 10- Growth Option;12.7313;07-Jul-2021</v>
      </c>
      <c r="B13707" s="1"/>
    </row>
    <row r="13708">
      <c r="A13708" s="1" t="str">
        <f>IFERROR(__xludf.DUMMYFUNCTION("""COMPUTED_VALUE"""),"143642;INF204KB1XX9;-;NIPPON INDIA FIXED HORIZON FUND - XXXVII - SERIES 12 - IDCW Option;10.0000;08-Jul-2021")</f>
        <v>143642;INF204KB1XX9;-;NIPPON INDIA FIXED HORIZON FUND - XXXVII - SERIES 12 - IDCW Option;10.0000;08-Jul-2021</v>
      </c>
      <c r="B13708" s="1"/>
    </row>
    <row r="13709">
      <c r="A13709" s="1" t="str">
        <f>IFERROR(__xludf.DUMMYFUNCTION("""COMPUTED_VALUE"""),"143643;INF204KB1XY7;-;Nippon India Fixed Horizon Fund XXXVII- Series 12- Direct Plan- Growth Option;12.7570;08-Jul-2021")</f>
        <v>143643;INF204KB1XY7;-;Nippon India Fixed Horizon Fund XXXVII- Series 12- Direct Plan- Growth Option;12.7570;08-Jul-2021</v>
      </c>
      <c r="B13709" s="1"/>
    </row>
    <row r="13710">
      <c r="A13710" s="1" t="str">
        <f>IFERROR(__xludf.DUMMYFUNCTION("""COMPUTED_VALUE"""),"143641;INF204KB1XW1;-;Nippon India Fixed Horizon Fund XXXVII- Series 12- Growth Option;12.6933;08-Jul-2021")</f>
        <v>143641;INF204KB1XW1;-;Nippon India Fixed Horizon Fund XXXVII- Series 12- Growth Option;12.6933;08-Jul-2021</v>
      </c>
      <c r="B13710" s="1"/>
    </row>
    <row r="13711">
      <c r="A13711" s="1" t="str">
        <f>IFERROR(__xludf.DUMMYFUNCTION("""COMPUTED_VALUE"""),"143758;INF204KB1YN8;-;NIPPON INDIA FIXED HORIZON FUND - XXXVII - SERIES 15 - IDCW Option;10.0000;08-Jul-2021")</f>
        <v>143758;INF204KB1YN8;-;NIPPON INDIA FIXED HORIZON FUND - XXXVII - SERIES 15 - IDCW Option;10.0000;08-Jul-2021</v>
      </c>
      <c r="B13711" s="1"/>
    </row>
    <row r="13712">
      <c r="A13712" s="1" t="str">
        <f>IFERROR(__xludf.DUMMYFUNCTION("""COMPUTED_VALUE"""),"143755;INF204KB1YO6;-;Nippon India Fixed Horizon Fund XXXVII- Series 15- Direct Plan- Growth Option;12.6957;08-Jul-2021")</f>
        <v>143755;INF204KB1YO6;-;Nippon India Fixed Horizon Fund XXXVII- Series 15- Direct Plan- Growth Option;12.6957;08-Jul-2021</v>
      </c>
      <c r="B13712" s="1"/>
    </row>
    <row r="13713">
      <c r="A13713" s="1" t="str">
        <f>IFERROR(__xludf.DUMMYFUNCTION("""COMPUTED_VALUE"""),"143757;INF204KB1YM0;-;Nippon India Fixed Horizon Fund XXXVII- Series 15- Growth Option;12.5991;08-Jul-2021")</f>
        <v>143757;INF204KB1YM0;-;Nippon India Fixed Horizon Fund XXXVII- Series 15- Growth Option;12.5991;08-Jul-2021</v>
      </c>
      <c r="B13713" s="1"/>
    </row>
    <row r="13714">
      <c r="A13714" s="1" t="str">
        <f>IFERROR(__xludf.DUMMYFUNCTION("""COMPUTED_VALUE"""),"143170;INF204KB1WL6;-;NIPPON INDIA FIXED HORIZON FUND - XXXVII - SERIES 03 - DIRECT Plan - IDCW Option;13.1816;08-Nov-2021")</f>
        <v>143170;INF204KB1WL6;-;NIPPON INDIA FIXED HORIZON FUND - XXXVII - SERIES 03 - DIRECT Plan - IDCW Option;13.1816;08-Nov-2021</v>
      </c>
      <c r="B13714" s="1"/>
    </row>
    <row r="13715">
      <c r="A13715" s="1" t="str">
        <f>IFERROR(__xludf.DUMMYFUNCTION("""COMPUTED_VALUE"""),"143169;INF204KB1WJ0;-;NIPPON INDIA FIXED HORIZON FUND - XXXVII - SERIES 03 - IDCW Option;13.0496;08-Nov-2021")</f>
        <v>143169;INF204KB1WJ0;-;NIPPON INDIA FIXED HORIZON FUND - XXXVII - SERIES 03 - IDCW Option;13.0496;08-Nov-2021</v>
      </c>
      <c r="B13715" s="1"/>
    </row>
    <row r="13716">
      <c r="A13716" s="1" t="str">
        <f>IFERROR(__xludf.DUMMYFUNCTION("""COMPUTED_VALUE"""),"143171;INF204KB1WK8;-;Nippon India Fixed Horizon Fund XXXVII- Series 3- Direct Plan- Growth Option;13.1816;08-Nov-2021")</f>
        <v>143171;INF204KB1WK8;-;Nippon India Fixed Horizon Fund XXXVII- Series 3- Direct Plan- Growth Option;13.1816;08-Nov-2021</v>
      </c>
      <c r="B13716" s="1"/>
    </row>
    <row r="13717">
      <c r="A13717" s="1" t="str">
        <f>IFERROR(__xludf.DUMMYFUNCTION("""COMPUTED_VALUE"""),"143168;INF204KB1WI2;-;Nippon India Fixed Horizon Fund XXXVII- Series 3- Growth Option;13.0496;08-Nov-2021")</f>
        <v>143168;INF204KB1WI2;-;Nippon India Fixed Horizon Fund XXXVII- Series 3- Growth Option;13.0496;08-Nov-2021</v>
      </c>
      <c r="B13717" s="1"/>
    </row>
    <row r="13718">
      <c r="A13718" s="1" t="str">
        <f>IFERROR(__xludf.DUMMYFUNCTION("""COMPUTED_VALUE"""),"143173;INF204KB1WN2;-;NIPPON INDIA FIXED HORIZON FUND - XXXVII - SERIES 04 - IDCW Option;13.3970;05-Apr-2022")</f>
        <v>143173;INF204KB1WN2;-;NIPPON INDIA FIXED HORIZON FUND - XXXVII - SERIES 04 - IDCW Option;13.3970;05-Apr-2022</v>
      </c>
      <c r="B13718" s="1"/>
    </row>
    <row r="13719">
      <c r="A13719" s="1" t="str">
        <f>IFERROR(__xludf.DUMMYFUNCTION("""COMPUTED_VALUE"""),"143174;INF204KB1WO0;-;Nippon India Fixed Horizon Fund XXXVII- Series 4- Direct Plan- Growth Option;13.5570;05-Apr-2022")</f>
        <v>143174;INF204KB1WO0;-;Nippon India Fixed Horizon Fund XXXVII- Series 4- Direct Plan- Growth Option;13.5570;05-Apr-2022</v>
      </c>
      <c r="B13719" s="1"/>
    </row>
    <row r="13720">
      <c r="A13720" s="1" t="str">
        <f>IFERROR(__xludf.DUMMYFUNCTION("""COMPUTED_VALUE"""),"143172;INF204KB1WM4;-;Nippon India Fixed Horizon Fund XXXVII- Series 4- Growth Option;13.3970;05-Apr-2022")</f>
        <v>143172;INF204KB1WM4;-;Nippon India Fixed Horizon Fund XXXVII- Series 4- Growth Option;13.3970;05-Apr-2022</v>
      </c>
      <c r="B13720" s="1"/>
    </row>
    <row r="13721">
      <c r="A13721" s="1" t="str">
        <f>IFERROR(__xludf.DUMMYFUNCTION("""COMPUTED_VALUE"""),"143255;INF204KB1WX1;-;NIPPON INDIA FIXED HORIZON FUND - XXXVII - SERIES 05 - DIRECT Plan - IDCW Option;10.0000;21-May-2021")</f>
        <v>143255;INF204KB1WX1;-;NIPPON INDIA FIXED HORIZON FUND - XXXVII - SERIES 05 - DIRECT Plan - IDCW Option;10.0000;21-May-2021</v>
      </c>
      <c r="B13721" s="1"/>
    </row>
    <row r="13722">
      <c r="A13722" s="1" t="str">
        <f>IFERROR(__xludf.DUMMYFUNCTION("""COMPUTED_VALUE"""),"143254;INF204KB1WV5;-;NIPPON INDIA FIXED HORIZON FUND - XXXVII - SERIES 05 - IDCW Option;10.0000;21-May-2021")</f>
        <v>143254;INF204KB1WV5;-;NIPPON INDIA FIXED HORIZON FUND - XXXVII - SERIES 05 - IDCW Option;10.0000;21-May-2021</v>
      </c>
      <c r="B13722" s="1"/>
    </row>
    <row r="13723">
      <c r="A13723" s="1" t="str">
        <f>IFERROR(__xludf.DUMMYFUNCTION("""COMPUTED_VALUE"""),"143256;INF204KB1WW3;-;Nippon India Fixed Horizon Fund XXXVII- Series 5- Direct Plan- Growth Option;12.5809;21-May-2021")</f>
        <v>143256;INF204KB1WW3;-;Nippon India Fixed Horizon Fund XXXVII- Series 5- Direct Plan- Growth Option;12.5809;21-May-2021</v>
      </c>
      <c r="B13723" s="1"/>
    </row>
    <row r="13724">
      <c r="A13724" s="1" t="str">
        <f>IFERROR(__xludf.DUMMYFUNCTION("""COMPUTED_VALUE"""),"143257;INF204KB1WU7;-;Nippon India Fixed Horizon Fund XXXVII- Series 5- Growth Option;12.5000;21-May-2021")</f>
        <v>143257;INF204KB1WU7;-;Nippon India Fixed Horizon Fund XXXVII- Series 5- Growth Option;12.5000;21-May-2021</v>
      </c>
      <c r="B13724" s="1"/>
    </row>
    <row r="13725">
      <c r="A13725" s="1" t="str">
        <f>IFERROR(__xludf.DUMMYFUNCTION("""COMPUTED_VALUE"""),"143273;INF204KB1XB5;-;NIPPON INDIA FIXED HORIZON FUND - XXXVII - SERIES 06 - DIRECT Plan - IDCW Option;13.6889;05-Apr-2022")</f>
        <v>143273;INF204KB1XB5;-;NIPPON INDIA FIXED HORIZON FUND - XXXVII - SERIES 06 - DIRECT Plan - IDCW Option;13.6889;05-Apr-2022</v>
      </c>
      <c r="B13725" s="1"/>
    </row>
    <row r="13726">
      <c r="A13726" s="1" t="str">
        <f>IFERROR(__xludf.DUMMYFUNCTION("""COMPUTED_VALUE"""),"143270;INF204KB1WZ6;-;NIPPON INDIA FIXED HORIZON FUND - XXXVII - SERIES 06 - IDCW Option;13.5183;05-Apr-2022")</f>
        <v>143270;INF204KB1WZ6;-;NIPPON INDIA FIXED HORIZON FUND - XXXVII - SERIES 06 - IDCW Option;13.5183;05-Apr-2022</v>
      </c>
      <c r="B13726" s="1"/>
    </row>
    <row r="13727">
      <c r="A13727" s="1" t="str">
        <f>IFERROR(__xludf.DUMMYFUNCTION("""COMPUTED_VALUE"""),"143272;INF204KB1XA7;-;Nippon India Fixed Horizon Fund XXXVII- Series 6- Direct Plan- Growth Option;13.6889;05-Apr-2022")</f>
        <v>143272;INF204KB1XA7;-;Nippon India Fixed Horizon Fund XXXVII- Series 6- Direct Plan- Growth Option;13.6889;05-Apr-2022</v>
      </c>
      <c r="B13727" s="1"/>
    </row>
    <row r="13728">
      <c r="A13728" s="1" t="str">
        <f>IFERROR(__xludf.DUMMYFUNCTION("""COMPUTED_VALUE"""),"143271;INF204KB1WY9;-;Nippon India Fixed Horizon Fund XXXVII- Series 6- Growth Option;13.5183;05-Apr-2022")</f>
        <v>143271;INF204KB1WY9;-;Nippon India Fixed Horizon Fund XXXVII- Series 6- Growth Option;13.5183;05-Apr-2022</v>
      </c>
      <c r="B13728" s="1"/>
    </row>
    <row r="13729">
      <c r="A13729" s="1" t="str">
        <f>IFERROR(__xludf.DUMMYFUNCTION("""COMPUTED_VALUE"""),"143451;INF204KB1XN0;-;NIPPON INDIA FIXED HORIZON FUND - XXXVII - SERIES 09 - DIRECT Plan - IDCW Option;13.5859;26-May-2022")</f>
        <v>143451;INF204KB1XN0;-;NIPPON INDIA FIXED HORIZON FUND - XXXVII - SERIES 09 - DIRECT Plan - IDCW Option;13.5859;26-May-2022</v>
      </c>
      <c r="B13729" s="1"/>
    </row>
    <row r="13730">
      <c r="A13730" s="1" t="str">
        <f>IFERROR(__xludf.DUMMYFUNCTION("""COMPUTED_VALUE"""),"143450;INF204KB1XL4;-;NIPPON INDIA FIXED HORIZON FUND - XXXVII - SERIES 09 - IDCW Option;13.4372;26-May-2022")</f>
        <v>143450;INF204KB1XL4;-;NIPPON INDIA FIXED HORIZON FUND - XXXVII - SERIES 09 - IDCW Option;13.4372;26-May-2022</v>
      </c>
      <c r="B13730" s="1"/>
    </row>
    <row r="13731">
      <c r="A13731" s="1" t="str">
        <f>IFERROR(__xludf.DUMMYFUNCTION("""COMPUTED_VALUE"""),"143453;INF204KB1XM2;-;Nippon India Fixed Horizon Fund XXXVII- Series 9- Direct Plan- Growth Option;13.5859;26-May-2022")</f>
        <v>143453;INF204KB1XM2;-;Nippon India Fixed Horizon Fund XXXVII- Series 9- Direct Plan- Growth Option;13.5859;26-May-2022</v>
      </c>
      <c r="B13731" s="1"/>
    </row>
    <row r="13732">
      <c r="A13732" s="1" t="str">
        <f>IFERROR(__xludf.DUMMYFUNCTION("""COMPUTED_VALUE"""),"143452;INF204KB1XK6;-;Nippon India Fixed Horizon Fund XXXVII- Series 9- Growth Option;13.4372;26-May-2022")</f>
        <v>143452;INF204KB1XK6;-;Nippon India Fixed Horizon Fund XXXVII- Series 9- Growth Option;13.4372;26-May-2022</v>
      </c>
      <c r="B13732" s="1"/>
    </row>
    <row r="13733">
      <c r="A13733" s="1" t="str">
        <f>IFERROR(__xludf.DUMMYFUNCTION("""COMPUTED_VALUE"""),"143902;INF204KB1A97;-;NIPPON INDIA FIXED HORIZON FUND - XXXVIII - SERIES 01 - DIRECT Plan - IDCW Option;10.0000;08-Jul-2021")</f>
        <v>143902;INF204KB1A97;-;NIPPON INDIA FIXED HORIZON FUND - XXXVIII - SERIES 01 - DIRECT Plan - IDCW Option;10.0000;08-Jul-2021</v>
      </c>
      <c r="B13733" s="1"/>
    </row>
    <row r="13734">
      <c r="A13734" s="1" t="str">
        <f>IFERROR(__xludf.DUMMYFUNCTION("""COMPUTED_VALUE"""),"143901;INF204KB1A89;-;Nippon India Fixed Horizon Fund XXXVIII- Series 1- Direct Plan- Growth Option;12.6826;08-Jul-2021")</f>
        <v>143901;INF204KB1A89;-;Nippon India Fixed Horizon Fund XXXVIII- Series 1- Direct Plan- Growth Option;12.6826;08-Jul-2021</v>
      </c>
      <c r="B13734" s="1"/>
    </row>
    <row r="13735">
      <c r="A13735" s="1" t="str">
        <f>IFERROR(__xludf.DUMMYFUNCTION("""COMPUTED_VALUE"""),"143899;INF204KB1A63;-;Nippon India Fixed Horizon Fund XXXVIII- Series 1- Growth Option;12.5859;08-Jul-2021")</f>
        <v>143899;INF204KB1A63;-;Nippon India Fixed Horizon Fund XXXVIII- Series 1- Growth Option;12.5859;08-Jul-2021</v>
      </c>
      <c r="B13735" s="1"/>
    </row>
    <row r="13736">
      <c r="A13736" s="1" t="str">
        <f>IFERROR(__xludf.DUMMYFUNCTION("""COMPUTED_VALUE"""),"144354;INF204KB1E51;-;NIPPON INDIA FIXED HORIZON FUND - XXXVIII - SERIES 10 - DIRECT Plan - IDCW Option;13.7640;26-May-2022")</f>
        <v>144354;INF204KB1E51;-;NIPPON INDIA FIXED HORIZON FUND - XXXVIII - SERIES 10 - DIRECT Plan - IDCW Option;13.7640;26-May-2022</v>
      </c>
      <c r="B13736" s="1"/>
    </row>
    <row r="13737">
      <c r="A13737" s="1" t="str">
        <f>IFERROR(__xludf.DUMMYFUNCTION("""COMPUTED_VALUE"""),"144351;INF204KB1E36;-;NIPPON INDIA FIXED HORIZON FUND - XXXVIII - SERIES 10 - IDCW Option;13.6005;26-May-2022")</f>
        <v>144351;INF204KB1E36;-;NIPPON INDIA FIXED HORIZON FUND - XXXVIII - SERIES 10 - IDCW Option;13.6005;26-May-2022</v>
      </c>
      <c r="B13737" s="1"/>
    </row>
    <row r="13738">
      <c r="A13738" s="1" t="str">
        <f>IFERROR(__xludf.DUMMYFUNCTION("""COMPUTED_VALUE"""),"144352;INF204KB1E44;-;Nippon India Fixed Horizon Fund XXXVIII- Series 10- Direct Plan- Growth Option;13.7640;26-May-2022")</f>
        <v>144352;INF204KB1E44;-;Nippon India Fixed Horizon Fund XXXVIII- Series 10- Direct Plan- Growth Option;13.7640;26-May-2022</v>
      </c>
      <c r="B13738" s="1"/>
    </row>
    <row r="13739">
      <c r="A13739" s="1" t="str">
        <f>IFERROR(__xludf.DUMMYFUNCTION("""COMPUTED_VALUE"""),"144353;INF204KB1E28;-;Nippon India Fixed Horizon Fund XXXVIII- Series 10- Growth Option;13.6005;26-May-2022")</f>
        <v>144353;INF204KB1E28;-;Nippon India Fixed Horizon Fund XXXVIII- Series 10- Growth Option;13.6005;26-May-2022</v>
      </c>
      <c r="B13739" s="1"/>
    </row>
    <row r="13740">
      <c r="A13740" s="1" t="str">
        <f>IFERROR(__xludf.DUMMYFUNCTION("""COMPUTED_VALUE"""),"144483;INF204KB1E93;-;NIPPON INDIA FIXED HORIZON FUND - XXXVIII - SERIES 11 - DIRECT Plan - IDCW Option;12.9696;22-Oct-2021")</f>
        <v>144483;INF204KB1E93;-;NIPPON INDIA FIXED HORIZON FUND - XXXVIII - SERIES 11 - DIRECT Plan - IDCW Option;12.9696;22-Oct-2021</v>
      </c>
      <c r="B13740" s="1"/>
    </row>
    <row r="13741">
      <c r="A13741" s="1" t="str">
        <f>IFERROR(__xludf.DUMMYFUNCTION("""COMPUTED_VALUE"""),"144481;INF204KB1E77;-;NIPPON INDIA FIXED HORIZON FUND - XXXVIII - SERIES 11 - IDCW Option;12.9195;22-Oct-2021")</f>
        <v>144481;INF204KB1E77;-;NIPPON INDIA FIXED HORIZON FUND - XXXVIII - SERIES 11 - IDCW Option;12.9195;22-Oct-2021</v>
      </c>
      <c r="B13741" s="1"/>
    </row>
    <row r="13742">
      <c r="A13742" s="1" t="str">
        <f>IFERROR(__xludf.DUMMYFUNCTION("""COMPUTED_VALUE"""),"144482;INF204KB1E85;-;Nippon India Fixed Horizon Fund XXXVIII- Series 11- Direct Plan- Growth Option;12.9696;22-Oct-2021")</f>
        <v>144482;INF204KB1E85;-;Nippon India Fixed Horizon Fund XXXVIII- Series 11- Direct Plan- Growth Option;12.9696;22-Oct-2021</v>
      </c>
      <c r="B13742" s="1"/>
    </row>
    <row r="13743">
      <c r="A13743" s="1" t="str">
        <f>IFERROR(__xludf.DUMMYFUNCTION("""COMPUTED_VALUE"""),"144480;INF204KB1E69;-;Nippon India Fixed Horizon Fund XXXVIII- Series 11- Growth Option;12.9195;22-Oct-2021")</f>
        <v>144480;INF204KB1E69;-;Nippon India Fixed Horizon Fund XXXVIII- Series 11- Growth Option;12.9195;22-Oct-2021</v>
      </c>
      <c r="B13743" s="1"/>
    </row>
    <row r="13744">
      <c r="A13744" s="1" t="str">
        <f>IFERROR(__xludf.DUMMYFUNCTION("""COMPUTED_VALUE"""),"144529;INF204KB1F35;-;NIPPON INDIA FIXED HORIZON FUND - XXXVIII - SERIES 12 - DIRECT Plan - IDCW Option;12.8127;18-Oct-2021")</f>
        <v>144529;INF204KB1F35;-;NIPPON INDIA FIXED HORIZON FUND - XXXVIII - SERIES 12 - DIRECT Plan - IDCW Option;12.8127;18-Oct-2021</v>
      </c>
      <c r="B13744" s="1"/>
    </row>
    <row r="13745">
      <c r="A13745" s="1" t="str">
        <f>IFERROR(__xludf.DUMMYFUNCTION("""COMPUTED_VALUE"""),"144530;INF204KB1F19;-;NIPPON INDIA FIXED HORIZON FUND - XXXVIII - SERIES 12 - IDCW Option;12.7114;18-Oct-2021")</f>
        <v>144530;INF204KB1F19;-;NIPPON INDIA FIXED HORIZON FUND - XXXVIII - SERIES 12 - IDCW Option;12.7114;18-Oct-2021</v>
      </c>
      <c r="B13745" s="1"/>
    </row>
    <row r="13746">
      <c r="A13746" s="1" t="str">
        <f>IFERROR(__xludf.DUMMYFUNCTION("""COMPUTED_VALUE"""),"144528;INF204KB1F27;-;Nippon India Fixed Horizon Fund XXXVIII- Series 12- Direct Plan- Growth Option;12.8127;18-Oct-2021")</f>
        <v>144528;INF204KB1F27;-;Nippon India Fixed Horizon Fund XXXVIII- Series 12- Direct Plan- Growth Option;12.8127;18-Oct-2021</v>
      </c>
      <c r="B13746" s="1"/>
    </row>
    <row r="13747">
      <c r="A13747" s="1" t="str">
        <f>IFERROR(__xludf.DUMMYFUNCTION("""COMPUTED_VALUE"""),"144527;INF204KB1F01;-;Nippon India Fixed Horizon Fund XXXVIII- Series 12- Growth Option;12.7114;18-Oct-2021")</f>
        <v>144527;INF204KB1F01;-;Nippon India Fixed Horizon Fund XXXVIII- Series 12- Growth Option;12.7114;18-Oct-2021</v>
      </c>
      <c r="B13747" s="1"/>
    </row>
    <row r="13748">
      <c r="A13748" s="1" t="str">
        <f>IFERROR(__xludf.DUMMYFUNCTION("""COMPUTED_VALUE"""),"144627;INF204KB1G18;-;NIPPON INDIA FIXED HORIZON FUND - XXXVIII - SERIES 14 - DIRECT Plan - IDCW Option;12.8853;20-Oct-2021")</f>
        <v>144627;INF204KB1G18;-;NIPPON INDIA FIXED HORIZON FUND - XXXVIII - SERIES 14 - DIRECT Plan - IDCW Option;12.8853;20-Oct-2021</v>
      </c>
      <c r="B13748" s="1"/>
    </row>
    <row r="13749">
      <c r="A13749" s="1" t="str">
        <f>IFERROR(__xludf.DUMMYFUNCTION("""COMPUTED_VALUE"""),"144625;INF204KB1F92;-;NIPPON INDIA FIXED HORIZON FUND - XXXVIII - SERIES 14 - IDCW Option;12.7843;20-Oct-2021")</f>
        <v>144625;INF204KB1F92;-;NIPPON INDIA FIXED HORIZON FUND - XXXVIII - SERIES 14 - IDCW Option;12.7843;20-Oct-2021</v>
      </c>
      <c r="B13749" s="1"/>
    </row>
    <row r="13750">
      <c r="A13750" s="1" t="str">
        <f>IFERROR(__xludf.DUMMYFUNCTION("""COMPUTED_VALUE"""),"144626;INF204KB1G00;-;Nippon India Fixed Horizon Fund XXXVIII- Series 14- Direct Plan- Growth Option;12.8854;20-Oct-2021")</f>
        <v>144626;INF204KB1G00;-;Nippon India Fixed Horizon Fund XXXVIII- Series 14- Direct Plan- Growth Option;12.8854;20-Oct-2021</v>
      </c>
      <c r="B13750" s="1"/>
    </row>
    <row r="13751">
      <c r="A13751" s="1" t="str">
        <f>IFERROR(__xludf.DUMMYFUNCTION("""COMPUTED_VALUE"""),"144624;INF204KB1F84;-;Nippon India Fixed Horizon Fund XXXVIII- Series 14- Growth Option;12.7843;20-Oct-2021")</f>
        <v>144624;INF204KB1F84;-;Nippon India Fixed Horizon Fund XXXVIII- Series 14- Growth Option;12.7843;20-Oct-2021</v>
      </c>
      <c r="B13751" s="1"/>
    </row>
    <row r="13752">
      <c r="A13752" s="1" t="str">
        <f>IFERROR(__xludf.DUMMYFUNCTION("""COMPUTED_VALUE"""),"143947;INF204KB1B39;-;NIPPON INDIA FIXED HORIZON FUND - XXXVIII - SERIES 02 - DIRECT Plan - IDCW Option;13.6408;26-May-2022")</f>
        <v>143947;INF204KB1B39;-;NIPPON INDIA FIXED HORIZON FUND - XXXVIII - SERIES 02 - DIRECT Plan - IDCW Option;13.6408;26-May-2022</v>
      </c>
      <c r="B13752" s="1"/>
    </row>
    <row r="13753">
      <c r="A13753" s="1" t="str">
        <f>IFERROR(__xludf.DUMMYFUNCTION("""COMPUTED_VALUE"""),"143945;INF204KB1B13;-;NIPPON INDIA FIXED HORIZON FUND - XXXVIII - SERIES 02 - IDCW Option;13.4965;26-May-2022")</f>
        <v>143945;INF204KB1B13;-;NIPPON INDIA FIXED HORIZON FUND - XXXVIII - SERIES 02 - IDCW Option;13.4965;26-May-2022</v>
      </c>
      <c r="B13753" s="1"/>
    </row>
    <row r="13754">
      <c r="A13754" s="1" t="str">
        <f>IFERROR(__xludf.DUMMYFUNCTION("""COMPUTED_VALUE"""),"143946;INF204KB1B21;-;Nippon India Fixed Horizon Fund XXXVIII- Series 2- Direct Plan- Growth Option;13.6408;26-May-2022")</f>
        <v>143946;INF204KB1B21;-;Nippon India Fixed Horizon Fund XXXVIII- Series 2- Direct Plan- Growth Option;13.6408;26-May-2022</v>
      </c>
      <c r="B13754" s="1"/>
    </row>
    <row r="13755">
      <c r="A13755" s="1" t="str">
        <f>IFERROR(__xludf.DUMMYFUNCTION("""COMPUTED_VALUE"""),"143948;INF204KB1B05;-;Nippon India Fixed Horizon Fund XXXVIII- Series 2- Growth Option;13.4966;26-May-2022")</f>
        <v>143948;INF204KB1B05;-;Nippon India Fixed Horizon Fund XXXVIII- Series 2- Growth Option;13.4966;26-May-2022</v>
      </c>
      <c r="B13755" s="1"/>
    </row>
    <row r="13756">
      <c r="A13756" s="1" t="str">
        <f>IFERROR(__xludf.DUMMYFUNCTION("""COMPUTED_VALUE"""),"143950;INF204KB1B70;-;NIPPON INDIA FIXED HORIZON FUND - XXXVIII - SERIES 03 - DIRECT Plan - IDCW Option;10.0000;14-Jul-2021")</f>
        <v>143950;INF204KB1B70;-;NIPPON INDIA FIXED HORIZON FUND - XXXVIII - SERIES 03 - DIRECT Plan - IDCW Option;10.0000;14-Jul-2021</v>
      </c>
      <c r="B13756" s="1"/>
    </row>
    <row r="13757">
      <c r="A13757" s="1" t="str">
        <f>IFERROR(__xludf.DUMMYFUNCTION("""COMPUTED_VALUE"""),"143952;INF204KB1B54;-;NIPPON INDIA FIXED HORIZON FUND - XXXVIII - SERIES 03 - IDCW Option;10.0000;14-Jul-2021")</f>
        <v>143952;INF204KB1B54;-;NIPPON INDIA FIXED HORIZON FUND - XXXVIII - SERIES 03 - IDCW Option;10.0000;14-Jul-2021</v>
      </c>
      <c r="B13757" s="1"/>
    </row>
    <row r="13758">
      <c r="A13758" s="1" t="str">
        <f>IFERROR(__xludf.DUMMYFUNCTION("""COMPUTED_VALUE"""),"143949;INF204KB1B62;-;Nippon India Fixed Horizon Fund XXXVIII- Series 3- Direct Plan- Growth Option;12.6619;14-Jul-2021")</f>
        <v>143949;INF204KB1B62;-;Nippon India Fixed Horizon Fund XXXVIII- Series 3- Direct Plan- Growth Option;12.6619;14-Jul-2021</v>
      </c>
      <c r="B13758" s="1"/>
    </row>
    <row r="13759">
      <c r="A13759" s="1" t="str">
        <f>IFERROR(__xludf.DUMMYFUNCTION("""COMPUTED_VALUE"""),"143951;INF204KB1B47;-;Nippon India Fixed Horizon Fund XXXVIII- Series 3- Growth Option;12.5665;14-Jul-2021")</f>
        <v>143951;INF204KB1B47;-;Nippon India Fixed Horizon Fund XXXVIII- Series 3- Growth Option;12.5665;14-Jul-2021</v>
      </c>
      <c r="B13759" s="1"/>
    </row>
    <row r="13760">
      <c r="A13760" s="1" t="str">
        <f>IFERROR(__xludf.DUMMYFUNCTION("""COMPUTED_VALUE"""),"144083;INF204KB1C53;-;NIPPON INDIA FIXED HORIZON FUND - XXXVIII - SERIES 05 - DIRECT Plan - IDCW Option;10.0000;10-Aug-2021")</f>
        <v>144083;INF204KB1C53;-;NIPPON INDIA FIXED HORIZON FUND - XXXVIII - SERIES 05 - DIRECT Plan - IDCW Option;10.0000;10-Aug-2021</v>
      </c>
      <c r="B13760" s="1"/>
    </row>
    <row r="13761">
      <c r="A13761" s="1" t="str">
        <f>IFERROR(__xludf.DUMMYFUNCTION("""COMPUTED_VALUE"""),"144082;INF204KB1C38;-;NIPPON INDIA FIXED HORIZON FUND - XXXVIII - SERIES 05 - IDCW Option;10.0000;10-Aug-2021")</f>
        <v>144082;INF204KB1C38;-;NIPPON INDIA FIXED HORIZON FUND - XXXVIII - SERIES 05 - IDCW Option;10.0000;10-Aug-2021</v>
      </c>
      <c r="B13761" s="1"/>
    </row>
    <row r="13762">
      <c r="A13762" s="1" t="str">
        <f>IFERROR(__xludf.DUMMYFUNCTION("""COMPUTED_VALUE"""),"144084;INF204KB1C46;-;Nippon India Fixed Horizon Fund XXXVIII- Series 5- Direct Plan - Growth Option;12.7477;10-Aug-2021")</f>
        <v>144084;INF204KB1C46;-;Nippon India Fixed Horizon Fund XXXVIII- Series 5- Direct Plan - Growth Option;12.7477;10-Aug-2021</v>
      </c>
      <c r="B13762" s="1"/>
    </row>
    <row r="13763">
      <c r="A13763" s="1" t="str">
        <f>IFERROR(__xludf.DUMMYFUNCTION("""COMPUTED_VALUE"""),"144081;INF204KB1C20;-;Nippon India Fixed Horizon Fund XXXVIII- Series 5- Growth Option;12.6499;10-Aug-2021")</f>
        <v>144081;INF204KB1C20;-;Nippon India Fixed Horizon Fund XXXVIII- Series 5- Growth Option;12.6499;10-Aug-2021</v>
      </c>
      <c r="B13763" s="1"/>
    </row>
    <row r="13764">
      <c r="A13764" s="1" t="str">
        <f>IFERROR(__xludf.DUMMYFUNCTION("""COMPUTED_VALUE"""),"144161;INF204KB1C95;-;NIPPON INDIA FIXED HORIZON FUND - XXXVIII - SERIES 06 - DIRECT Plan - IDCW Option;10.0000;17-Aug-2021")</f>
        <v>144161;INF204KB1C95;-;NIPPON INDIA FIXED HORIZON FUND - XXXVIII - SERIES 06 - DIRECT Plan - IDCW Option;10.0000;17-Aug-2021</v>
      </c>
      <c r="B13764" s="1"/>
    </row>
    <row r="13765">
      <c r="A13765" s="1" t="str">
        <f>IFERROR(__xludf.DUMMYFUNCTION("""COMPUTED_VALUE"""),"144162;INF204KB1C79;-;NIPPON INDIA FIXED HORIZON FUND - XXXVIII - SERIES 06 - IDCW Option;10.0000;17-Aug-2021")</f>
        <v>144162;INF204KB1C79;-;NIPPON INDIA FIXED HORIZON FUND - XXXVIII - SERIES 06 - IDCW Option;10.0000;17-Aug-2021</v>
      </c>
      <c r="B13765" s="1"/>
    </row>
    <row r="13766">
      <c r="A13766" s="1" t="str">
        <f>IFERROR(__xludf.DUMMYFUNCTION("""COMPUTED_VALUE"""),"144159;INF204KB1C87;-;Nippon India Fixed Horizon Fund XXXVIII- Series 6- Direct Plan -Growth Option;12.7055;17-Aug-2021")</f>
        <v>144159;INF204KB1C87;-;Nippon India Fixed Horizon Fund XXXVIII- Series 6- Direct Plan -Growth Option;12.7055;17-Aug-2021</v>
      </c>
      <c r="B13766" s="1"/>
    </row>
    <row r="13767">
      <c r="A13767" s="1" t="str">
        <f>IFERROR(__xludf.DUMMYFUNCTION("""COMPUTED_VALUE"""),"144160;INF204KB1C61;-;Nippon India Fixed Horizon Fund XXXVIII- Series 6- Growth Option;12.6115;17-Aug-2021")</f>
        <v>144160;INF204KB1C61;-;Nippon India Fixed Horizon Fund XXXVIII- Series 6- Growth Option;12.6115;17-Aug-2021</v>
      </c>
      <c r="B13767" s="1"/>
    </row>
    <row r="13768">
      <c r="A13768" s="1" t="str">
        <f>IFERROR(__xludf.DUMMYFUNCTION("""COMPUTED_VALUE"""),"144249;INF204KB1D37;-;NIPPON INDIA FIXED HORIZON FUND - XXXVIII - SERIES 07 - DIRECT Plan - IDCW Option;10.0000;23-Aug-2021")</f>
        <v>144249;INF204KB1D37;-;NIPPON INDIA FIXED HORIZON FUND - XXXVIII - SERIES 07 - DIRECT Plan - IDCW Option;10.0000;23-Aug-2021</v>
      </c>
      <c r="B13768" s="1"/>
    </row>
    <row r="13769">
      <c r="A13769" s="1" t="str">
        <f>IFERROR(__xludf.DUMMYFUNCTION("""COMPUTED_VALUE"""),"144247;INF204KB1D11;-;NIPPON INDIA FIXED HORIZON FUND - XXXVIII - SERIES 07 - IDCW Option;10.0000;23-Aug-2021")</f>
        <v>144247;INF204KB1D11;-;NIPPON INDIA FIXED HORIZON FUND - XXXVIII - SERIES 07 - IDCW Option;10.0000;23-Aug-2021</v>
      </c>
      <c r="B13769" s="1"/>
    </row>
    <row r="13770">
      <c r="A13770" s="1" t="str">
        <f>IFERROR(__xludf.DUMMYFUNCTION("""COMPUTED_VALUE"""),"144248;INF204KB1D29;-;Nippon India Fixed Horizon Fund XXXVIII- Series 7- Direct Plan- Growth Option;12.7462;23-Aug-2021")</f>
        <v>144248;INF204KB1D29;-;Nippon India Fixed Horizon Fund XXXVIII- Series 7- Direct Plan- Growth Option;12.7462;23-Aug-2021</v>
      </c>
      <c r="B13770" s="1"/>
    </row>
    <row r="13771">
      <c r="A13771" s="1" t="str">
        <f>IFERROR(__xludf.DUMMYFUNCTION("""COMPUTED_VALUE"""),"144250;INF204KB1D03;-;Nippon India Fixed Horizon Fund XXXVIII- Series 7- Growth Option;12.6492;23-Aug-2021")</f>
        <v>144250;INF204KB1D03;-;Nippon India Fixed Horizon Fund XXXVIII- Series 7- Growth Option;12.6492;23-Aug-2021</v>
      </c>
      <c r="B13771" s="1"/>
    </row>
    <row r="13772">
      <c r="A13772" s="1" t="str">
        <f>IFERROR(__xludf.DUMMYFUNCTION("""COMPUTED_VALUE"""),"116671;INF204KA1H68;-;Reliance Dual Advantage Fixed Tenure Fund - II - Plan A - Dividend Payout Option;14.9686;29-Apr-2015")</f>
        <v>116671;INF204KA1H68;-;Reliance Dual Advantage Fixed Tenure Fund - II - Plan A - Dividend Payout Option;14.9686;29-Apr-2015</v>
      </c>
      <c r="B13772" s="1"/>
    </row>
    <row r="13773">
      <c r="A13773" s="1" t="str">
        <f>IFERROR(__xludf.DUMMYFUNCTION("""COMPUTED_VALUE"""),"116670;INF204KA1H50;-;Reliance Dual Advantage Fixed Tenure Fund - II - Plan A - Growth Option;15.1699;29-Apr-2015")</f>
        <v>116670;INF204KA1H50;-;Reliance Dual Advantage Fixed Tenure Fund - II - Plan A - Growth Option;15.1699;29-Apr-2015</v>
      </c>
      <c r="B13773" s="1"/>
    </row>
    <row r="13774">
      <c r="A13774" s="1" t="str">
        <f>IFERROR(__xludf.DUMMYFUNCTION("""COMPUTED_VALUE"""),"116933;INF204K01RS4;-;Reliance Dual Advantage Fixed Tenure Fund II - Plan B - Dividend Payout Option;15.0554;29-Apr-2015")</f>
        <v>116933;INF204K01RS4;-;Reliance Dual Advantage Fixed Tenure Fund II - Plan B - Dividend Payout Option;15.0554;29-Apr-2015</v>
      </c>
      <c r="B13774" s="1"/>
    </row>
    <row r="13775">
      <c r="A13775" s="1" t="str">
        <f>IFERROR(__xludf.DUMMYFUNCTION("""COMPUTED_VALUE"""),"116932;INF204K01RR6;-;Reliance Dual Advantge Fixed Tenure Fund II - Plan B - Growth Option;15.2557;29-Apr-2015")</f>
        <v>116932;INF204K01RR6;-;Reliance Dual Advantge Fixed Tenure Fund II - Plan B - Growth Option;15.2557;29-Apr-2015</v>
      </c>
      <c r="B13775" s="1"/>
    </row>
    <row r="13776">
      <c r="A13776" s="1" t="str">
        <f>IFERROR(__xludf.DUMMYFUNCTION("""COMPUTED_VALUE"""),"117222;INF204KA1X68;-;Reliance Dual Advantage Fixed Tenure Fund II - Plan C - Dividend Payout Option;15.7512;01-Jun-2015")</f>
        <v>117222;INF204KA1X68;-;Reliance Dual Advantage Fixed Tenure Fund II - Plan C - Dividend Payout Option;15.7512;01-Jun-2015</v>
      </c>
      <c r="B13776" s="1"/>
    </row>
    <row r="13777">
      <c r="A13777" s="1" t="str">
        <f>IFERROR(__xludf.DUMMYFUNCTION("""COMPUTED_VALUE"""),"117223;INF204KA1X50;-;Reliance Dual Advantage Fixed Tenure Fund II - Plan C - Growth Option;15.9518;01-Jun-2015")</f>
        <v>117223;INF204KA1X50;-;Reliance Dual Advantage Fixed Tenure Fund II - Plan C - Growth Option;15.9518;01-Jun-2015</v>
      </c>
      <c r="B13777" s="1"/>
    </row>
    <row r="13778">
      <c r="A13778" s="1" t="str">
        <f>IFERROR(__xludf.DUMMYFUNCTION("""COMPUTED_VALUE"""),"117562;INF204K01RW6;-;Reliance Dual Advantage Fixed Tenure Fund II - Plan D - Dividend Payout Option;14.3814;04-Aug-2015")</f>
        <v>117562;INF204K01RW6;-;Reliance Dual Advantage Fixed Tenure Fund II - Plan D - Dividend Payout Option;14.3814;04-Aug-2015</v>
      </c>
      <c r="B13778" s="1"/>
    </row>
    <row r="13779">
      <c r="A13779" s="1" t="str">
        <f>IFERROR(__xludf.DUMMYFUNCTION("""COMPUTED_VALUE"""),"117561;INF204K01RV8;-;Reliance Dual Advantage Fixed Tenure Fund II - Plan D - Growth Option;14.5819;04-Aug-2015")</f>
        <v>117561;INF204K01RV8;-;Reliance Dual Advantage Fixed Tenure Fund II - Plan D - Growth Option;14.5819;04-Aug-2015</v>
      </c>
      <c r="B13779" s="1"/>
    </row>
    <row r="13780">
      <c r="A13780" s="1" t="str">
        <f>IFERROR(__xludf.DUMMYFUNCTION("""COMPUTED_VALUE"""),"117704;INF204K01RY2;-;Reliance Dual Advantage Fixed Tenure Fund II - Plan E - Dividend Payout Option;14.3834;01-Sep-2015")</f>
        <v>117704;INF204K01RY2;-;Reliance Dual Advantage Fixed Tenure Fund II - Plan E - Dividend Payout Option;14.3834;01-Sep-2015</v>
      </c>
      <c r="B13780" s="1"/>
    </row>
    <row r="13781">
      <c r="A13781" s="1" t="str">
        <f>IFERROR(__xludf.DUMMYFUNCTION("""COMPUTED_VALUE"""),"117705;INF204K01RX4;-;Reliance Dual Advantage Fixed Tenure Fund II - Plan E - Growth Option;14.5839;01-Sep-2015")</f>
        <v>117705;INF204K01RX4;-;Reliance Dual Advantage Fixed Tenure Fund II - Plan E - Growth Option;14.5839;01-Sep-2015</v>
      </c>
      <c r="B13781" s="1"/>
    </row>
    <row r="13782">
      <c r="A13782" s="1" t="str">
        <f>IFERROR(__xludf.DUMMYFUNCTION("""COMPUTED_VALUE"""),"117340;INF204K01SC6;-;Reliance Dual Advantage Fixed Tenure Fund II - Plan G - Dividend Payout Option;16.0502;30-May-2017")</f>
        <v>117340;INF204K01SC6;-;Reliance Dual Advantage Fixed Tenure Fund II - Plan G - Dividend Payout Option;16.0502;30-May-2017</v>
      </c>
      <c r="B13782" s="1"/>
    </row>
    <row r="13783">
      <c r="A13783" s="1" t="str">
        <f>IFERROR(__xludf.DUMMYFUNCTION("""COMPUTED_VALUE"""),"117339;INF204K01SB8;-;Reliance Dual Advantage Fixed Tenure Fund II - Plan G - Growth Option;16.0602;30-May-2017")</f>
        <v>117339;INF204K01SB8;-;Reliance Dual Advantage Fixed Tenure Fund II - Plan G - Growth Option;16.0602;30-May-2017</v>
      </c>
      <c r="B13783" s="1"/>
    </row>
    <row r="13784">
      <c r="A13784" s="1" t="str">
        <f>IFERROR(__xludf.DUMMYFUNCTION("""COMPUTED_VALUE"""),"117601;INF204K01SE2;-;Reliance Dual Advantage Fixed Tenure Fund II - Plan H - Dividend Payout Option;15.5512;24-Jul-2017")</f>
        <v>117601;INF204K01SE2;-;Reliance Dual Advantage Fixed Tenure Fund II - Plan H - Dividend Payout Option;15.5512;24-Jul-2017</v>
      </c>
      <c r="B13784" s="1"/>
    </row>
    <row r="13785">
      <c r="A13785" s="1" t="str">
        <f>IFERROR(__xludf.DUMMYFUNCTION("""COMPUTED_VALUE"""),"117600;INF204K01SD4;-;Reliance Dual Advantage Fixed Tenure Fund II - Plan H - Growth Option;15.5612;24-Jul-2017")</f>
        <v>117600;INF204K01SD4;-;Reliance Dual Advantage Fixed Tenure Fund II - Plan H - Growth Option;15.5612;24-Jul-2017</v>
      </c>
      <c r="B13785" s="1"/>
    </row>
    <row r="13786">
      <c r="A13786" s="1" t="str">
        <f>IFERROR(__xludf.DUMMYFUNCTION("""COMPUTED_VALUE"""),"121096;INF204K01M96;-;Reliance Dual Advantage Fixed Tenure Fund III - Plan A - Direct Plan - Dividend Payout Option;13.1471;06-Jan-2016")</f>
        <v>121096;INF204K01M96;-;Reliance Dual Advantage Fixed Tenure Fund III - Plan A - Direct Plan - Dividend Payout Option;13.1471;06-Jan-2016</v>
      </c>
      <c r="B13786" s="1"/>
    </row>
    <row r="13787">
      <c r="A13787" s="1" t="str">
        <f>IFERROR(__xludf.DUMMYFUNCTION("""COMPUTED_VALUE"""),"121095;INF204K01M88;-;Reliance Dual Advantage Fixed Tenure Fund III - Plan A - Direct Plan - Growth Option;13.5024;11-Apr-2016")</f>
        <v>121095;INF204K01M88;-;Reliance Dual Advantage Fixed Tenure Fund III - Plan A - Direct Plan - Growth Option;13.5024;11-Apr-2016</v>
      </c>
      <c r="B13787" s="1"/>
    </row>
    <row r="13788">
      <c r="A13788" s="1" t="str">
        <f>IFERROR(__xludf.DUMMYFUNCTION("""COMPUTED_VALUE"""),"121098;INF204K01M70;-;Reliance Dual Advantage Fixed Tenure Fund III - Plan A - Dividend Payout Option;12.9010;11-Apr-2016")</f>
        <v>121098;INF204K01M70;-;Reliance Dual Advantage Fixed Tenure Fund III - Plan A - Dividend Payout Option;12.9010;11-Apr-2016</v>
      </c>
      <c r="B13788" s="1"/>
    </row>
    <row r="13789">
      <c r="A13789" s="1" t="str">
        <f>IFERROR(__xludf.DUMMYFUNCTION("""COMPUTED_VALUE"""),"121097;INF204K01M62;-;Reliance Dual Advantage Fixed Tenure Fund III - Plan A - Growth Option;13.1028;11-Apr-2016")</f>
        <v>121097;INF204K01M62;-;Reliance Dual Advantage Fixed Tenure Fund III - Plan A - Growth Option;13.1028;11-Apr-2016</v>
      </c>
      <c r="B13789" s="1"/>
    </row>
    <row r="13790">
      <c r="A13790" s="1" t="str">
        <f>IFERROR(__xludf.DUMMYFUNCTION("""COMPUTED_VALUE"""),"122240;INF204K01N38;-;Reliance Dual Advantage Fixed Tenure Fund III - Plan B - Direct Plan - Dividend Payout Option;14.4006;19-May-2016")</f>
        <v>122240;INF204K01N38;-;Reliance Dual Advantage Fixed Tenure Fund III - Plan B - Direct Plan - Dividend Payout Option;14.4006;19-May-2016</v>
      </c>
      <c r="B13790" s="1"/>
    </row>
    <row r="13791">
      <c r="A13791" s="1" t="str">
        <f>IFERROR(__xludf.DUMMYFUNCTION("""COMPUTED_VALUE"""),"122238;INF204K01N20;-;Reliance Dual Advantage Fixed Tenure Fund III - Plan B - Direct Plan - Growth Option;14.5006;19-May-2016")</f>
        <v>122238;INF204K01N20;-;Reliance Dual Advantage Fixed Tenure Fund III - Plan B - Direct Plan - Growth Option;14.5006;19-May-2016</v>
      </c>
      <c r="B13791" s="1"/>
    </row>
    <row r="13792">
      <c r="A13792" s="1" t="str">
        <f>IFERROR(__xludf.DUMMYFUNCTION("""COMPUTED_VALUE"""),"122239;INF204K01N12;-;Reliance Dual Advantage Fixed Tenure Fund III - Plan B - Dividend Payout Option;13.9369;19-May-2016")</f>
        <v>122239;INF204K01N12;-;Reliance Dual Advantage Fixed Tenure Fund III - Plan B - Dividend Payout Option;13.9369;19-May-2016</v>
      </c>
      <c r="B13792" s="1"/>
    </row>
    <row r="13793">
      <c r="A13793" s="1" t="str">
        <f>IFERROR(__xludf.DUMMYFUNCTION("""COMPUTED_VALUE"""),"122237;INF204K01N04;-;Reliance Dual Advantage Fixed Tenure Fund III - Plan B - Growth Option;14.0369;19-May-2016")</f>
        <v>122237;INF204K01N04;-;Reliance Dual Advantage Fixed Tenure Fund III - Plan B - Growth Option;14.0369;19-May-2016</v>
      </c>
      <c r="B13793" s="1"/>
    </row>
    <row r="13794">
      <c r="A13794" s="1" t="str">
        <f>IFERROR(__xludf.DUMMYFUNCTION("""COMPUTED_VALUE"""),"122510;INF204K01N79;-;Reliance Dual Advantage Fixed Tenure Fund III - Plan C - Direct Plan - Dividend Option;10.0000;30-Jul-2019")</f>
        <v>122510;INF204K01N79;-;Reliance Dual Advantage Fixed Tenure Fund III - Plan C - Direct Plan - Dividend Option;10.0000;30-Jul-2019</v>
      </c>
      <c r="B13794" s="1"/>
    </row>
    <row r="13795">
      <c r="A13795" s="1" t="str">
        <f>IFERROR(__xludf.DUMMYFUNCTION("""COMPUTED_VALUE"""),"122512;INF204K01N53;-;Reliance Dual Advantage Fixed Tenure Fund III - Plan C - Dividend Option;10.0000;30-Jul-2019")</f>
        <v>122512;INF204K01N53;-;Reliance Dual Advantage Fixed Tenure Fund III - Plan C - Dividend Option;10.0000;30-Jul-2019</v>
      </c>
      <c r="B13795" s="1"/>
    </row>
    <row r="13796">
      <c r="A13796" s="1" t="str">
        <f>IFERROR(__xludf.DUMMYFUNCTION("""COMPUTED_VALUE"""),"122511;INF204K01N46;-;Reliance Dual Advantage Fixed Tenure Fund III - Plan C - Growth Option;15.7817;30-Jul-2019")</f>
        <v>122511;INF204K01N46;-;Reliance Dual Advantage Fixed Tenure Fund III - Plan C - Growth Option;15.7817;30-Jul-2019</v>
      </c>
      <c r="B13796" s="1"/>
    </row>
    <row r="13797">
      <c r="A13797" s="1" t="str">
        <f>IFERROR(__xludf.DUMMYFUNCTION("""COMPUTED_VALUE"""),"122509;INF204K01N61;-;Reliance Dual Advantage Fixed Tenure Fund III -Plan C- Direct Plan - Growth Option;16.7537;30-Jul-2019")</f>
        <v>122509;INF204K01N61;-;Reliance Dual Advantage Fixed Tenure Fund III -Plan C- Direct Plan - Growth Option;16.7537;30-Jul-2019</v>
      </c>
      <c r="B13797" s="1"/>
    </row>
    <row r="13798">
      <c r="A13798" s="1" t="str">
        <f>IFERROR(__xludf.DUMMYFUNCTION("""COMPUTED_VALUE"""),"122700;INF204K01O11;-;Reliance Dual Advantage Fixed Tenure Fund III - Plan D - Direct Plan - Dividend Payout Option;13.3852;03-Aug-2016")</f>
        <v>122700;INF204K01O11;-;Reliance Dual Advantage Fixed Tenure Fund III - Plan D - Direct Plan - Dividend Payout Option;13.3852;03-Aug-2016</v>
      </c>
      <c r="B13798" s="1"/>
    </row>
    <row r="13799">
      <c r="A13799" s="1" t="str">
        <f>IFERROR(__xludf.DUMMYFUNCTION("""COMPUTED_VALUE"""),"122702;INF204K01O03;-;Reliance Dual Advantage Fixed Tenure Fund III - Plan D - Direct Plan - Growth Option;13.5857;03-Aug-2016")</f>
        <v>122702;INF204K01O03;-;Reliance Dual Advantage Fixed Tenure Fund III - Plan D - Direct Plan - Growth Option;13.5857;03-Aug-2016</v>
      </c>
      <c r="B13799" s="1"/>
    </row>
    <row r="13800">
      <c r="A13800" s="1" t="str">
        <f>IFERROR(__xludf.DUMMYFUNCTION("""COMPUTED_VALUE"""),"122699;INF204K01N95;-;Reliance Dual Advantage Fixed Tenure Fund III - Plan D - Dividend Payout Option;12.9362;03-Aug-2016")</f>
        <v>122699;INF204K01N95;-;Reliance Dual Advantage Fixed Tenure Fund III - Plan D - Dividend Payout Option;12.9362;03-Aug-2016</v>
      </c>
      <c r="B13800" s="1"/>
    </row>
    <row r="13801">
      <c r="A13801" s="1" t="str">
        <f>IFERROR(__xludf.DUMMYFUNCTION("""COMPUTED_VALUE"""),"122701;INF204K01N87;-;Reliance Dual Advantage Fixed Tenure Fund III - Plan D - Growth Option;13.1367;03-Aug-2016")</f>
        <v>122701;INF204K01N87;-;Reliance Dual Advantage Fixed Tenure Fund III - Plan D - Growth Option;13.1367;03-Aug-2016</v>
      </c>
      <c r="B13801" s="1"/>
    </row>
    <row r="13802">
      <c r="A13802" s="1" t="str">
        <f>IFERROR(__xludf.DUMMYFUNCTION("""COMPUTED_VALUE"""),"122913;INF204KA1669;-;Reliance Dual Advantage Fixed Tenure Fund IV - Plan A - Direct Plan -Growth Option;16.8590;31-Jul-2019")</f>
        <v>122913;INF204KA1669;-;Reliance Dual Advantage Fixed Tenure Fund IV - Plan A - Direct Plan -Growth Option;16.8590;31-Jul-2019</v>
      </c>
      <c r="B13802" s="1"/>
    </row>
    <row r="13803">
      <c r="A13803" s="1" t="str">
        <f>IFERROR(__xludf.DUMMYFUNCTION("""COMPUTED_VALUE"""),"122911;INF204KA1677;-;Reliance Dual Advantage Fixed Tenure Fund IV - Plan A - Direct Plan- Dividend Payout option;13.7684;10-Aug-2016")</f>
        <v>122911;INF204KA1677;-;Reliance Dual Advantage Fixed Tenure Fund IV - Plan A - Direct Plan- Dividend Payout option;13.7684;10-Aug-2016</v>
      </c>
      <c r="B13803" s="1"/>
    </row>
    <row r="13804">
      <c r="A13804" s="1" t="str">
        <f>IFERROR(__xludf.DUMMYFUNCTION("""COMPUTED_VALUE"""),"122912;INF204KA1651;-;Reliance Dual Advantage Fixed Tenure Fund IV - Plan A - Dividend Option;13.3200;10-Aug-2016")</f>
        <v>122912;INF204KA1651;-;Reliance Dual Advantage Fixed Tenure Fund IV - Plan A - Dividend Option;13.3200;10-Aug-2016</v>
      </c>
      <c r="B13804" s="1"/>
    </row>
    <row r="13805">
      <c r="A13805" s="1" t="str">
        <f>IFERROR(__xludf.DUMMYFUNCTION("""COMPUTED_VALUE"""),"122910;INF204KA1644;-;Reliance Dual Advantage Fixed Tenure Fund IV - Plan A - Growth Option;15.9063;31-Jul-2019")</f>
        <v>122910;INF204KA1644;-;Reliance Dual Advantage Fixed Tenure Fund IV - Plan A - Growth Option;15.9063;31-Jul-2019</v>
      </c>
      <c r="B13805" s="1"/>
    </row>
    <row r="13806">
      <c r="A13806" s="1" t="str">
        <f>IFERROR(__xludf.DUMMYFUNCTION("""COMPUTED_VALUE"""),"123451;INF204KA1701;-;Reliance Dual Advantage Fixed Tenure Fund IV - Plan B - Direct Plan - Growth Option;13.5494;12-Sep-2016")</f>
        <v>123451;INF204KA1701;-;Reliance Dual Advantage Fixed Tenure Fund IV - Plan B - Direct Plan - Growth Option;13.5494;12-Sep-2016</v>
      </c>
      <c r="B13806" s="1"/>
    </row>
    <row r="13807">
      <c r="A13807" s="1" t="str">
        <f>IFERROR(__xludf.DUMMYFUNCTION("""COMPUTED_VALUE"""),"123453;INF204KA1693;-;Reliance Dual Advantage Fixed Tenure Fund IV - Plan B - Dividend Payout Option;13.0206;12-Sep-2016")</f>
        <v>123453;INF204KA1693;-;Reliance Dual Advantage Fixed Tenure Fund IV - Plan B - Dividend Payout Option;13.0206;12-Sep-2016</v>
      </c>
      <c r="B13807" s="1"/>
    </row>
    <row r="13808">
      <c r="A13808" s="1" t="str">
        <f>IFERROR(__xludf.DUMMYFUNCTION("""COMPUTED_VALUE"""),"123452;INF204KA1685;-;Reliance Dual Advantage Fixed Tenure Fund IV - Plan B - Growth Option;13.1206;12-Sep-2016")</f>
        <v>123452;INF204KA1685;-;Reliance Dual Advantage Fixed Tenure Fund IV - Plan B - Growth Option;13.1206;12-Sep-2016</v>
      </c>
      <c r="B13808" s="1"/>
    </row>
    <row r="13809">
      <c r="A13809" s="1" t="str">
        <f>IFERROR(__xludf.DUMMYFUNCTION("""COMPUTED_VALUE"""),"124338;INF204KA1750;-;Reliance Dual Advantage Fixed Tenure Fund IV - Plan C - Direct Plan - Dividend Payout Option;10.0000;13-Oct-2016")</f>
        <v>124338;INF204KA1750;-;Reliance Dual Advantage Fixed Tenure Fund IV - Plan C - Direct Plan - Dividend Payout Option;10.0000;13-Oct-2016</v>
      </c>
      <c r="B13809" s="1"/>
    </row>
    <row r="13810">
      <c r="A13810" s="1" t="str">
        <f>IFERROR(__xludf.DUMMYFUNCTION("""COMPUTED_VALUE"""),"124339;INF204KA1743;-;Reliance Dual Advantage Fixed Tenure Fund IV - Plan C - Direct Plan - Growth Option;13.8573;13-Oct-2016")</f>
        <v>124339;INF204KA1743;-;Reliance Dual Advantage Fixed Tenure Fund IV - Plan C - Direct Plan - Growth Option;13.8573;13-Oct-2016</v>
      </c>
      <c r="B13810" s="1"/>
    </row>
    <row r="13811">
      <c r="A13811" s="1" t="str">
        <f>IFERROR(__xludf.DUMMYFUNCTION("""COMPUTED_VALUE"""),"124340;INF204KA1735;-;Reliance Dual Advantage Fixed Tenure Fund IV - Plan C - Dividend Payout Option;10.0000;13-Oct-2016")</f>
        <v>124340;INF204KA1735;-;Reliance Dual Advantage Fixed Tenure Fund IV - Plan C - Dividend Payout Option;10.0000;13-Oct-2016</v>
      </c>
      <c r="B13811" s="1"/>
    </row>
    <row r="13812">
      <c r="A13812" s="1" t="str">
        <f>IFERROR(__xludf.DUMMYFUNCTION("""COMPUTED_VALUE"""),"124337;INF204KA1727;-;Reliance Dual Advantage Fixed Tenure Fund IV - Plan C - Growth Option;13.3865;13-Oct-2016")</f>
        <v>124337;INF204KA1727;-;Reliance Dual Advantage Fixed Tenure Fund IV - Plan C - Growth Option;13.3865;13-Oct-2016</v>
      </c>
      <c r="B13812" s="1"/>
    </row>
    <row r="13813">
      <c r="A13813" s="1" t="str">
        <f>IFERROR(__xludf.DUMMYFUNCTION("""COMPUTED_VALUE"""),"124831;INF204KA1792;-;Reliance Dual Advantage Fixed Tenure Fund IV - Plan D - Direct Plan - Dividend Payout Option;10.0000;11-Nov-2016")</f>
        <v>124831;INF204KA1792;-;Reliance Dual Advantage Fixed Tenure Fund IV - Plan D - Direct Plan - Dividend Payout Option;10.0000;11-Nov-2016</v>
      </c>
      <c r="B13813" s="1"/>
    </row>
    <row r="13814">
      <c r="A13814" s="1" t="str">
        <f>IFERROR(__xludf.DUMMYFUNCTION("""COMPUTED_VALUE"""),"124829;INF204KA1784;-;Reliance Dual Advantage Fixed Tenure Fund IV - Plan D - Direct Plan - Growth Option;13.4311;11-Nov-2016")</f>
        <v>124829;INF204KA1784;-;Reliance Dual Advantage Fixed Tenure Fund IV - Plan D - Direct Plan - Growth Option;13.4311;11-Nov-2016</v>
      </c>
      <c r="B13814" s="1"/>
    </row>
    <row r="13815">
      <c r="A13815" s="1" t="str">
        <f>IFERROR(__xludf.DUMMYFUNCTION("""COMPUTED_VALUE"""),"124830;INF204KA1776;-;Reliance Dual Advantage Fixed Tenure Fund IV - Plan D - Dividend Payout Option;10.0000;11-Nov-2016")</f>
        <v>124830;INF204KA1776;-;Reliance Dual Advantage Fixed Tenure Fund IV - Plan D - Dividend Payout Option;10.0000;11-Nov-2016</v>
      </c>
      <c r="B13815" s="1"/>
    </row>
    <row r="13816">
      <c r="A13816" s="1" t="str">
        <f>IFERROR(__xludf.DUMMYFUNCTION("""COMPUTED_VALUE"""),"124828;INF204KA1768;-;Reliance Dual Advantage Fixed Tenure Fund IV - Plan D - Growth Option;12.9807;11-Nov-2016")</f>
        <v>124828;INF204KA1768;-;Reliance Dual Advantage Fixed Tenure Fund IV - Plan D - Growth Option;12.9807;11-Nov-2016</v>
      </c>
      <c r="B13816" s="1"/>
    </row>
    <row r="13817">
      <c r="A13817" s="1" t="str">
        <f>IFERROR(__xludf.DUMMYFUNCTION("""COMPUTED_VALUE"""),"125718;INF204KA1834;-;Reliance Dual Advantage Fixed Tenure Fund IV - Plan E - Direct Plan - Dividend Payout Option;10.0000;30-Dec-2016")</f>
        <v>125718;INF204KA1834;-;Reliance Dual Advantage Fixed Tenure Fund IV - Plan E - Direct Plan - Dividend Payout Option;10.0000;30-Dec-2016</v>
      </c>
      <c r="B13817" s="1"/>
    </row>
    <row r="13818">
      <c r="A13818" s="1" t="str">
        <f>IFERROR(__xludf.DUMMYFUNCTION("""COMPUTED_VALUE"""),"125716;INF204KA1826;-;Reliance Dual Advantage Fixed Tenure Fund IV - Plan E - Direct Plan - Growth Option;12.9228;30-Dec-2016")</f>
        <v>125716;INF204KA1826;-;Reliance Dual Advantage Fixed Tenure Fund IV - Plan E - Direct Plan - Growth Option;12.9228;30-Dec-2016</v>
      </c>
      <c r="B13818" s="1"/>
    </row>
    <row r="13819">
      <c r="A13819" s="1" t="str">
        <f>IFERROR(__xludf.DUMMYFUNCTION("""COMPUTED_VALUE"""),"125717;INF204KA1818;-;Reliance Dual Advantage Fixed Tenure Fund IV - Plan E - Dividend Payout Option;10.0000;30-Dec-2016")</f>
        <v>125717;INF204KA1818;-;Reliance Dual Advantage Fixed Tenure Fund IV - Plan E - Dividend Payout Option;10.0000;30-Dec-2016</v>
      </c>
      <c r="B13819" s="1"/>
    </row>
    <row r="13820">
      <c r="A13820" s="1" t="str">
        <f>IFERROR(__xludf.DUMMYFUNCTION("""COMPUTED_VALUE"""),"125715;INF204KA1800;-;Reliance Dual Advantage Fixed Tenure Fund IV - Plan E - Growth Option;12.4216;30-Dec-2016")</f>
        <v>125715;INF204KA1800;-;Reliance Dual Advantage Fixed Tenure Fund IV - Plan E - Growth Option;12.4216;30-Dec-2016</v>
      </c>
      <c r="B13820" s="1"/>
    </row>
    <row r="13821">
      <c r="A13821" s="1" t="str">
        <f>IFERROR(__xludf.DUMMYFUNCTION("""COMPUTED_VALUE"""),"136247;INF204KA17W8;-;Reliance Dual Advantage Fixed Tenure Fund IX- Plan A- Direct Plan-Dividend Payout Option;10.0000;15-Jul-2019")</f>
        <v>136247;INF204KA17W8;-;Reliance Dual Advantage Fixed Tenure Fund IX- Plan A- Direct Plan-Dividend Payout Option;10.0000;15-Jul-2019</v>
      </c>
      <c r="B13821" s="1"/>
    </row>
    <row r="13822">
      <c r="A13822" s="1" t="str">
        <f>IFERROR(__xludf.DUMMYFUNCTION("""COMPUTED_VALUE"""),"136249;INF204KA18W6;-;Reliance Dual Advantage Fixed Tenure Fund IX- Plan A- Direct Plan-Growth Option;13.5077;15-Jul-2019")</f>
        <v>136249;INF204KA18W6;-;Reliance Dual Advantage Fixed Tenure Fund IX- Plan A- Direct Plan-Growth Option;13.5077;15-Jul-2019</v>
      </c>
      <c r="B13822" s="1"/>
    </row>
    <row r="13823">
      <c r="A13823" s="1" t="str">
        <f>IFERROR(__xludf.DUMMYFUNCTION("""COMPUTED_VALUE"""),"136246;INF204KA19W4;-;Reliance Dual Advantage Fixed Tenure Fund IX- Plan A- Dividend Payout Option;10.0000;15-Jul-2019")</f>
        <v>136246;INF204KA19W4;-;Reliance Dual Advantage Fixed Tenure Fund IX- Plan A- Dividend Payout Option;10.0000;15-Jul-2019</v>
      </c>
      <c r="B13823" s="1"/>
    </row>
    <row r="13824">
      <c r="A13824" s="1" t="str">
        <f>IFERROR(__xludf.DUMMYFUNCTION("""COMPUTED_VALUE"""),"136248;INF204KA10X1;-;Reliance Dual Advantage Fixed Tenure Fund IX- Plan A- Growth Option;12.9895;15-Jul-2019")</f>
        <v>136248;INF204KA10X1;-;Reliance Dual Advantage Fixed Tenure Fund IX- Plan A- Growth Option;12.9895;15-Jul-2019</v>
      </c>
      <c r="B13824" s="1"/>
    </row>
    <row r="13825">
      <c r="A13825" s="1" t="str">
        <f>IFERROR(__xludf.DUMMYFUNCTION("""COMPUTED_VALUE"""),"136522;INF204KA15Z5;-;Reliance Dual Advantage Fixed Tenure Fund IX- Plan B- Direct Plan-Dividend Payout Option;10.0000;15-Jul-2019")</f>
        <v>136522;INF204KA15Z5;-;Reliance Dual Advantage Fixed Tenure Fund IX- Plan B- Direct Plan-Dividend Payout Option;10.0000;15-Jul-2019</v>
      </c>
      <c r="B13825" s="1"/>
    </row>
    <row r="13826">
      <c r="A13826" s="1" t="str">
        <f>IFERROR(__xludf.DUMMYFUNCTION("""COMPUTED_VALUE"""),"136521;INF204KA16Z3;-;Reliance Dual Advantage Fixed Tenure Fund IX- Plan B- Direct Plan-Growth Option;13.1108;15-Jul-2019")</f>
        <v>136521;INF204KA16Z3;-;Reliance Dual Advantage Fixed Tenure Fund IX- Plan B- Direct Plan-Growth Option;13.1108;15-Jul-2019</v>
      </c>
      <c r="B13826" s="1"/>
    </row>
    <row r="13827">
      <c r="A13827" s="1" t="str">
        <f>IFERROR(__xludf.DUMMYFUNCTION("""COMPUTED_VALUE"""),"136520;INF204KA17Z1;-;Reliance Dual Advantage Fixed Tenure Fund IX- Plan B- Dividend Payout Option;10.0000;15-Jul-2019")</f>
        <v>136520;INF204KA17Z1;-;Reliance Dual Advantage Fixed Tenure Fund IX- Plan B- Dividend Payout Option;10.0000;15-Jul-2019</v>
      </c>
      <c r="B13827" s="1"/>
    </row>
    <row r="13828">
      <c r="A13828" s="1" t="str">
        <f>IFERROR(__xludf.DUMMYFUNCTION("""COMPUTED_VALUE"""),"136519;INF204KA18Z9;-;Reliance Dual Advantage Fixed Tenure Fund IX- Plan B- Growth Option;12.6755;15-Jul-2019")</f>
        <v>136519;INF204KA18Z9;-;Reliance Dual Advantage Fixed Tenure Fund IX- Plan B- Growth Option;12.6755;15-Jul-2019</v>
      </c>
      <c r="B13828" s="1"/>
    </row>
    <row r="13829">
      <c r="A13829" s="1" t="str">
        <f>IFERROR(__xludf.DUMMYFUNCTION("""COMPUTED_VALUE"""),"139251;INF204KB1304;-;Reliance Dual Advantage Fixed Tenure Fund IX- Plan C- Direct Plan-Dividend Payout Option;10.0000;15-Jul-2019")</f>
        <v>139251;INF204KB1304;-;Reliance Dual Advantage Fixed Tenure Fund IX- Plan C- Direct Plan-Dividend Payout Option;10.0000;15-Jul-2019</v>
      </c>
      <c r="B13829" s="1"/>
    </row>
    <row r="13830">
      <c r="A13830" s="1" t="str">
        <f>IFERROR(__xludf.DUMMYFUNCTION("""COMPUTED_VALUE"""),"139249;INF204KB1296;-;Reliance Dual Advantage Fixed Tenure Fund IX- Plan C- Direct Plan-Growth Option;13.1428;15-Jul-2019")</f>
        <v>139249;INF204KB1296;-;Reliance Dual Advantage Fixed Tenure Fund IX- Plan C- Direct Plan-Growth Option;13.1428;15-Jul-2019</v>
      </c>
      <c r="B13830" s="1"/>
    </row>
    <row r="13831">
      <c r="A13831" s="1" t="str">
        <f>IFERROR(__xludf.DUMMYFUNCTION("""COMPUTED_VALUE"""),"139252;INF204KB1304;-;Reliance Dual Advantage Fixed Tenure Fund IX- Plan C- Dividend Payout Option;10.0000;15-Jul-2019")</f>
        <v>139252;INF204KB1304;-;Reliance Dual Advantage Fixed Tenure Fund IX- Plan C- Dividend Payout Option;10.0000;15-Jul-2019</v>
      </c>
      <c r="B13831" s="1"/>
    </row>
    <row r="13832">
      <c r="A13832" s="1" t="str">
        <f>IFERROR(__xludf.DUMMYFUNCTION("""COMPUTED_VALUE"""),"139250;INF204KB1312;-;Reliance Dual Advantage Fixed Tenure Fund IX- Plan C- Growth Option;12.7185;15-Jul-2019")</f>
        <v>139250;INF204KB1312;-;Reliance Dual Advantage Fixed Tenure Fund IX- Plan C- Growth Option;12.7185;15-Jul-2019</v>
      </c>
      <c r="B13832" s="1"/>
    </row>
    <row r="13833">
      <c r="A13833" s="1" t="str">
        <f>IFERROR(__xludf.DUMMYFUNCTION("""COMPUTED_VALUE"""),"126901;INF204KA1HW5;-;Reliance Dual Advantage Fixed Tenure Fund V - Plan A - Direct Plan - Dividend Payout Option;10.0000;02-Mar-2017")</f>
        <v>126901;INF204KA1HW5;-;Reliance Dual Advantage Fixed Tenure Fund V - Plan A - Direct Plan - Dividend Payout Option;10.0000;02-Mar-2017</v>
      </c>
      <c r="B13833" s="1"/>
    </row>
    <row r="13834">
      <c r="A13834" s="1" t="str">
        <f>IFERROR(__xludf.DUMMYFUNCTION("""COMPUTED_VALUE"""),"126899;INF204KA1HV7;-;Reliance Dual Advantage Fixed Tenure Fund V - Plan A - Direct Plan - Growth Option;13.5536;02-Mar-2017")</f>
        <v>126899;INF204KA1HV7;-;Reliance Dual Advantage Fixed Tenure Fund V - Plan A - Direct Plan - Growth Option;13.5536;02-Mar-2017</v>
      </c>
      <c r="B13834" s="1"/>
    </row>
    <row r="13835">
      <c r="A13835" s="1" t="str">
        <f>IFERROR(__xludf.DUMMYFUNCTION("""COMPUTED_VALUE"""),"126900;INF204KA1HU9;-;Reliance Dual Advantage Fixed Tenure Fund V - Plan A - Dividend Payout Option;10.0000;02-Mar-2017")</f>
        <v>126900;INF204KA1HU9;-;Reliance Dual Advantage Fixed Tenure Fund V - Plan A - Dividend Payout Option;10.0000;02-Mar-2017</v>
      </c>
      <c r="B13835" s="1"/>
    </row>
    <row r="13836">
      <c r="A13836" s="1" t="str">
        <f>IFERROR(__xludf.DUMMYFUNCTION("""COMPUTED_VALUE"""),"126898;INF204KA1HT1;-;Reliance Dual Advantage Fixed Tenure Fund V - Plan A - Growth Option;13.0044;02-Mar-2017")</f>
        <v>126898;INF204KA1HT1;-;Reliance Dual Advantage Fixed Tenure Fund V - Plan A - Growth Option;13.0044;02-Mar-2017</v>
      </c>
      <c r="B13836" s="1"/>
    </row>
    <row r="13837">
      <c r="A13837" s="1" t="str">
        <f>IFERROR(__xludf.DUMMYFUNCTION("""COMPUTED_VALUE"""),"127270;INF204KA1IU7;-;Reliance Dual Advantage Fixed Tenure Fund V - Plan B - Direct Plan - Dividend Payout Option;10.0000;10-Apr-2017")</f>
        <v>127270;INF204KA1IU7;-;Reliance Dual Advantage Fixed Tenure Fund V - Plan B - Direct Plan - Dividend Payout Option;10.0000;10-Apr-2017</v>
      </c>
      <c r="B13837" s="1"/>
    </row>
    <row r="13838">
      <c r="A13838" s="1" t="str">
        <f>IFERROR(__xludf.DUMMYFUNCTION("""COMPUTED_VALUE"""),"127269;INF204KA1IT9;-;Reliance Dual Advantage Fixed Tenure Fund V - Plan B - Direct Plan - Growth Option;12.5002;10-Apr-2017")</f>
        <v>127269;INF204KA1IT9;-;Reliance Dual Advantage Fixed Tenure Fund V - Plan B - Direct Plan - Growth Option;12.5002;10-Apr-2017</v>
      </c>
      <c r="B13838" s="1"/>
    </row>
    <row r="13839">
      <c r="A13839" s="1" t="str">
        <f>IFERROR(__xludf.DUMMYFUNCTION("""COMPUTED_VALUE"""),"127271;INF204KA1IS1;-;Reliance Dual Advantage Fixed Tenure Fund V - Plan B - Dividend Payout Option;10.0000;10-Apr-2017")</f>
        <v>127271;INF204KA1IS1;-;Reliance Dual Advantage Fixed Tenure Fund V - Plan B - Dividend Payout Option;10.0000;10-Apr-2017</v>
      </c>
      <c r="B13839" s="1"/>
    </row>
    <row r="13840">
      <c r="A13840" s="1" t="str">
        <f>IFERROR(__xludf.DUMMYFUNCTION("""COMPUTED_VALUE"""),"127268;INF204KA1IR3;-;Reliance Dual Advantage Fixed Tenure Fund V - Plan B - Growth Option;11.9439;10-Apr-2017")</f>
        <v>127268;INF204KA1IR3;-;Reliance Dual Advantage Fixed Tenure Fund V - Plan B - Growth Option;11.9439;10-Apr-2017</v>
      </c>
      <c r="B13840" s="1"/>
    </row>
    <row r="13841">
      <c r="A13841" s="1" t="str">
        <f>IFERROR(__xludf.DUMMYFUNCTION("""COMPUTED_VALUE"""),"127523;INF204KA1IX1;-;Reliance Dual Advantage Fixed Tenure Fund V - Plan C -Direct Plan -Growth Option;12.6324;24-Apr-2017")</f>
        <v>127523;INF204KA1IX1;-;Reliance Dual Advantage Fixed Tenure Fund V - Plan C -Direct Plan -Growth Option;12.6324;24-Apr-2017</v>
      </c>
      <c r="B13841" s="1"/>
    </row>
    <row r="13842">
      <c r="A13842" s="1" t="str">
        <f>IFERROR(__xludf.DUMMYFUNCTION("""COMPUTED_VALUE"""),"127522;INF204KA1IW3;-;Reliance Dual Advantage Fixed Tenure Fund V - Plan C -Dividend Payout Option;10.0000;24-Apr-2017")</f>
        <v>127522;INF204KA1IW3;-;Reliance Dual Advantage Fixed Tenure Fund V - Plan C -Dividend Payout Option;10.0000;24-Apr-2017</v>
      </c>
      <c r="B13842" s="1"/>
    </row>
    <row r="13843">
      <c r="A13843" s="1" t="str">
        <f>IFERROR(__xludf.DUMMYFUNCTION("""COMPUTED_VALUE"""),"127525;INF204KA1IV5;-;Reliance Dual Advantage Fixed Tenure Fund V - Plan C -Growth Option;12.1172;24-Apr-2017")</f>
        <v>127525;INF204KA1IV5;-;Reliance Dual Advantage Fixed Tenure Fund V - Plan C -Growth Option;12.1172;24-Apr-2017</v>
      </c>
      <c r="B13843" s="1"/>
    </row>
    <row r="13844">
      <c r="A13844" s="1" t="str">
        <f>IFERROR(__xludf.DUMMYFUNCTION("""COMPUTED_VALUE"""),"128178;INF204KA1KU3;-;Reliance Dual Advantage Fixed Tenure Fund V - Plan E - Direct Plan - Dividend Payout Option;10.0000;10-Apr-2017")</f>
        <v>128178;INF204KA1KU3;-;Reliance Dual Advantage Fixed Tenure Fund V - Plan E - Direct Plan - Dividend Payout Option;10.0000;10-Apr-2017</v>
      </c>
      <c r="B13844" s="1"/>
    </row>
    <row r="13845">
      <c r="A13845" s="1" t="str">
        <f>IFERROR(__xludf.DUMMYFUNCTION("""COMPUTED_VALUE"""),"128176;INF204KA1KT5;-;Reliance Dual Advantage Fixed Tenure Fund V - Plan E - Direct Plan - Growth Option;12.0101;10-Apr-2017")</f>
        <v>128176;INF204KA1KT5;-;Reliance Dual Advantage Fixed Tenure Fund V - Plan E - Direct Plan - Growth Option;12.0101;10-Apr-2017</v>
      </c>
      <c r="B13845" s="1"/>
    </row>
    <row r="13846">
      <c r="A13846" s="1" t="str">
        <f>IFERROR(__xludf.DUMMYFUNCTION("""COMPUTED_VALUE"""),"128177;INF204KA1KS7;-;Reliance Dual Advantage Fixed Tenure Fund V - Plan E - Dividend Payout Option;10.0000;10-Apr-2017")</f>
        <v>128177;INF204KA1KS7;-;Reliance Dual Advantage Fixed Tenure Fund V - Plan E - Dividend Payout Option;10.0000;10-Apr-2017</v>
      </c>
      <c r="B13846" s="1"/>
    </row>
    <row r="13847">
      <c r="A13847" s="1" t="str">
        <f>IFERROR(__xludf.DUMMYFUNCTION("""COMPUTED_VALUE"""),"128175;INF204KA1KR9;-;Reliance Dual Advantage Fixed Tenure Fund V - Plan E - Growth Option;11.4985;10-Apr-2017")</f>
        <v>128175;INF204KA1KR9;-;Reliance Dual Advantage Fixed Tenure Fund V - Plan E - Growth Option;11.4985;10-Apr-2017</v>
      </c>
      <c r="B13847" s="1"/>
    </row>
    <row r="13848">
      <c r="A13848" s="1" t="str">
        <f>IFERROR(__xludf.DUMMYFUNCTION("""COMPUTED_VALUE"""),"128691;INF204KA1MB9;-;Reliance Dual Advantage Fixed Tenure Fund V - Plan F- Direct Plan - Dividend Payout Option;10.0000;08-May-2017")</f>
        <v>128691;INF204KA1MB9;-;Reliance Dual Advantage Fixed Tenure Fund V - Plan F- Direct Plan - Dividend Payout Option;10.0000;08-May-2017</v>
      </c>
      <c r="B13848" s="1"/>
    </row>
    <row r="13849">
      <c r="A13849" s="1" t="str">
        <f>IFERROR(__xludf.DUMMYFUNCTION("""COMPUTED_VALUE"""),"128690;INF204KA1MA1;-;Reliance Dual Advantage Fixed Tenure Fund V - Plan F- Direct Plan - Growth Option;12.4429;08-May-2017")</f>
        <v>128690;INF204KA1MA1;-;Reliance Dual Advantage Fixed Tenure Fund V - Plan F- Direct Plan - Growth Option;12.4429;08-May-2017</v>
      </c>
      <c r="B13849" s="1"/>
    </row>
    <row r="13850">
      <c r="A13850" s="1" t="str">
        <f>IFERROR(__xludf.DUMMYFUNCTION("""COMPUTED_VALUE"""),"128692;INF204KA1LZ0;-;Reliance Dual Advantage Fixed Tenure Fund V - Plan F- Dividend Payout Option;10.0000;08-May-2017")</f>
        <v>128692;INF204KA1LZ0;-;Reliance Dual Advantage Fixed Tenure Fund V - Plan F- Dividend Payout Option;10.0000;08-May-2017</v>
      </c>
      <c r="B13850" s="1"/>
    </row>
    <row r="13851">
      <c r="A13851" s="1" t="str">
        <f>IFERROR(__xludf.DUMMYFUNCTION("""COMPUTED_VALUE"""),"128689;INF204KA1LY3;-;Reliance Dual Advantage Fixed Tenure Fund V - Plan F- Growth Option;11.9359;08-May-2017")</f>
        <v>128689;INF204KA1LY3;-;Reliance Dual Advantage Fixed Tenure Fund V - Plan F- Growth Option;11.9359;08-May-2017</v>
      </c>
      <c r="B13851" s="1"/>
    </row>
    <row r="13852">
      <c r="A13852" s="1" t="str">
        <f>IFERROR(__xludf.DUMMYFUNCTION("""COMPUTED_VALUE"""),"128987;INF204KA1NA9;-;Reliance Dual Advantage Fixed Tenure Fund V- Plan G- Direct Plan - Dividend Payout Option;10.0000;08-May-2017")</f>
        <v>128987;INF204KA1NA9;-;Reliance Dual Advantage Fixed Tenure Fund V- Plan G- Direct Plan - Dividend Payout Option;10.0000;08-May-2017</v>
      </c>
      <c r="B13852" s="1"/>
    </row>
    <row r="13853">
      <c r="A13853" s="1" t="str">
        <f>IFERROR(__xludf.DUMMYFUNCTION("""COMPUTED_VALUE"""),"128986;INF204KA1MZ8;-;Reliance Dual Advantage Fixed Tenure Fund V- Plan G- Direct Plan - Growth Option;13.4266;08-May-2017")</f>
        <v>128986;INF204KA1MZ8;-;Reliance Dual Advantage Fixed Tenure Fund V- Plan G- Direct Plan - Growth Option;13.4266;08-May-2017</v>
      </c>
      <c r="B13853" s="1"/>
    </row>
    <row r="13854">
      <c r="A13854" s="1" t="str">
        <f>IFERROR(__xludf.DUMMYFUNCTION("""COMPUTED_VALUE"""),"128985;INF204KA1MY1;-;Reliance Dual Advantage Fixed Tenure Fund V- Plan G- Dividend Payout Option;10.0000;08-May-2017")</f>
        <v>128985;INF204KA1MY1;-;Reliance Dual Advantage Fixed Tenure Fund V- Plan G- Dividend Payout Option;10.0000;08-May-2017</v>
      </c>
      <c r="B13854" s="1"/>
    </row>
    <row r="13855">
      <c r="A13855" s="1" t="str">
        <f>IFERROR(__xludf.DUMMYFUNCTION("""COMPUTED_VALUE"""),"128984;INF204KA1MX3;-;Reliance Dual Advantage Fixed Tenure Fund V- Plan G- Growth Option;12.8670;08-May-2017")</f>
        <v>128984;INF204KA1MX3;-;Reliance Dual Advantage Fixed Tenure Fund V- Plan G- Growth Option;12.8670;08-May-2017</v>
      </c>
      <c r="B13855" s="1"/>
    </row>
    <row r="13856">
      <c r="A13856" s="1" t="str">
        <f>IFERROR(__xludf.DUMMYFUNCTION("""COMPUTED_VALUE"""),"129734;INF204KA1PM9;-;Reliance Dual Advantage Fixed Tenure Fund V- Plan H- Direct Plan- Dividend payout option;10.0000;19-Jun-2017")</f>
        <v>129734;INF204KA1PM9;-;Reliance Dual Advantage Fixed Tenure Fund V- Plan H- Direct Plan- Dividend payout option;10.0000;19-Jun-2017</v>
      </c>
      <c r="B13856" s="1"/>
    </row>
    <row r="13857">
      <c r="A13857" s="1" t="str">
        <f>IFERROR(__xludf.DUMMYFUNCTION("""COMPUTED_VALUE"""),"129733;INF204KA1PL1;-;Reliance Dual Advantage Fixed Tenure Fund V- Plan H- Direct Plan- Growth Option;12.1888;19-Jun-2017")</f>
        <v>129733;INF204KA1PL1;-;Reliance Dual Advantage Fixed Tenure Fund V- Plan H- Direct Plan- Growth Option;12.1888;19-Jun-2017</v>
      </c>
      <c r="B13857" s="1"/>
    </row>
    <row r="13858">
      <c r="A13858" s="1" t="str">
        <f>IFERROR(__xludf.DUMMYFUNCTION("""COMPUTED_VALUE"""),"129736;INF204KA1PK3;-;Reliance Dual Advantage Fixed Tenure Fund V- Plan H- Dividend Payout Option;10.0000;19-Jun-2017")</f>
        <v>129736;INF204KA1PK3;-;Reliance Dual Advantage Fixed Tenure Fund V- Plan H- Dividend Payout Option;10.0000;19-Jun-2017</v>
      </c>
      <c r="B13858" s="1"/>
    </row>
    <row r="13859">
      <c r="A13859" s="1" t="str">
        <f>IFERROR(__xludf.DUMMYFUNCTION("""COMPUTED_VALUE"""),"129735;INF204KA1PJ5;-;Reliance Dual Advantage Fixed Tenure Fund V- Plan H- Growth Option;11.6611;19-Jun-2017")</f>
        <v>129735;INF204KA1PJ5;-;Reliance Dual Advantage Fixed Tenure Fund V- Plan H- Growth Option;11.6611;19-Jun-2017</v>
      </c>
      <c r="B13859" s="1"/>
    </row>
    <row r="13860">
      <c r="A13860" s="1" t="str">
        <f>IFERROR(__xludf.DUMMYFUNCTION("""COMPUTED_VALUE"""),"130629;INF204KA1RQ6;-;Reliance Dual Advantage Fixed Tenure Fund VI- Plan A- Direct Plan- Growth Option;12.3187;07-Aug-2017")</f>
        <v>130629;INF204KA1RQ6;-;Reliance Dual Advantage Fixed Tenure Fund VI- Plan A- Direct Plan- Growth Option;12.3187;07-Aug-2017</v>
      </c>
      <c r="B13860" s="1"/>
    </row>
    <row r="13861">
      <c r="A13861" s="1" t="str">
        <f>IFERROR(__xludf.DUMMYFUNCTION("""COMPUTED_VALUE"""),"130631;INF204KA1RO1;-;Reliance Dual Advantage Fixed Tenure Fund VI- Plan A- Growth Option;11.9690;07-Aug-2017")</f>
        <v>130631;INF204KA1RO1;-;Reliance Dual Advantage Fixed Tenure Fund VI- Plan A- Growth Option;11.9690;07-Aug-2017</v>
      </c>
      <c r="B13861" s="1"/>
    </row>
    <row r="13862">
      <c r="A13862" s="1" t="str">
        <f>IFERROR(__xludf.DUMMYFUNCTION("""COMPUTED_VALUE"""),"130630;INF204KA1RR4;-;Reliance Dual Advantage Fixed Tenure Fund- VI- Plan A- Direct Plan- Dividend Payout Option;10.0000;07-Aug-2017")</f>
        <v>130630;INF204KA1RR4;-;Reliance Dual Advantage Fixed Tenure Fund- VI- Plan A- Direct Plan- Dividend Payout Option;10.0000;07-Aug-2017</v>
      </c>
      <c r="B13862" s="1"/>
    </row>
    <row r="13863">
      <c r="A13863" s="1" t="str">
        <f>IFERROR(__xludf.DUMMYFUNCTION("""COMPUTED_VALUE"""),"130632;INF204KA1RP8;-;Reliance Dual Advantage Fixed Tenure Fund- VI- Plan A- Dividend Payout Option;10.0000;07-Aug-2017")</f>
        <v>130632;INF204KA1RP8;-;Reliance Dual Advantage Fixed Tenure Fund- VI- Plan A- Dividend Payout Option;10.0000;07-Aug-2017</v>
      </c>
      <c r="B13863" s="1"/>
    </row>
    <row r="13864">
      <c r="A13864" s="1" t="str">
        <f>IFERROR(__xludf.DUMMYFUNCTION("""COMPUTED_VALUE"""),"130885;INF204KA1TA6;-;Reliance Dual Advantage Fixed Tenure Fund VI- Plan B- Direct Plan- DIvidend Payout Option;10.0000;08-Sep-2017")</f>
        <v>130885;INF204KA1TA6;-;Reliance Dual Advantage Fixed Tenure Fund VI- Plan B- Direct Plan- DIvidend Payout Option;10.0000;08-Sep-2017</v>
      </c>
      <c r="B13864" s="1"/>
    </row>
    <row r="13865">
      <c r="A13865" s="1" t="str">
        <f>IFERROR(__xludf.DUMMYFUNCTION("""COMPUTED_VALUE"""),"130884;INF204KA1SZ5;-;Reliance Dual Advantage Fixed Tenure Fund VI- Plan B- Direct Plan- Growth Option;11.8692;08-Sep-2017")</f>
        <v>130884;INF204KA1SZ5;-;Reliance Dual Advantage Fixed Tenure Fund VI- Plan B- Direct Plan- Growth Option;11.8692;08-Sep-2017</v>
      </c>
      <c r="B13865" s="1"/>
    </row>
    <row r="13866">
      <c r="A13866" s="1" t="str">
        <f>IFERROR(__xludf.DUMMYFUNCTION("""COMPUTED_VALUE"""),"130883;INF204KA1SY8;-;Reliance Dual Advantage Fixed Tenure Fund VI- Plan B- Dividend Payout Option;10.0000;08-Sep-2017")</f>
        <v>130883;INF204KA1SY8;-;Reliance Dual Advantage Fixed Tenure Fund VI- Plan B- Dividend Payout Option;10.0000;08-Sep-2017</v>
      </c>
      <c r="B13866" s="1"/>
    </row>
    <row r="13867">
      <c r="A13867" s="1" t="str">
        <f>IFERROR(__xludf.DUMMYFUNCTION("""COMPUTED_VALUE"""),"130882;INF204KA1SX0;-;Reliance Dual Advantage Fixed Tenure Fund VI- Plan B- Growth Option;11.5666;08-Sep-2017")</f>
        <v>130882;INF204KA1SX0;-;Reliance Dual Advantage Fixed Tenure Fund VI- Plan B- Growth Option;11.5666;08-Sep-2017</v>
      </c>
      <c r="B13867" s="1"/>
    </row>
    <row r="13868">
      <c r="A13868" s="1" t="str">
        <f>IFERROR(__xludf.DUMMYFUNCTION("""COMPUTED_VALUE"""),"131307;INF204KA1UI7;-;Reliance Dual Advantage Fixed Tenure Fund VI- Plan C- Direct Plan Dividend Payout Option;10.0000;18-Oct-2017")</f>
        <v>131307;INF204KA1UI7;-;Reliance Dual Advantage Fixed Tenure Fund VI- Plan C- Direct Plan Dividend Payout Option;10.0000;18-Oct-2017</v>
      </c>
      <c r="B13868" s="1"/>
    </row>
    <row r="13869">
      <c r="A13869" s="1" t="str">
        <f>IFERROR(__xludf.DUMMYFUNCTION("""COMPUTED_VALUE"""),"131308;INF204KA1UH9;-;Reliance Dual Advantage Fixed Tenure Fund VI- Plan C- Direct Plan- Growth Option;11.9531;18-Oct-2017")</f>
        <v>131308;INF204KA1UH9;-;Reliance Dual Advantage Fixed Tenure Fund VI- Plan C- Direct Plan- Growth Option;11.9531;18-Oct-2017</v>
      </c>
      <c r="B13869" s="1"/>
    </row>
    <row r="13870">
      <c r="A13870" s="1" t="str">
        <f>IFERROR(__xludf.DUMMYFUNCTION("""COMPUTED_VALUE"""),"131306;INF204KA1UG1;-;Reliance Dual Advantage Fixed Tenure Fund VI- Plan C- Dividend Payout Option;10.0000;18-Oct-2017")</f>
        <v>131306;INF204KA1UG1;-;Reliance Dual Advantage Fixed Tenure Fund VI- Plan C- Dividend Payout Option;10.0000;18-Oct-2017</v>
      </c>
      <c r="B13870" s="1"/>
    </row>
    <row r="13871">
      <c r="A13871" s="1" t="str">
        <f>IFERROR(__xludf.DUMMYFUNCTION("""COMPUTED_VALUE"""),"131305;INF204KA1UF3;-;Reliance Dual Advantage Fixed Tenure Fund VI- Plan C- Growth Option;11.5547;18-Oct-2017")</f>
        <v>131305;INF204KA1UF3;-;Reliance Dual Advantage Fixed Tenure Fund VI- Plan C- Growth Option;11.5547;18-Oct-2017</v>
      </c>
      <c r="B13871" s="1"/>
    </row>
    <row r="13872">
      <c r="A13872" s="1" t="str">
        <f>IFERROR(__xludf.DUMMYFUNCTION("""COMPUTED_VALUE"""),"131342;INF204KA1UO5;-;Reliance Dual Advantage Fixed Tenure Fund VI Plan D- Growth Option;12.0261;26-Oct-2017")</f>
        <v>131342;INF204KA1UO5;-;Reliance Dual Advantage Fixed Tenure Fund VI Plan D- Growth Option;12.0261;26-Oct-2017</v>
      </c>
      <c r="B13872" s="1"/>
    </row>
    <row r="13873">
      <c r="A13873" s="1" t="str">
        <f>IFERROR(__xludf.DUMMYFUNCTION("""COMPUTED_VALUE"""),"131345;INF204KA1UR8;-;Reliance Dual Advantage Fixed Tenure Fund VI- Plan D- Direct Plan- Dividend Payout Option;10.0000;26-Oct-2017")</f>
        <v>131345;INF204KA1UR8;-;Reliance Dual Advantage Fixed Tenure Fund VI- Plan D- Direct Plan- Dividend Payout Option;10.0000;26-Oct-2017</v>
      </c>
      <c r="B13873" s="1"/>
    </row>
    <row r="13874">
      <c r="A13874" s="1" t="str">
        <f>IFERROR(__xludf.DUMMYFUNCTION("""COMPUTED_VALUE"""),"131343;INF204KA1UQ0;-;Reliance Dual Advantage Fixed Tenure Fund VI- Plan D- Direct Plan- Growth Option;12.4062;26-Oct-2017")</f>
        <v>131343;INF204KA1UQ0;-;Reliance Dual Advantage Fixed Tenure Fund VI- Plan D- Direct Plan- Growth Option;12.4062;26-Oct-2017</v>
      </c>
      <c r="B13874" s="1"/>
    </row>
    <row r="13875">
      <c r="A13875" s="1" t="str">
        <f>IFERROR(__xludf.DUMMYFUNCTION("""COMPUTED_VALUE"""),"131344;INF204KA1UP2;-;Reliance Dual Advantage Fixed Tenure Fund VI- Plan D- Dividend Payout Option;10.0000;26-Oct-2017")</f>
        <v>131344;INF204KA1UP2;-;Reliance Dual Advantage Fixed Tenure Fund VI- Plan D- Dividend Payout Option;10.0000;26-Oct-2017</v>
      </c>
      <c r="B13875" s="1"/>
    </row>
    <row r="13876">
      <c r="A13876" s="1" t="str">
        <f>IFERROR(__xludf.DUMMYFUNCTION("""COMPUTED_VALUE"""),"131462;INF204KA1VS4;-;Reliance Dual Advantage Fixed Tenure Fund VI- Plan E - Growth Option;11.3794;08-Nov-2017")</f>
        <v>131462;INF204KA1VS4;-;Reliance Dual Advantage Fixed Tenure Fund VI- Plan E - Growth Option;11.3794;08-Nov-2017</v>
      </c>
      <c r="B13876" s="1"/>
    </row>
    <row r="13877">
      <c r="A13877" s="1" t="str">
        <f>IFERROR(__xludf.DUMMYFUNCTION("""COMPUTED_VALUE"""),"131464;INF204KA1VU0;-;Reliance Dual Advantage Fixed Tenure Fund VI- Plan E- Direct Plan- Growth Option;11.7722;08-Nov-2017")</f>
        <v>131464;INF204KA1VU0;-;Reliance Dual Advantage Fixed Tenure Fund VI- Plan E- Direct Plan- Growth Option;11.7722;08-Nov-2017</v>
      </c>
      <c r="B13877" s="1"/>
    </row>
    <row r="13878">
      <c r="A13878" s="1" t="str">
        <f>IFERROR(__xludf.DUMMYFUNCTION("""COMPUTED_VALUE"""),"131463;INF204KA1VT2;-;Reliance Dual Advantage Fixed Tenure Fund VI- Plan E- Dividend Payout Option;10.0000;08-Nov-2017")</f>
        <v>131463;INF204KA1VT2;-;Reliance Dual Advantage Fixed Tenure Fund VI- Plan E- Dividend Payout Option;10.0000;08-Nov-2017</v>
      </c>
      <c r="B13878" s="1"/>
    </row>
    <row r="13879">
      <c r="A13879" s="1" t="str">
        <f>IFERROR(__xludf.DUMMYFUNCTION("""COMPUTED_VALUE"""),"132764;INF204KA1WN3;-;Reliance Dual Advantage Fixed Tenure Fund VI- Plan F- Direct Plan - Dividend Payout Option;10.0000;20-Nov-2017")</f>
        <v>132764;INF204KA1WN3;-;Reliance Dual Advantage Fixed Tenure Fund VI- Plan F- Direct Plan - Dividend Payout Option;10.0000;20-Nov-2017</v>
      </c>
      <c r="B13879" s="1"/>
    </row>
    <row r="13880">
      <c r="A13880" s="1" t="str">
        <f>IFERROR(__xludf.DUMMYFUNCTION("""COMPUTED_VALUE"""),"132763;INF204KA1WM5;-;Reliance Dual Advantage Fixed Tenure Fund VI- Plan F- Direct Plan - Growth Option;12.1552;20-Nov-2017")</f>
        <v>132763;INF204KA1WM5;-;Reliance Dual Advantage Fixed Tenure Fund VI- Plan F- Direct Plan - Growth Option;12.1552;20-Nov-2017</v>
      </c>
      <c r="B13880" s="1"/>
    </row>
    <row r="13881">
      <c r="A13881" s="1" t="str">
        <f>IFERROR(__xludf.DUMMYFUNCTION("""COMPUTED_VALUE"""),"132765;INF204KA1WL7;-;Reliance Dual Advantage Fixed Tenure Fund VI- Plan F- Dividend Payout Option;10.0000;20-Nov-2017")</f>
        <v>132765;INF204KA1WL7;-;Reliance Dual Advantage Fixed Tenure Fund VI- Plan F- Dividend Payout Option;10.0000;20-Nov-2017</v>
      </c>
      <c r="B13881" s="1"/>
    </row>
    <row r="13882">
      <c r="A13882" s="1" t="str">
        <f>IFERROR(__xludf.DUMMYFUNCTION("""COMPUTED_VALUE"""),"132762;INF204KA1WK9;-;Reliance Dual Advantage Fixed Tenure Fund VI- Plan F- Growth Option;11.7495;20-Nov-2017")</f>
        <v>132762;INF204KA1WK9;-;Reliance Dual Advantage Fixed Tenure Fund VI- Plan F- Growth Option;11.7495;20-Nov-2017</v>
      </c>
      <c r="B13882" s="1"/>
    </row>
    <row r="13883">
      <c r="A13883" s="1" t="str">
        <f>IFERROR(__xludf.DUMMYFUNCTION("""COMPUTED_VALUE"""),"133304;INF204KA1ZC9;-;Reliance Dual Advantage Fixed Tenure Fund VII - Plan B - Direct Plan - Dividend Payout Option;10.0000;15-Jan-2018")</f>
        <v>133304;INF204KA1ZC9;-;Reliance Dual Advantage Fixed Tenure Fund VII - Plan B - Direct Plan - Dividend Payout Option;10.0000;15-Jan-2018</v>
      </c>
      <c r="B13883" s="1"/>
    </row>
    <row r="13884">
      <c r="A13884" s="1" t="str">
        <f>IFERROR(__xludf.DUMMYFUNCTION("""COMPUTED_VALUE"""),"133305;INF204KA1ZD7;-;Reliance Dual Advantage Fixed Tenure Fund VII - Plan B - Direct Plan - Growth Option;12.2224;15-Jan-2018")</f>
        <v>133305;INF204KA1ZD7;-;Reliance Dual Advantage Fixed Tenure Fund VII - Plan B - Direct Plan - Growth Option;12.2224;15-Jan-2018</v>
      </c>
      <c r="B13884" s="1"/>
    </row>
    <row r="13885">
      <c r="A13885" s="1" t="str">
        <f>IFERROR(__xludf.DUMMYFUNCTION("""COMPUTED_VALUE"""),"133306;INF204KA1ZE5;-;Reliance Dual Advantage Fixed Tenure Fund VII - Plan B - Dividend Payout Option;10.0000;15-Jan-2018")</f>
        <v>133306;INF204KA1ZE5;-;Reliance Dual Advantage Fixed Tenure Fund VII - Plan B - Dividend Payout Option;10.0000;15-Jan-2018</v>
      </c>
      <c r="B13885" s="1"/>
    </row>
    <row r="13886">
      <c r="A13886" s="1" t="str">
        <f>IFERROR(__xludf.DUMMYFUNCTION("""COMPUTED_VALUE"""),"133303;INF204KA1ZF2;-;Reliance Dual Advantage Fixed Tenure Fund VII - Plan B - Growth Option;11.8126;15-Jan-2018")</f>
        <v>133303;INF204KA1ZF2;-;Reliance Dual Advantage Fixed Tenure Fund VII - Plan B - Growth Option;11.8126;15-Jan-2018</v>
      </c>
      <c r="B13886" s="1"/>
    </row>
    <row r="13887">
      <c r="A13887" s="1" t="str">
        <f>IFERROR(__xludf.DUMMYFUNCTION("""COMPUTED_VALUE"""),"133047;INF204KA1XU6;-;Reliance Dual Advantage Fixed Tenure Fund VII- Plan A- Direct Plan-Dividend Payout Option;10.0000;04-Jan-2018")</f>
        <v>133047;INF204KA1XU6;-;Reliance Dual Advantage Fixed Tenure Fund VII- Plan A- Direct Plan-Dividend Payout Option;10.0000;04-Jan-2018</v>
      </c>
      <c r="B13887" s="1"/>
    </row>
    <row r="13888">
      <c r="A13888" s="1" t="str">
        <f>IFERROR(__xludf.DUMMYFUNCTION("""COMPUTED_VALUE"""),"133046;INF204KA1XV4;-;Reliance Dual Advantage Fixed Tenure Fund VII- Plan A- Direct Plan-Growth Option;12.1837;04-Jan-2018")</f>
        <v>133046;INF204KA1XV4;-;Reliance Dual Advantage Fixed Tenure Fund VII- Plan A- Direct Plan-Growth Option;12.1837;04-Jan-2018</v>
      </c>
      <c r="B13888" s="1"/>
    </row>
    <row r="13889">
      <c r="A13889" s="1" t="str">
        <f>IFERROR(__xludf.DUMMYFUNCTION("""COMPUTED_VALUE"""),"133048;INF204KA1XW2;-;Reliance Dual Advantage Fixed Tenure Fund VII- Plan A- Dividend Payout Option;10.0000;04-Jan-2018")</f>
        <v>133048;INF204KA1XW2;-;Reliance Dual Advantage Fixed Tenure Fund VII- Plan A- Dividend Payout Option;10.0000;04-Jan-2018</v>
      </c>
      <c r="B13889" s="1"/>
    </row>
    <row r="13890">
      <c r="A13890" s="1" t="str">
        <f>IFERROR(__xludf.DUMMYFUNCTION("""COMPUTED_VALUE"""),"133045;INF204KA1XX0;-;Reliance Dual Advantage Fixed Tenure Fund VII- Plan A- Growth Option;11.7707;04-Jan-2018")</f>
        <v>133045;INF204KA1XX0;-;Reliance Dual Advantage Fixed Tenure Fund VII- Plan A- Growth Option;11.7707;04-Jan-2018</v>
      </c>
      <c r="B13890" s="1"/>
    </row>
    <row r="13891">
      <c r="A13891" s="1" t="str">
        <f>IFERROR(__xludf.DUMMYFUNCTION("""COMPUTED_VALUE"""),"133533;INF204KA1B23;-;Reliance Dual Advantage Fixed Tenure Fund VII- Plan C- Direct Plan-Dividend Payout Option;10.0000;12-Feb-2018")</f>
        <v>133533;INF204KA1B23;-;Reliance Dual Advantage Fixed Tenure Fund VII- Plan C- Direct Plan-Dividend Payout Option;10.0000;12-Feb-2018</v>
      </c>
      <c r="B13891" s="1"/>
    </row>
    <row r="13892">
      <c r="A13892" s="1" t="str">
        <f>IFERROR(__xludf.DUMMYFUNCTION("""COMPUTED_VALUE"""),"133532;INF204KA1B31;-;Reliance Dual Advantage Fixed Tenure Fund VII- Plan C- Direct Plan-Growth Option;11.7793;12-Feb-2018")</f>
        <v>133532;INF204KA1B31;-;Reliance Dual Advantage Fixed Tenure Fund VII- Plan C- Direct Plan-Growth Option;11.7793;12-Feb-2018</v>
      </c>
      <c r="B13892" s="1"/>
    </row>
    <row r="13893">
      <c r="A13893" s="1" t="str">
        <f>IFERROR(__xludf.DUMMYFUNCTION("""COMPUTED_VALUE"""),"133530;INF204KA1B49;-;Reliance Dual Advantage Fixed Tenure Fund VII- Plan C- Dividend Payout Option;10.0000;12-Feb-2018")</f>
        <v>133530;INF204KA1B49;-;Reliance Dual Advantage Fixed Tenure Fund VII- Plan C- Dividend Payout Option;10.0000;12-Feb-2018</v>
      </c>
      <c r="B13893" s="1"/>
    </row>
    <row r="13894">
      <c r="A13894" s="1" t="str">
        <f>IFERROR(__xludf.DUMMYFUNCTION("""COMPUTED_VALUE"""),"133531;INF204KA1B56;-;Reliance Dual Advantage Fixed Tenure Fund VII- Plan C- Growth Option;11.3802;12-Feb-2018")</f>
        <v>133531;INF204KA1B56;-;Reliance Dual Advantage Fixed Tenure Fund VII- Plan C- Growth Option;11.3802;12-Feb-2018</v>
      </c>
      <c r="B13894" s="1"/>
    </row>
    <row r="13895">
      <c r="A13895" s="1" t="str">
        <f>IFERROR(__xludf.DUMMYFUNCTION("""COMPUTED_VALUE"""),"133986;INF204KA1G44;-;Reliance Dual Advantage Fixed Tenure Fund VII- Plan D- Direct Plan- Growth Option;11.9999;03-Apr-2018")</f>
        <v>133986;INF204KA1G44;-;Reliance Dual Advantage Fixed Tenure Fund VII- Plan D- Direct Plan- Growth Option;11.9999;03-Apr-2018</v>
      </c>
      <c r="B13895" s="1"/>
    </row>
    <row r="13896">
      <c r="A13896" s="1" t="str">
        <f>IFERROR(__xludf.DUMMYFUNCTION("""COMPUTED_VALUE"""),"133987;INF204KA1G36;-;Reliance Dual Advantage Fixed Tenure Fund VII- Plan D- Direct Plan-Dividend Payout Option;10.0000;03-Apr-2018")</f>
        <v>133987;INF204KA1G36;-;Reliance Dual Advantage Fixed Tenure Fund VII- Plan D- Direct Plan-Dividend Payout Option;10.0000;03-Apr-2018</v>
      </c>
      <c r="B13896" s="1"/>
    </row>
    <row r="13897">
      <c r="A13897" s="1" t="str">
        <f>IFERROR(__xludf.DUMMYFUNCTION("""COMPUTED_VALUE"""),"133985;INF204KA1G51;-;Reliance Dual Advantage Fixed Tenure Fund VII- Plan D- Dividend Payout Option;10.0000;03-Apr-2018")</f>
        <v>133985;INF204KA1G51;-;Reliance Dual Advantage Fixed Tenure Fund VII- Plan D- Dividend Payout Option;10.0000;03-Apr-2018</v>
      </c>
      <c r="B13897" s="1"/>
    </row>
    <row r="13898">
      <c r="A13898" s="1" t="str">
        <f>IFERROR(__xludf.DUMMYFUNCTION("""COMPUTED_VALUE"""),"133984;INF204KA1G69;-;Reliance Dual Advantage Fixed Tenure Fund VII- Plan D- Growth Option;11.6425;03-Apr-2018")</f>
        <v>133984;INF204KA1G69;-;Reliance Dual Advantage Fixed Tenure Fund VII- Plan D- Growth Option;11.6425;03-Apr-2018</v>
      </c>
      <c r="B13898" s="1"/>
    </row>
    <row r="13899">
      <c r="A13899" s="1" t="str">
        <f>IFERROR(__xludf.DUMMYFUNCTION("""COMPUTED_VALUE"""),"134412;INF204KA1L70;-;Reliance Dual Advantage Fixed Tenure Fund VII- Plan E- Direct Plan-Dividend Payout Option;10.0000;14-May-2018")</f>
        <v>134412;INF204KA1L70;-;Reliance Dual Advantage Fixed Tenure Fund VII- Plan E- Direct Plan-Dividend Payout Option;10.0000;14-May-2018</v>
      </c>
      <c r="B13899" s="1"/>
    </row>
    <row r="13900">
      <c r="A13900" s="1" t="str">
        <f>IFERROR(__xludf.DUMMYFUNCTION("""COMPUTED_VALUE"""),"134410;INF204KA1L88;-;Reliance Dual Advantage Fixed Tenure Fund VII- Plan E- Direct Plan-Growth Option;11.8440;14-May-2018")</f>
        <v>134410;INF204KA1L88;-;Reliance Dual Advantage Fixed Tenure Fund VII- Plan E- Direct Plan-Growth Option;11.8440;14-May-2018</v>
      </c>
      <c r="B13900" s="1"/>
    </row>
    <row r="13901">
      <c r="A13901" s="1" t="str">
        <f>IFERROR(__xludf.DUMMYFUNCTION("""COMPUTED_VALUE"""),"134411;INF204KA1L96;-;Reliance Dual Advantage Fixed Tenure Fund VII- Plan E- Dividend Payout Option;10.0000;14-May-2018")</f>
        <v>134411;INF204KA1L96;-;Reliance Dual Advantage Fixed Tenure Fund VII- Plan E- Dividend Payout Option;10.0000;14-May-2018</v>
      </c>
      <c r="B13901" s="1"/>
    </row>
    <row r="13902">
      <c r="A13902" s="1" t="str">
        <f>IFERROR(__xludf.DUMMYFUNCTION("""COMPUTED_VALUE"""),"134409;INF204KA1M04;-;Reliance Dual Advantage Fixed Tenure Fund VII- Plan E- Growth Option;11.6297;14-May-2018")</f>
        <v>134409;INF204KA1M04;-;Reliance Dual Advantage Fixed Tenure Fund VII- Plan E- Growth Option;11.6297;14-May-2018</v>
      </c>
      <c r="B13902" s="1"/>
    </row>
    <row r="13903">
      <c r="A13903" s="1" t="str">
        <f>IFERROR(__xludf.DUMMYFUNCTION("""COMPUTED_VALUE"""),"135086;INF204KA11J8;-;Reliance Dual Advantage Fixed Tenure Fund VIII- Plan A- Direct Plan- Growth Option;12.315;02-Jul-2018")</f>
        <v>135086;INF204KA11J8;-;Reliance Dual Advantage Fixed Tenure Fund VIII- Plan A- Direct Plan- Growth Option;12.315;02-Jul-2018</v>
      </c>
      <c r="B13903" s="1"/>
    </row>
    <row r="13904">
      <c r="A13904" s="1" t="str">
        <f>IFERROR(__xludf.DUMMYFUNCTION("""COMPUTED_VALUE"""),"135084;INF204KA10J0;-;Reliance Dual Advantage Fixed Tenure Fund VIII- Plan A- Direct Plan-Dividend Payout Option;12.315;02-Jul-2018")</f>
        <v>135084;INF204KA10J0;-;Reliance Dual Advantage Fixed Tenure Fund VIII- Plan A- Direct Plan-Dividend Payout Option;12.315;02-Jul-2018</v>
      </c>
      <c r="B13904" s="1"/>
    </row>
    <row r="13905">
      <c r="A13905" s="1" t="str">
        <f>IFERROR(__xludf.DUMMYFUNCTION("""COMPUTED_VALUE"""),"135085;INF204KA12J6;-;Reliance Dual Advantage Fixed Tenure Fund VIII- Plan A- Dividend Payout Option;11.9048;02-Jul-2018")</f>
        <v>135085;INF204KA12J6;-;Reliance Dual Advantage Fixed Tenure Fund VIII- Plan A- Dividend Payout Option;11.9048;02-Jul-2018</v>
      </c>
      <c r="B13905" s="1"/>
    </row>
    <row r="13906">
      <c r="A13906" s="1" t="str">
        <f>IFERROR(__xludf.DUMMYFUNCTION("""COMPUTED_VALUE"""),"135087;INF204KA13J4;-;Reliance Dual Advantage Fixed Tenure Fund VIII- Plan A- Growth Option;11.9048;02-Jul-2018")</f>
        <v>135087;INF204KA13J4;-;Reliance Dual Advantage Fixed Tenure Fund VIII- Plan A- Growth Option;11.9048;02-Jul-2018</v>
      </c>
      <c r="B13906" s="1"/>
    </row>
    <row r="13907">
      <c r="A13907" s="1" t="str">
        <f>IFERROR(__xludf.DUMMYFUNCTION("""COMPUTED_VALUE"""),"135231;INF204KA18K1;-;Reliance Dual Advantage Fixed Tenure Fund VIII- Plan B-Direct Plan-Dividend Payout Option;12.3167;02-Jul-2018")</f>
        <v>135231;INF204KA18K1;-;Reliance Dual Advantage Fixed Tenure Fund VIII- Plan B-Direct Plan-Dividend Payout Option;12.3167;02-Jul-2018</v>
      </c>
      <c r="B13907" s="1"/>
    </row>
    <row r="13908">
      <c r="A13908" s="1" t="str">
        <f>IFERROR(__xludf.DUMMYFUNCTION("""COMPUTED_VALUE"""),"135230;INF204KA19K9;-;Reliance Dual Advantage Fixed Tenure Fund VIII- Plan B-Direct Plan-Growth Option;12.3167;02-Jul-2018")</f>
        <v>135230;INF204KA19K9;-;Reliance Dual Advantage Fixed Tenure Fund VIII- Plan B-Direct Plan-Growth Option;12.3167;02-Jul-2018</v>
      </c>
      <c r="B13908" s="1"/>
    </row>
    <row r="13909">
      <c r="A13909" s="1" t="str">
        <f>IFERROR(__xludf.DUMMYFUNCTION("""COMPUTED_VALUE"""),"135229;INF204KA10L6;-;Reliance Dual Advantage Fixed Tenure Fund VIII- Plan B-Dividend Payout Option;11.9469;02-Jul-2018")</f>
        <v>135229;INF204KA10L6;-;Reliance Dual Advantage Fixed Tenure Fund VIII- Plan B-Dividend Payout Option;11.9469;02-Jul-2018</v>
      </c>
      <c r="B13909" s="1"/>
    </row>
    <row r="13910">
      <c r="A13910" s="1" t="str">
        <f>IFERROR(__xludf.DUMMYFUNCTION("""COMPUTED_VALUE"""),"135228;INF204KA11L4;-;Reliance Dual Advantage Fixed Tenure Fund VIII- Plan B-Growth Option;11.9469;02-Jul-2018")</f>
        <v>135228;INF204KA11L4;-;Reliance Dual Advantage Fixed Tenure Fund VIII- Plan B-Growth Option;11.9469;02-Jul-2018</v>
      </c>
      <c r="B13910" s="1"/>
    </row>
    <row r="13911">
      <c r="A13911" s="1" t="str">
        <f>IFERROR(__xludf.DUMMYFUNCTION("""COMPUTED_VALUE"""),"135435;INF204KA11O8;-;Reliance Dual Advantage Fixed Tenure Fund VIII- Plan C- Direct Plan-Dividend Payout Option;12.1021;02-Jul-2018")</f>
        <v>135435;INF204KA11O8;-;Reliance Dual Advantage Fixed Tenure Fund VIII- Plan C- Direct Plan-Dividend Payout Option;12.1021;02-Jul-2018</v>
      </c>
      <c r="B13911" s="1"/>
    </row>
    <row r="13912">
      <c r="A13912" s="1" t="str">
        <f>IFERROR(__xludf.DUMMYFUNCTION("""COMPUTED_VALUE"""),"135434;INF204KA12O6;-;Reliance Dual Advantage Fixed Tenure Fund VIII- Plan C- Direct Plan-Growth Option;12.1021;02-Jul-2018")</f>
        <v>135434;INF204KA12O6;-;Reliance Dual Advantage Fixed Tenure Fund VIII- Plan C- Direct Plan-Growth Option;12.1021;02-Jul-2018</v>
      </c>
      <c r="B13912" s="1"/>
    </row>
    <row r="13913">
      <c r="A13913" s="1" t="str">
        <f>IFERROR(__xludf.DUMMYFUNCTION("""COMPUTED_VALUE"""),"135433;INF204KA13O4;-;Reliance Dual Advantage Fixed Tenure Fund VIII- Plan C- Dividend Payout Option;11.7556;02-Jul-2018")</f>
        <v>135433;INF204KA13O4;-;Reliance Dual Advantage Fixed Tenure Fund VIII- Plan C- Dividend Payout Option;11.7556;02-Jul-2018</v>
      </c>
      <c r="B13913" s="1"/>
    </row>
    <row r="13914">
      <c r="A13914" s="1" t="str">
        <f>IFERROR(__xludf.DUMMYFUNCTION("""COMPUTED_VALUE"""),"135432;INF204KA14O2;-;Reliance Dual Advantage Fixed Tenure Fund VIII- Plan C- Growth Option;11.7556;02-Jul-2018")</f>
        <v>135432;INF204KA14O2;-;Reliance Dual Advantage Fixed Tenure Fund VIII- Plan C- Growth Option;11.7556;02-Jul-2018</v>
      </c>
      <c r="B13914" s="1"/>
    </row>
    <row r="13915">
      <c r="A13915" s="1" t="str">
        <f>IFERROR(__xludf.DUMMYFUNCTION("""COMPUTED_VALUE"""),"146735;INF204KB1Z49;-;Reliance Fixed Horizon Fund XLI - Series 2 - Direct Plan - Dividend Payout Option;10.0000;18-Jun-2019")</f>
        <v>146735;INF204KB1Z49;-;Reliance Fixed Horizon Fund XLI - Series 2 - Direct Plan - Dividend Payout Option;10.0000;18-Jun-2019</v>
      </c>
      <c r="B13915" s="1"/>
    </row>
    <row r="13916">
      <c r="A13916" s="1" t="str">
        <f>IFERROR(__xludf.DUMMYFUNCTION("""COMPUTED_VALUE"""),"146738;INF204KB1Z31;-;Reliance Fixed Horizon Fund XLI - Series 2 - Direct Plan - Growth Option;10.1951;18-Jun-2019")</f>
        <v>146738;INF204KB1Z31;-;Reliance Fixed Horizon Fund XLI - Series 2 - Direct Plan - Growth Option;10.1951;18-Jun-2019</v>
      </c>
      <c r="B13916" s="1"/>
    </row>
    <row r="13917">
      <c r="A13917" s="1" t="str">
        <f>IFERROR(__xludf.DUMMYFUNCTION("""COMPUTED_VALUE"""),"146736;INF204KB1Z23;-;Reliance Fixed Horizon Fund XLI - Series 2 - Dividend Payout Option;10.0000;18-Jun-2019")</f>
        <v>146736;INF204KB1Z23;-;Reliance Fixed Horizon Fund XLI - Series 2 - Dividend Payout Option;10.0000;18-Jun-2019</v>
      </c>
      <c r="B13917" s="1"/>
    </row>
    <row r="13918">
      <c r="A13918" s="1" t="str">
        <f>IFERROR(__xludf.DUMMYFUNCTION("""COMPUTED_VALUE"""),"146737;INF204KB1Z15;-;Reliance Fixed Horizon Fund XLI - Series 2 - Growth Option;10.1898;18-Jun-2019")</f>
        <v>146737;INF204KB1Z15;-;Reliance Fixed Horizon Fund XLI - Series 2 - Growth Option;10.1898;18-Jun-2019</v>
      </c>
      <c r="B13918" s="1"/>
    </row>
    <row r="13919">
      <c r="A13919" s="1" t="str">
        <f>IFERROR(__xludf.DUMMYFUNCTION("""COMPUTED_VALUE"""),"117779;INF204KA1TS8;-;Reliance Fixed Horizon Fund - XXII - Series 21 - Dividend Payout Option;10.0000;31-Aug-2015")</f>
        <v>117779;INF204KA1TS8;-;Reliance Fixed Horizon Fund - XXII - Series 21 - Dividend Payout Option;10.0000;31-Aug-2015</v>
      </c>
      <c r="B13919" s="1"/>
    </row>
    <row r="13920">
      <c r="A13920" s="1" t="str">
        <f>IFERROR(__xludf.DUMMYFUNCTION("""COMPUTED_VALUE"""),"117778;INF204KA1TR0;-;Reliance Fixed Horizon Fund - XXII - Series 21 - Growth Option;12.9924;31-Aug-2015")</f>
        <v>117778;INF204KA1TR0;-;Reliance Fixed Horizon Fund - XXII - Series 21 - Growth Option;12.9924;31-Aug-2015</v>
      </c>
      <c r="B13920" s="1"/>
    </row>
    <row r="13921">
      <c r="A13921" s="1" t="str">
        <f>IFERROR(__xludf.DUMMYFUNCTION("""COMPUTED_VALUE"""),"117795;INF204KA1VJ3;-;Reliance Fixed Horizon Fund - XXII - Series 22 - Dividend Payout Option;10.0000;21-Sep-2015")</f>
        <v>117795;INF204KA1VJ3;-;Reliance Fixed Horizon Fund - XXII - Series 22 - Dividend Payout Option;10.0000;21-Sep-2015</v>
      </c>
      <c r="B13921" s="1"/>
    </row>
    <row r="13922">
      <c r="A13922" s="1" t="str">
        <f>IFERROR(__xludf.DUMMYFUNCTION("""COMPUTED_VALUE"""),"117794;INF204KA1VI5;-;Reliance Fixed Horizon Fund - XXII - Series 22 - Growth Option;12.8537;21-Sep-2015")</f>
        <v>117794;INF204KA1VI5;-;Reliance Fixed Horizon Fund - XXII - Series 22 - Growth Option;12.8537;21-Sep-2015</v>
      </c>
      <c r="B13922" s="1"/>
    </row>
    <row r="13923">
      <c r="A13923" s="1" t="str">
        <f>IFERROR(__xludf.DUMMYFUNCTION("""COMPUTED_VALUE"""),"117797;INF204K01VM9;-;Reliance Fixed Horizon Fund - XXII - Series 23 - Dividend Payout Option;10.0000;18-Sep-2015")</f>
        <v>117797;INF204K01VM9;-;Reliance Fixed Horizon Fund - XXII - Series 23 - Dividend Payout Option;10.0000;18-Sep-2015</v>
      </c>
      <c r="B13923" s="1"/>
    </row>
    <row r="13924">
      <c r="A13924" s="1" t="str">
        <f>IFERROR(__xludf.DUMMYFUNCTION("""COMPUTED_VALUE"""),"117796;INF204K01VL1;-;Reliance Fixed Horizon Fund - XXII - Series 23 - Growth Option;12.8692;18-Sep-2015")</f>
        <v>117796;INF204K01VL1;-;Reliance Fixed Horizon Fund - XXII - Series 23 - Growth Option;12.8692;18-Sep-2015</v>
      </c>
      <c r="B13924" s="1"/>
    </row>
    <row r="13925">
      <c r="A13925" s="1" t="str">
        <f>IFERROR(__xludf.DUMMYFUNCTION("""COMPUTED_VALUE"""),"117813;INF204K01VO5;-;Reliance Fixed Horizon Fund - XXII - Series 24 - Dividend Payout Option;12.8591;19-Sep-2017")</f>
        <v>117813;INF204K01VO5;-;Reliance Fixed Horizon Fund - XXII - Series 24 - Dividend Payout Option;12.8591;19-Sep-2017</v>
      </c>
      <c r="B13925" s="1"/>
    </row>
    <row r="13926">
      <c r="A13926" s="1" t="str">
        <f>IFERROR(__xludf.DUMMYFUNCTION("""COMPUTED_VALUE"""),"117814;INF204K01VN7;-;Reliance Fixed Horizon Fund - XXII - Series 24 - Growth Option;15.0562;19-Sep-2017")</f>
        <v>117814;INF204K01VN7;-;Reliance Fixed Horizon Fund - XXII - Series 24 - Growth Option;15.0562;19-Sep-2017</v>
      </c>
      <c r="B13926" s="1"/>
    </row>
    <row r="13927">
      <c r="A13927" s="1" t="str">
        <f>IFERROR(__xludf.DUMMYFUNCTION("""COMPUTED_VALUE"""),"117849;INF204KA1VX4;-;Reliance Fixed Horizon Fund - XXII - Series 26 - Dividend Payout Option;10.0000;28-Sep-2015")</f>
        <v>117849;INF204KA1VX4;-;Reliance Fixed Horizon Fund - XXII - Series 26 - Dividend Payout Option;10.0000;28-Sep-2015</v>
      </c>
      <c r="B13927" s="1"/>
    </row>
    <row r="13928">
      <c r="A13928" s="1" t="str">
        <f>IFERROR(__xludf.DUMMYFUNCTION("""COMPUTED_VALUE"""),"117848;INF204KA1VW6;-;Reliance Fixed Horizon Fund - XXII - Series 26 - Growth Option;12.9970;28-Sep-2015")</f>
        <v>117848;INF204KA1VW6;-;Reliance Fixed Horizon Fund - XXII - Series 26 - Growth Option;12.9970;28-Sep-2015</v>
      </c>
      <c r="B13928" s="1"/>
    </row>
    <row r="13929">
      <c r="A13929" s="1" t="str">
        <f>IFERROR(__xludf.DUMMYFUNCTION("""COMPUTED_VALUE"""),"117967;INF204KA1XF7;-;Reliance Fixed Horizon Fund - XXII - Series 29 - Dividend Option;10.0000;10-Nov-2015")</f>
        <v>117967;INF204KA1XF7;-;Reliance Fixed Horizon Fund - XXII - Series 29 - Dividend Option;10.0000;10-Nov-2015</v>
      </c>
      <c r="B13929" s="1"/>
    </row>
    <row r="13930">
      <c r="A13930" s="1" t="str">
        <f>IFERROR(__xludf.DUMMYFUNCTION("""COMPUTED_VALUE"""),"117966;INF204KA1XE0;-;Reliance Fixed Horizon Fund - XXII - Series 29 - Growth Option;12.8506;10-Nov-2015")</f>
        <v>117966;INF204KA1XE0;-;Reliance Fixed Horizon Fund - XXII - Series 29 - Growth Option;12.8506;10-Nov-2015</v>
      </c>
      <c r="B13930" s="1"/>
    </row>
    <row r="13931">
      <c r="A13931" s="1" t="str">
        <f>IFERROR(__xludf.DUMMYFUNCTION("""COMPUTED_VALUE"""),"117976;INF204K01WA2;-;Reliance Fixed Horizon Fund XXII - Sereis 30 - Dividend Payout Option;14.7933;09-Nov-2017")</f>
        <v>117976;INF204K01WA2;-;Reliance Fixed Horizon Fund XXII - Sereis 30 - Dividend Payout Option;14.7933;09-Nov-2017</v>
      </c>
      <c r="B13931" s="1"/>
    </row>
    <row r="13932">
      <c r="A13932" s="1" t="str">
        <f>IFERROR(__xludf.DUMMYFUNCTION("""COMPUTED_VALUE"""),"117975;INF204K01VZ1;-;Reliance Fixed Horizon Fund XXII - Series 30 - Growth Option;14.8033;09-Nov-2017")</f>
        <v>117975;INF204K01VZ1;-;Reliance Fixed Horizon Fund XXII - Series 30 - Growth Option;14.8033;09-Nov-2017</v>
      </c>
      <c r="B13932" s="1"/>
    </row>
    <row r="13933">
      <c r="A13933" s="1" t="str">
        <f>IFERROR(__xludf.DUMMYFUNCTION("""COMPUTED_VALUE"""),"118223;INF204K01WI5;-;Reliance Fixed Horizon Fund - XXII - Series 34 - Dividend Payout Option;10.0000;01-Jan-2016")</f>
        <v>118223;INF204K01WI5;-;Reliance Fixed Horizon Fund - XXII - Series 34 - Dividend Payout Option;10.0000;01-Jan-2016</v>
      </c>
      <c r="B13933" s="1"/>
    </row>
    <row r="13934">
      <c r="A13934" s="1" t="str">
        <f>IFERROR(__xludf.DUMMYFUNCTION("""COMPUTED_VALUE"""),"118222;INF204K01WH7;-;Reliance Fixed Horizon Fund - XXII -Series -34 Growth Option;12.9275;01-Jan-2016")</f>
        <v>118222;INF204K01WH7;-;Reliance Fixed Horizon Fund - XXII -Series -34 Growth Option;12.9275;01-Jan-2016</v>
      </c>
      <c r="B13934" s="1"/>
    </row>
    <row r="13935">
      <c r="A13935" s="1" t="str">
        <f>IFERROR(__xludf.DUMMYFUNCTION("""COMPUTED_VALUE"""),"122458;INF204K016B5;-;Reliance Fixed Horizon Fund - XXIII - Series 11 - Direct Plan - Growth Option;12.8722;31-May-2016")</f>
        <v>122458;INF204K016B5;-;Reliance Fixed Horizon Fund - XXIII - Series 11 - Direct Plan - Growth Option;12.8722;31-May-2016</v>
      </c>
      <c r="B13935" s="1"/>
    </row>
    <row r="13936">
      <c r="A13936" s="1" t="str">
        <f>IFERROR(__xludf.DUMMYFUNCTION("""COMPUTED_VALUE"""),"122455;INF204K015B7;-;Reliance Fixed Horizon Fund - XXIII - Series 11 - Dividend Payout Option;10.0000;31-May-2016")</f>
        <v>122455;INF204K015B7;-;Reliance Fixed Horizon Fund - XXIII - Series 11 - Dividend Payout Option;10.0000;31-May-2016</v>
      </c>
      <c r="B13936" s="1"/>
    </row>
    <row r="13937">
      <c r="A13937" s="1" t="str">
        <f>IFERROR(__xludf.DUMMYFUNCTION("""COMPUTED_VALUE"""),"122457;INF204K014B0;-;Reliance Fixed Horizon Fund - XXIII - Series 11 - Growth Option;12.7733;31-May-2016")</f>
        <v>122457;INF204K014B0;-;Reliance Fixed Horizon Fund - XXIII - Series 11 - Growth Option;12.7733;31-May-2016</v>
      </c>
      <c r="B13937" s="1"/>
    </row>
    <row r="13938">
      <c r="A13938" s="1" t="str">
        <f>IFERROR(__xludf.DUMMYFUNCTION("""COMPUTED_VALUE"""),"122615;INF204K010C6;-;Reliance Fixed Horizon Fund - XXIII - Series 12 - Direct Plan - Growth  Option;13.8038;17-Jul-2017")</f>
        <v>122615;INF204K010C6;-;Reliance Fixed Horizon Fund - XXIII - Series 12 - Direct Plan - Growth  Option;13.8038;17-Jul-2017</v>
      </c>
      <c r="B13938" s="1"/>
    </row>
    <row r="13939">
      <c r="A13939" s="1" t="str">
        <f>IFERROR(__xludf.DUMMYFUNCTION("""COMPUTED_VALUE"""),"122617;INF204K019B9;-;Reliance Fixed Horizon Fund - XXIII - Series 12 - Dividend Payout Option;10.0000;29-Jun-2016")</f>
        <v>122617;INF204K019B9;-;Reliance Fixed Horizon Fund - XXIII - Series 12 - Dividend Payout Option;10.0000;29-Jun-2016</v>
      </c>
      <c r="B13939" s="1"/>
    </row>
    <row r="13940">
      <c r="A13940" s="1" t="str">
        <f>IFERROR(__xludf.DUMMYFUNCTION("""COMPUTED_VALUE"""),"122614;INF204K018B1;-;Reliance Fixed Horizon Fund - XXIII - Series 12 - Growth Option;13.7083;17-Jul-2017")</f>
        <v>122614;INF204K018B1;-;Reliance Fixed Horizon Fund - XXIII - Series 12 - Growth Option;13.7083;17-Jul-2017</v>
      </c>
      <c r="B13940" s="1"/>
    </row>
    <row r="13941">
      <c r="A13941" s="1" t="str">
        <f>IFERROR(__xludf.DUMMYFUNCTION("""COMPUTED_VALUE"""),"121757;INF204K015A9;-;Reliance Fixed Horizon Fund - XXIII - Series 8 - Direct Plan - Dividend Payout Option;10.0000;05-Apr-2016")</f>
        <v>121757;INF204K015A9;-;Reliance Fixed Horizon Fund - XXIII - Series 8 - Direct Plan - Dividend Payout Option;10.0000;05-Apr-2016</v>
      </c>
      <c r="B13941" s="1"/>
    </row>
    <row r="13942">
      <c r="A13942" s="1" t="str">
        <f>IFERROR(__xludf.DUMMYFUNCTION("""COMPUTED_VALUE"""),"121755;INF204K014A2;-;Reliance Fixed Horizon Fund - XXIII - Series 8 - Direct Plan - Growth Option;14.0124;10-Apr-2017")</f>
        <v>121755;INF204K014A2;-;Reliance Fixed Horizon Fund - XXIII - Series 8 - Direct Plan - Growth Option;14.0124;10-Apr-2017</v>
      </c>
      <c r="B13942" s="1"/>
    </row>
    <row r="13943">
      <c r="A13943" s="1" t="str">
        <f>IFERROR(__xludf.DUMMYFUNCTION("""COMPUTED_VALUE"""),"121756;INF204K013A4;-;Reliance Fixed Horizon Fund - XXIII - Series 8 - Dividend Payout Option;10.0000;05-Apr-2016")</f>
        <v>121756;INF204K013A4;-;Reliance Fixed Horizon Fund - XXIII - Series 8 - Dividend Payout Option;10.0000;05-Apr-2016</v>
      </c>
      <c r="B13943" s="1"/>
    </row>
    <row r="13944">
      <c r="A13944" s="1" t="str">
        <f>IFERROR(__xludf.DUMMYFUNCTION("""COMPUTED_VALUE"""),"121758;INF204K012A6;-;Reliance Fixed Horizon Fund - XXIII - Series 8 - Growth Option;13.9384;10-Apr-2017")</f>
        <v>121758;INF204K012A6;-;Reliance Fixed Horizon Fund - XXIII - Series 8 - Growth Option;13.9384;10-Apr-2017</v>
      </c>
      <c r="B13944" s="1"/>
    </row>
    <row r="13945">
      <c r="A13945" s="1" t="str">
        <f>IFERROR(__xludf.DUMMYFUNCTION("""COMPUTED_VALUE"""),"123456;INF204KA1032;-;Reliance Fixed Horizon Fund - XXIV - Series 10 - Direct Plan - Dividend Payout Option;10.0000;02-Sep-2015")</f>
        <v>123456;INF204KA1032;-;Reliance Fixed Horizon Fund - XXIV - Series 10 - Direct Plan - Dividend Payout Option;10.0000;02-Sep-2015</v>
      </c>
      <c r="B13945" s="1"/>
    </row>
    <row r="13946">
      <c r="A13946" s="1" t="str">
        <f>IFERROR(__xludf.DUMMYFUNCTION("""COMPUTED_VALUE"""),"123457;INF204KA1024;-;Reliance Fixed Horizon Fund - XXIV - Series 10 - Direct Plan - Growth Option;13.0824;06-Sep-2016")</f>
        <v>123457;INF204KA1024;-;Reliance Fixed Horizon Fund - XXIV - Series 10 - Direct Plan - Growth Option;13.0824;06-Sep-2016</v>
      </c>
      <c r="B13946" s="1"/>
    </row>
    <row r="13947">
      <c r="A13947" s="1" t="str">
        <f>IFERROR(__xludf.DUMMYFUNCTION("""COMPUTED_VALUE"""),"123455;INF204KA1016;-;Reliance Fixed Horizon Fund - XXIV - Series 10 - Dividend Payout Option;10.0000;02-Sep-2015")</f>
        <v>123455;INF204KA1016;-;Reliance Fixed Horizon Fund - XXIV - Series 10 - Dividend Payout Option;10.0000;02-Sep-2015</v>
      </c>
      <c r="B13947" s="1"/>
    </row>
    <row r="13948">
      <c r="A13948" s="1" t="str">
        <f>IFERROR(__xludf.DUMMYFUNCTION("""COMPUTED_VALUE"""),"123454;INF204K019Z8;-;Reliance Fixed Horizon Fund - XXIV - Series 10 - Growth Option;12.9473;06-Sep-2016")</f>
        <v>123454;INF204K019Z8;-;Reliance Fixed Horizon Fund - XXIV - Series 10 - Growth Option;12.9473;06-Sep-2016</v>
      </c>
      <c r="B13948" s="1"/>
    </row>
    <row r="13949">
      <c r="A13949" s="1" t="str">
        <f>IFERROR(__xludf.DUMMYFUNCTION("""COMPUTED_VALUE"""),"123459;INF204KA1TP4;-;Reliance Fixed Horizon Fund - XXIV - Series 11 - Direct Plan - Growth Option;14.993;02-Jul-2018")</f>
        <v>123459;INF204KA1TP4;-;Reliance Fixed Horizon Fund - XXIV - Series 11 - Direct Plan - Growth Option;14.993;02-Jul-2018</v>
      </c>
      <c r="B13949" s="1"/>
    </row>
    <row r="13950">
      <c r="A13950" s="1" t="str">
        <f>IFERROR(__xludf.DUMMYFUNCTION("""COMPUTED_VALUE"""),"123458;INF204KA1TN9;-;Reliance Fixed Horizon Fund - XXIV - Series 11 - Growth Option;14.8722;02-Jul-2018")</f>
        <v>123458;INF204KA1TN9;-;Reliance Fixed Horizon Fund - XXIV - Series 11 - Growth Option;14.8722;02-Jul-2018</v>
      </c>
      <c r="B13950" s="1"/>
    </row>
    <row r="13951">
      <c r="A13951" s="1" t="str">
        <f>IFERROR(__xludf.DUMMYFUNCTION("""COMPUTED_VALUE"""),"123569;INF204KA1149;-;Reliance Fixed Horizon Fund - XXIV - Series 13 -Direct Plan -Growth Option;13.3252;05-Oct-2016")</f>
        <v>123569;INF204KA1149;-;Reliance Fixed Horizon Fund - XXIV - Series 13 -Direct Plan -Growth Option;13.3252;05-Oct-2016</v>
      </c>
      <c r="B13951" s="1"/>
    </row>
    <row r="13952">
      <c r="A13952" s="1" t="str">
        <f>IFERROR(__xludf.DUMMYFUNCTION("""COMPUTED_VALUE"""),"123568;INF204KA1131;-;Reliance Fixed Horizon Fund - XXIV - Series 13 -Dividend Payout Option;10.0000;05-Oct-2016")</f>
        <v>123568;INF204KA1131;-;Reliance Fixed Horizon Fund - XXIV - Series 13 -Dividend Payout Option;10.0000;05-Oct-2016</v>
      </c>
      <c r="B13952" s="1"/>
    </row>
    <row r="13953">
      <c r="A13953" s="1" t="str">
        <f>IFERROR(__xludf.DUMMYFUNCTION("""COMPUTED_VALUE"""),"123567;INF204KA1123;-;Reliance Fixed Horizon Fund - XXIV - Series 13 -Growth Option;13.0958;05-Oct-2016")</f>
        <v>123567;INF204KA1123;-;Reliance Fixed Horizon Fund - XXIV - Series 13 -Growth Option;13.0958;05-Oct-2016</v>
      </c>
      <c r="B13953" s="1"/>
    </row>
    <row r="13954">
      <c r="A13954" s="1" t="str">
        <f>IFERROR(__xludf.DUMMYFUNCTION("""COMPUTED_VALUE"""),"123742;INF204KA1UL1;-;Reliance Fixed Horizon Fund - XXIV - Series 15-Direct Plan -Growth Option;15.0336;02-Jul-2018")</f>
        <v>123742;INF204KA1UL1;-;Reliance Fixed Horizon Fund - XXIV - Series 15-Direct Plan -Growth Option;15.0336;02-Jul-2018</v>
      </c>
      <c r="B13954" s="1"/>
    </row>
    <row r="13955">
      <c r="A13955" s="1" t="str">
        <f>IFERROR(__xludf.DUMMYFUNCTION("""COMPUTED_VALUE"""),"123741;INF204KA1UK3;-;Reliance Fixed Horizon Fund - XXIV - Series 15-Dividend Payout Option;10.0000;14-Sep-2016")</f>
        <v>123741;INF204KA1UK3;-;Reliance Fixed Horizon Fund - XXIV - Series 15-Dividend Payout Option;10.0000;14-Sep-2016</v>
      </c>
      <c r="B13955" s="1"/>
    </row>
    <row r="13956">
      <c r="A13956" s="1" t="str">
        <f>IFERROR(__xludf.DUMMYFUNCTION("""COMPUTED_VALUE"""),"123740;INF204KA1UJ5;-;Reliance Fixed Horizon Fund - XXIV - Series 15-Growth Option;14.87;02-Jul-2018")</f>
        <v>123740;INF204KA1UJ5;-;Reliance Fixed Horizon Fund - XXIV - Series 15-Growth Option;14.87;02-Jul-2018</v>
      </c>
      <c r="B13956" s="1"/>
    </row>
    <row r="13957">
      <c r="A13957" s="1" t="str">
        <f>IFERROR(__xludf.DUMMYFUNCTION("""COMPUTED_VALUE"""),"123982;INF204KA1UY4;-;Reliance Fixed Horizon Fund - XXIV - Series 16 - Direct Plan - Growth Plan;13.1293;27-Sep-2016")</f>
        <v>123982;INF204KA1UY4;-;Reliance Fixed Horizon Fund - XXIV - Series 16 - Direct Plan - Growth Plan;13.1293;27-Sep-2016</v>
      </c>
      <c r="B13957" s="1"/>
    </row>
    <row r="13958">
      <c r="A13958" s="1" t="str">
        <f>IFERROR(__xludf.DUMMYFUNCTION("""COMPUTED_VALUE"""),"123985;INF204KA1UW8;-;Reliance Fixed Horizon Fund - XXIV - Series 16 - Growth Plan;13.0887;27-Sep-2016")</f>
        <v>123985;INF204KA1UW8;-;Reliance Fixed Horizon Fund - XXIV - Series 16 - Growth Plan;13.0887;27-Sep-2016</v>
      </c>
      <c r="B13958" s="1"/>
    </row>
    <row r="13959">
      <c r="A13959" s="1" t="str">
        <f>IFERROR(__xludf.DUMMYFUNCTION("""COMPUTED_VALUE"""),"124097;INF204KA1VF1;-;Reliance Fixed Horizon Fund - XXIV - Series 17 -Dividend Payout Option;10.0000;27-Sep-2016")</f>
        <v>124097;INF204KA1VF1;-;Reliance Fixed Horizon Fund - XXIV - Series 17 -Dividend Payout Option;10.0000;27-Sep-2016</v>
      </c>
      <c r="B13959" s="1"/>
    </row>
    <row r="13960">
      <c r="A13960" s="1" t="str">
        <f>IFERROR(__xludf.DUMMYFUNCTION("""COMPUTED_VALUE"""),"124099;INF204KA1VH7;-;Reliance Fixed Horizon Fund - XXIV - Series 17- Direct Plan -Dividend Payout Option;10.0000;27-Sep-2016")</f>
        <v>124099;INF204KA1VH7;-;Reliance Fixed Horizon Fund - XXIV - Series 17- Direct Plan -Dividend Payout Option;10.0000;27-Sep-2016</v>
      </c>
      <c r="B13960" s="1"/>
    </row>
    <row r="13961">
      <c r="A13961" s="1" t="str">
        <f>IFERROR(__xludf.DUMMYFUNCTION("""COMPUTED_VALUE"""),"124098;INF204KA1VG9;-;Reliance Fixed Horizon Fund - XXIV - Series 17-Direct Plan -Growth Option;13.1119;27-Sep-2016")</f>
        <v>124098;INF204KA1VG9;-;Reliance Fixed Horizon Fund - XXIV - Series 17-Direct Plan -Growth Option;13.1119;27-Sep-2016</v>
      </c>
      <c r="B13961" s="1"/>
    </row>
    <row r="13962">
      <c r="A13962" s="1" t="str">
        <f>IFERROR(__xludf.DUMMYFUNCTION("""COMPUTED_VALUE"""),"124096;INF204KA1VE4;-;Reliance Fixed Horizon Fund - XXIV - Series 17-Growth Option;13.0080;27-Sep-2016")</f>
        <v>124096;INF204KA1VE4;-;Reliance Fixed Horizon Fund - XXIV - Series 17-Growth Option;13.0080;27-Sep-2016</v>
      </c>
      <c r="B13962" s="1"/>
    </row>
    <row r="13963">
      <c r="A13963" s="1" t="str">
        <f>IFERROR(__xludf.DUMMYFUNCTION("""COMPUTED_VALUE"""),"124213;INF204KA1VM7;-;Reliance Fixed Horizon Fund - XXIV - Series 18 -Direct Plan -Growth Option;13.1299;27-Sep-2016")</f>
        <v>124213;INF204KA1VM7;-;Reliance Fixed Horizon Fund - XXIV - Series 18 -Direct Plan -Growth Option;13.1299;27-Sep-2016</v>
      </c>
      <c r="B13963" s="1"/>
    </row>
    <row r="13964">
      <c r="A13964" s="1" t="str">
        <f>IFERROR(__xludf.DUMMYFUNCTION("""COMPUTED_VALUE"""),"124211;INF204KA1VL9;-;Reliance Fixed Horizon Fund - XXIV - Series 18 -Dividend Payout Optioin;10.0000;27-Sep-2016")</f>
        <v>124211;INF204KA1VL9;-;Reliance Fixed Horizon Fund - XXIV - Series 18 -Dividend Payout Optioin;10.0000;27-Sep-2016</v>
      </c>
      <c r="B13964" s="1"/>
    </row>
    <row r="13965">
      <c r="A13965" s="1" t="str">
        <f>IFERROR(__xludf.DUMMYFUNCTION("""COMPUTED_VALUE"""),"124210;INF204KA1VK1;-;Reliance Fixed Horizon Fund - XXIV - Series 18-Growth Option;13.0897;27-Sep-2016")</f>
        <v>124210;INF204KA1VK1;-;Reliance Fixed Horizon Fund - XXIV - Series 18-Growth Option;13.0897;27-Sep-2016</v>
      </c>
      <c r="B13965" s="1"/>
    </row>
    <row r="13966">
      <c r="A13966" s="1" t="str">
        <f>IFERROR(__xludf.DUMMYFUNCTION("""COMPUTED_VALUE"""),"122903;INF204K010X2;-;Reliance Fixed Horizon Fund - XXIV - Series 2 - Direct Plan - Dividend Payout Option;10.0000;16-Sep-2019")</f>
        <v>122903;INF204K010X2;-;Reliance Fixed Horizon Fund - XXIV - Series 2 - Direct Plan - Dividend Payout Option;10.0000;16-Sep-2019</v>
      </c>
      <c r="B13966" s="1"/>
    </row>
    <row r="13967">
      <c r="A13967" s="1" t="str">
        <f>IFERROR(__xludf.DUMMYFUNCTION("""COMPUTED_VALUE"""),"122902;INF204K019W5;-;Reliance Fixed Horizon Fund - XXIV - Series 2 - Direct Plan - Growth Option;15.7850;16-Sep-2019")</f>
        <v>122902;INF204K019W5;-;Reliance Fixed Horizon Fund - XXIV - Series 2 - Direct Plan - Growth Option;15.7850;16-Sep-2019</v>
      </c>
      <c r="B13967" s="1"/>
    </row>
    <row r="13968">
      <c r="A13968" s="1" t="str">
        <f>IFERROR(__xludf.DUMMYFUNCTION("""COMPUTED_VALUE"""),"122901;INF204K018W7;-;Reliance Fixed Horizon Fund - XXIV - Series 2 - Dividend Payout Option;10.0000;10-Aug-2016")</f>
        <v>122901;INF204K018W7;-;Reliance Fixed Horizon Fund - XXIV - Series 2 - Dividend Payout Option;10.0000;10-Aug-2016</v>
      </c>
      <c r="B13968" s="1"/>
    </row>
    <row r="13969">
      <c r="A13969" s="1" t="str">
        <f>IFERROR(__xludf.DUMMYFUNCTION("""COMPUTED_VALUE"""),"122900;INF204K017W9;-;Reliance Fixed Horizon Fund - XXIV - Series 2 - Growth Option;15.5551;16-Sep-2019")</f>
        <v>122900;INF204K017W9;-;Reliance Fixed Horizon Fund - XXIV - Series 2 - Growth Option;15.5551;16-Sep-2019</v>
      </c>
      <c r="B13969" s="1"/>
    </row>
    <row r="13970">
      <c r="A13970" s="1" t="str">
        <f>IFERROR(__xludf.DUMMYFUNCTION("""COMPUTED_VALUE"""),"124250;INF204KA1438;-;Reliance Fixed Horizon Fund - XXIV - Series 20 - Direct Plan - Dividend Payout Option;10.0000;01-Nov-2016")</f>
        <v>124250;INF204KA1438;-;Reliance Fixed Horizon Fund - XXIV - Series 20 - Direct Plan - Dividend Payout Option;10.0000;01-Nov-2016</v>
      </c>
      <c r="B13970" s="1"/>
    </row>
    <row r="13971">
      <c r="A13971" s="1" t="str">
        <f>IFERROR(__xludf.DUMMYFUNCTION("""COMPUTED_VALUE"""),"124249;INF204KA1420;-;Reliance Fixed Horizon Fund - XXIV - Series 20 - Direct Plan - Growth Option;13.1969;01-Nov-2016")</f>
        <v>124249;INF204KA1420;-;Reliance Fixed Horizon Fund - XXIV - Series 20 - Direct Plan - Growth Option;13.1969;01-Nov-2016</v>
      </c>
      <c r="B13971" s="1"/>
    </row>
    <row r="13972">
      <c r="A13972" s="1" t="str">
        <f>IFERROR(__xludf.DUMMYFUNCTION("""COMPUTED_VALUE"""),"124252;INF204KA1412;-;Reliance Fixed Horizon Fund - XXIV - Series 20 - Dividend Payout Option;10.0000;01-Nov-2016")</f>
        <v>124252;INF204KA1412;-;Reliance Fixed Horizon Fund - XXIV - Series 20 - Dividend Payout Option;10.0000;01-Nov-2016</v>
      </c>
      <c r="B13972" s="1"/>
    </row>
    <row r="13973">
      <c r="A13973" s="1" t="str">
        <f>IFERROR(__xludf.DUMMYFUNCTION("""COMPUTED_VALUE"""),"124251;INF204KA1404;-;Reliance Fixed Horizon Fund - XXIV - Series 20 - Growth Option;12.9991;01-Nov-2016")</f>
        <v>124251;INF204KA1404;-;Reliance Fixed Horizon Fund - XXIV - Series 20 - Growth Option;12.9991;01-Nov-2016</v>
      </c>
      <c r="B13973" s="1"/>
    </row>
    <row r="13974">
      <c r="A13974" s="1" t="str">
        <f>IFERROR(__xludf.DUMMYFUNCTION("""COMPUTED_VALUE"""),"124708;INF204KA11E9;-;Reliance Fixed Horizon Fund - XXIV - Series 22 - Direct Plan - Dividend Payout Option;10.0000;24-Jul-2017")</f>
        <v>124708;INF204KA11E9;-;Reliance Fixed Horizon Fund - XXIV - Series 22 - Direct Plan - Dividend Payout Option;10.0000;24-Jul-2017</v>
      </c>
      <c r="B13974" s="1"/>
    </row>
    <row r="13975">
      <c r="A13975" s="1" t="str">
        <f>IFERROR(__xludf.DUMMYFUNCTION("""COMPUTED_VALUE"""),"124707;INF204KA10E1;-;Reliance Fixed Horizon Fund - XXIV - Series 22 - Direct Plan - Growth Option;13.6532;24-Jul-2017")</f>
        <v>124707;INF204KA10E1;-;Reliance Fixed Horizon Fund - XXIV - Series 22 - Direct Plan - Growth Option;13.6532;24-Jul-2017</v>
      </c>
      <c r="B13975" s="1"/>
    </row>
    <row r="13976">
      <c r="A13976" s="1" t="str">
        <f>IFERROR(__xludf.DUMMYFUNCTION("""COMPUTED_VALUE"""),"124709;INF204KA19D4;-;Reliance Fixed Horizon Fund - XXIV - Series 22 - Dividend Payout Option;10.0000;24-Jul-2017")</f>
        <v>124709;INF204KA19D4;-;Reliance Fixed Horizon Fund - XXIV - Series 22 - Dividend Payout Option;10.0000;24-Jul-2017</v>
      </c>
      <c r="B13976" s="1"/>
    </row>
    <row r="13977">
      <c r="A13977" s="1" t="str">
        <f>IFERROR(__xludf.DUMMYFUNCTION("""COMPUTED_VALUE"""),"124706;INF204KA18D6;-;Reliance Fixed Horizon Fund - XXIV - Series 22 - Growth Option;13.5557;24-Jul-2017")</f>
        <v>124706;INF204KA18D6;-;Reliance Fixed Horizon Fund - XXIV - Series 22 - Growth Option;13.5557;24-Jul-2017</v>
      </c>
      <c r="B13977" s="1"/>
    </row>
    <row r="13978">
      <c r="A13978" s="1" t="str">
        <f>IFERROR(__xludf.DUMMYFUNCTION("""COMPUTED_VALUE"""),"125153;INF204KA1594;-;Reliance Fixed Horizon Fund - XXIV - Series 24 - Direct Plan - Dividend Payout Option;15.1213;02-Jul-2018")</f>
        <v>125153;INF204KA1594;-;Reliance Fixed Horizon Fund - XXIV - Series 24 - Direct Plan - Dividend Payout Option;15.1213;02-Jul-2018</v>
      </c>
      <c r="B13978" s="1"/>
    </row>
    <row r="13979">
      <c r="A13979" s="1" t="str">
        <f>IFERROR(__xludf.DUMMYFUNCTION("""COMPUTED_VALUE"""),"125152;INF204KA1586;-;Reliance Fixed Horizon Fund - XXIV - Series 24 - Direct Plan - Growth Option;15.1213;02-Jul-2018")</f>
        <v>125152;INF204KA1586;-;Reliance Fixed Horizon Fund - XXIV - Series 24 - Direct Plan - Growth Option;15.1213;02-Jul-2018</v>
      </c>
      <c r="B13979" s="1"/>
    </row>
    <row r="13980">
      <c r="A13980" s="1" t="str">
        <f>IFERROR(__xludf.DUMMYFUNCTION("""COMPUTED_VALUE"""),"125151;INF204KA1578;-;Reliance Fixed Horizon Fund - XXIV - Series 24 - Dividend Payout Option;14.7971;02-Jul-2018")</f>
        <v>125151;INF204KA1578;-;Reliance Fixed Horizon Fund - XXIV - Series 24 - Dividend Payout Option;14.7971;02-Jul-2018</v>
      </c>
      <c r="B13980" s="1"/>
    </row>
    <row r="13981">
      <c r="A13981" s="1" t="str">
        <f>IFERROR(__xludf.DUMMYFUNCTION("""COMPUTED_VALUE"""),"125150;INF204KA1560;-;Reliance Fixed Horizon Fund - XXIV - Series 24 - Growth Option;14.7971;02-Jul-2018")</f>
        <v>125150;INF204KA1560;-;Reliance Fixed Horizon Fund - XXIV - Series 24 - Growth Option;14.7971;02-Jul-2018</v>
      </c>
      <c r="B13981" s="1"/>
    </row>
    <row r="13982">
      <c r="A13982" s="1" t="str">
        <f>IFERROR(__xludf.DUMMYFUNCTION("""COMPUTED_VALUE"""),"125195;INF204KA1636;-;Reliance Fixed Horizon Fund - XXIV - Series 25 - Direct Plan - Dividend Payout Option;10;02-Jul-2018")</f>
        <v>125195;INF204KA1636;-;Reliance Fixed Horizon Fund - XXIV - Series 25 - Direct Plan - Dividend Payout Option;10;02-Jul-2018</v>
      </c>
      <c r="B13982" s="1"/>
    </row>
    <row r="13983">
      <c r="A13983" s="1" t="str">
        <f>IFERROR(__xludf.DUMMYFUNCTION("""COMPUTED_VALUE"""),"125194;INF204KA1610;-;Reliance Fixed Horizon Fund - XXIV - Series 25 - Dividend Payout Option;10;02-Jul-2018")</f>
        <v>125194;INF204KA1610;-;Reliance Fixed Horizon Fund - XXIV - Series 25 - Dividend Payout Option;10;02-Jul-2018</v>
      </c>
      <c r="B13983" s="1"/>
    </row>
    <row r="13984">
      <c r="A13984" s="1" t="str">
        <f>IFERROR(__xludf.DUMMYFUNCTION("""COMPUTED_VALUE"""),"125193;INF204KA1602;-;Reliance Fixed Horizon Fund - XXIV - Series 25 - Growth Option;14.1524;02-Jul-2018")</f>
        <v>125193;INF204KA1602;-;Reliance Fixed Horizon Fund - XXIV - Series 25 - Growth Option;14.1524;02-Jul-2018</v>
      </c>
      <c r="B13984" s="1"/>
    </row>
    <row r="13985">
      <c r="A13985" s="1" t="str">
        <f>IFERROR(__xludf.DUMMYFUNCTION("""COMPUTED_VALUE"""),"125192;INF204KA1628;-;Reliance Fixed Horizon Fund - XXIV - Series 25- Direct Plan - Growth Option;14.2784;02-Jul-2018")</f>
        <v>125192;INF204KA1628;-;Reliance Fixed Horizon Fund - XXIV - Series 25- Direct Plan - Growth Option;14.2784;02-Jul-2018</v>
      </c>
      <c r="B13985" s="1"/>
    </row>
    <row r="13986">
      <c r="A13986" s="1" t="str">
        <f>IFERROR(__xludf.DUMMYFUNCTION("""COMPUTED_VALUE"""),"123054;INF204KA1SG5;-;Reliance Fixed Horizon Fund - XXIV - Series 3-Direct Plan - Dividend Payout Option;10.0000;10-Aug-2016")</f>
        <v>123054;INF204KA1SG5;-;Reliance Fixed Horizon Fund - XXIV - Series 3-Direct Plan - Dividend Payout Option;10.0000;10-Aug-2016</v>
      </c>
      <c r="B13986" s="1"/>
    </row>
    <row r="13987">
      <c r="A13987" s="1" t="str">
        <f>IFERROR(__xludf.DUMMYFUNCTION("""COMPUTED_VALUE"""),"123051;INF204KA1SF7;-;Reliance Fixed Horizon Fund - XXIV - Series 3-Direct Plan - Growth Option;14.7249;25-Jun-2018")</f>
        <v>123051;INF204KA1SF7;-;Reliance Fixed Horizon Fund - XXIV - Series 3-Direct Plan - Growth Option;14.7249;25-Jun-2018</v>
      </c>
      <c r="B13987" s="1"/>
    </row>
    <row r="13988">
      <c r="A13988" s="1" t="str">
        <f>IFERROR(__xludf.DUMMYFUNCTION("""COMPUTED_VALUE"""),"123053;INF204KA1SE0;-;Reliance Fixed Horizon Fund - XXIV - Series 3-Dividend payout Option;10.0000;10-Aug-2016")</f>
        <v>123053;INF204KA1SE0;-;Reliance Fixed Horizon Fund - XXIV - Series 3-Dividend payout Option;10.0000;10-Aug-2016</v>
      </c>
      <c r="B13988" s="1"/>
    </row>
    <row r="13989">
      <c r="A13989" s="1" t="str">
        <f>IFERROR(__xludf.DUMMYFUNCTION("""COMPUTED_VALUE"""),"123052;INF204KA1SD2;-;Reliance Fixed Horizon Fund - XXIV - Series 3-Growth Option;14.6467;25-Jun-2018")</f>
        <v>123052;INF204KA1SD2;-;Reliance Fixed Horizon Fund - XXIV - Series 3-Growth Option;14.6467;25-Jun-2018</v>
      </c>
      <c r="B13989" s="1"/>
    </row>
    <row r="13990">
      <c r="A13990" s="1" t="str">
        <f>IFERROR(__xludf.DUMMYFUNCTION("""COMPUTED_VALUE"""),"123073;INF204KA1TE8;-;Reliance Fixed Horizon Fund - XXIV - Series 4-Direct Plan - Dividend Payout Option;10.0000;14-Sep-2016")</f>
        <v>123073;INF204KA1TE8;-;Reliance Fixed Horizon Fund - XXIV - Series 4-Direct Plan - Dividend Payout Option;10.0000;14-Sep-2016</v>
      </c>
      <c r="B13990" s="1"/>
    </row>
    <row r="13991">
      <c r="A13991" s="1" t="str">
        <f>IFERROR(__xludf.DUMMYFUNCTION("""COMPUTED_VALUE"""),"123072;INF204KA1TD0;-;Reliance Fixed Horizon Fund - XXIV - Series 4-Direct Plan - Growth Option;15.0266;02-Jul-2018")</f>
        <v>123072;INF204KA1TD0;-;Reliance Fixed Horizon Fund - XXIV - Series 4-Direct Plan - Growth Option;15.0266;02-Jul-2018</v>
      </c>
      <c r="B13991" s="1"/>
    </row>
    <row r="13992">
      <c r="A13992" s="1" t="str">
        <f>IFERROR(__xludf.DUMMYFUNCTION("""COMPUTED_VALUE"""),"123071;INF204KA1TC2;-;Reliance Fixed Horizon Fund - XXIV - Series 4-Dividend payout Option;10.0000;14-Sep-2016")</f>
        <v>123071;INF204KA1TC2;-;Reliance Fixed Horizon Fund - XXIV - Series 4-Dividend payout Option;10.0000;14-Sep-2016</v>
      </c>
      <c r="B13992" s="1"/>
    </row>
    <row r="13993">
      <c r="A13993" s="1" t="str">
        <f>IFERROR(__xludf.DUMMYFUNCTION("""COMPUTED_VALUE"""),"123070;INF204KA1TB4;-;Reliance Fixed Horizon Fund - XXIV - Series 4-Growth Option;14.8884;02-Jul-2018")</f>
        <v>123070;INF204KA1TB4;-;Reliance Fixed Horizon Fund - XXIV - Series 4-Growth Option;14.8884;02-Jul-2018</v>
      </c>
      <c r="B13993" s="1"/>
    </row>
    <row r="13994">
      <c r="A13994" s="1" t="str">
        <f>IFERROR(__xludf.DUMMYFUNCTION("""COMPUTED_VALUE"""),"123153;INF204K012Y6;-;Reliance Fixed Horizon Fund - XXIV - Series 5 - Direct Plan - Dividend Payout Option;10.0000;19-Aug-2015")</f>
        <v>123153;INF204K012Y6;-;Reliance Fixed Horizon Fund - XXIV - Series 5 - Direct Plan - Dividend Payout Option;10.0000;19-Aug-2015</v>
      </c>
      <c r="B13994" s="1"/>
    </row>
    <row r="13995">
      <c r="A13995" s="1" t="str">
        <f>IFERROR(__xludf.DUMMYFUNCTION("""COMPUTED_VALUE"""),"123151;INF204K011Y8;-;Reliance Fixed Horizon Fund - XXIV - Series 5 - Direct Plan - Growth Option;12.9811;23-Aug-2016")</f>
        <v>123151;INF204K011Y8;-;Reliance Fixed Horizon Fund - XXIV - Series 5 - Direct Plan - Growth Option;12.9811;23-Aug-2016</v>
      </c>
      <c r="B13995" s="1"/>
    </row>
    <row r="13996">
      <c r="A13996" s="1" t="str">
        <f>IFERROR(__xludf.DUMMYFUNCTION("""COMPUTED_VALUE"""),"123152;INF204K010Y0;-;Reliance Fixed Horizon Fund - XXIV - Series 5 - Dividend Payout Option;10.0000;23-Aug-2016")</f>
        <v>123152;INF204K010Y0;-;Reliance Fixed Horizon Fund - XXIV - Series 5 - Dividend Payout Option;10.0000;23-Aug-2016</v>
      </c>
      <c r="B13996" s="1"/>
    </row>
    <row r="13997">
      <c r="A13997" s="1" t="str">
        <f>IFERROR(__xludf.DUMMYFUNCTION("""COMPUTED_VALUE"""),"123150;INF204K019X3;-;Reliance Fixed Horizon Fund - XXIV - Series 5 - Growth Option;12.9048;23-Aug-2016")</f>
        <v>123150;INF204K019X3;-;Reliance Fixed Horizon Fund - XXIV - Series 5 - Growth Option;12.9048;23-Aug-2016</v>
      </c>
      <c r="B13997" s="1"/>
    </row>
    <row r="13998">
      <c r="A13998" s="1" t="str">
        <f>IFERROR(__xludf.DUMMYFUNCTION("""COMPUTED_VALUE"""),"123207;INF204KA12B3;-;Reliance Fixed Horizon Fund - XXIV - Series 6 - Direct Plan - Dividend Payout Option;10.0000;13-May-2015")</f>
        <v>123207;INF204KA12B3;-;Reliance Fixed Horizon Fund - XXIV - Series 6 - Direct Plan - Dividend Payout Option;10.0000;13-May-2015</v>
      </c>
      <c r="B13998" s="1"/>
    </row>
    <row r="13999">
      <c r="A13999" s="1" t="str">
        <f>IFERROR(__xludf.DUMMYFUNCTION("""COMPUTED_VALUE"""),"123205;INF204KA11B5;-;Reliance Fixed Horizon Fund - XXIV - Series 6 - Direct Plan - Growth Option;13.2349;20-Sep-2016")</f>
        <v>123205;INF204KA11B5;-;Reliance Fixed Horizon Fund - XXIV - Series 6 - Direct Plan - Growth Option;13.2349;20-Sep-2016</v>
      </c>
      <c r="B13999" s="1"/>
    </row>
    <row r="14000">
      <c r="A14000" s="1" t="str">
        <f>IFERROR(__xludf.DUMMYFUNCTION("""COMPUTED_VALUE"""),"123206;INF204KA10B7;-;Reliance Fixed Horizon Fund - XXIV - Series 6 - Dividend Payout Option;10.0000;20-Sep-2016")</f>
        <v>123206;INF204KA10B7;-;Reliance Fixed Horizon Fund - XXIV - Series 6 - Dividend Payout Option;10.0000;20-Sep-2016</v>
      </c>
      <c r="B14000" s="1"/>
    </row>
    <row r="14001">
      <c r="A14001" s="1" t="str">
        <f>IFERROR(__xludf.DUMMYFUNCTION("""COMPUTED_VALUE"""),"123208;INF204KA19A0;-;Reliance Fixed Horizon Fund - XXIV - Series 6 - Growth Option;13.1584;20-Sep-2016")</f>
        <v>123208;INF204KA19A0;-;Reliance Fixed Horizon Fund - XXIV - Series 6 - Growth Option;13.1584;20-Sep-2016</v>
      </c>
      <c r="B14001" s="1"/>
    </row>
    <row r="14002">
      <c r="A14002" s="1" t="str">
        <f>IFERROR(__xludf.DUMMYFUNCTION("""COMPUTED_VALUE"""),"123212;INF204K010Z7;-;Reliance Fixed Horizon Fund - XXIV - Series 7 - Direct Plan - Dividend Payout Option;10.0000;02-Sep-2016")</f>
        <v>123212;INF204K010Z7;-;Reliance Fixed Horizon Fund - XXIV - Series 7 - Direct Plan - Dividend Payout Option;10.0000;02-Sep-2016</v>
      </c>
      <c r="B14002" s="1"/>
    </row>
    <row r="14003">
      <c r="A14003" s="1" t="str">
        <f>IFERROR(__xludf.DUMMYFUNCTION("""COMPUTED_VALUE"""),"123211;INF204K019Y1;-;Reliance Fixed Horizon Fund - XXIV - Series 7 - Direct Plan - Growth Option;13.2700;02-Sep-2016")</f>
        <v>123211;INF204K019Y1;-;Reliance Fixed Horizon Fund - XXIV - Series 7 - Direct Plan - Growth Option;13.2700;02-Sep-2016</v>
      </c>
      <c r="B14003" s="1"/>
    </row>
    <row r="14004">
      <c r="A14004" s="1" t="str">
        <f>IFERROR(__xludf.DUMMYFUNCTION("""COMPUTED_VALUE"""),"123214;INF204K018Y3;-;Reliance Fixed Horizon Fund - XXIV - Series 7 - Dividend Payout Option;10.0000;02-Sep-2016")</f>
        <v>123214;INF204K018Y3;-;Reliance Fixed Horizon Fund - XXIV - Series 7 - Dividend Payout Option;10.0000;02-Sep-2016</v>
      </c>
      <c r="B14004" s="1"/>
    </row>
    <row r="14005">
      <c r="A14005" s="1" t="str">
        <f>IFERROR(__xludf.DUMMYFUNCTION("""COMPUTED_VALUE"""),"123213;INF204K017Y5;-;Reliance Fixed Horizon Fund - XXIV - Series 7 - Growth Option;13.1103;02-Sep-2016")</f>
        <v>123213;INF204K017Y5;-;Reliance Fixed Horizon Fund - XXIV - Series 7 - Growth Option;13.1103;02-Sep-2016</v>
      </c>
      <c r="B14005" s="1"/>
    </row>
    <row r="14006">
      <c r="A14006" s="1" t="str">
        <f>IFERROR(__xludf.DUMMYFUNCTION("""COMPUTED_VALUE"""),"123344;INF204K013Z1;-;Reliance Fixed Horizon Fund - XXIV - Series 8-Direct Plan-Growth Option;13.2741;01-Sep-2016")</f>
        <v>123344;INF204K013Z1;-;Reliance Fixed Horizon Fund - XXIV - Series 8-Direct Plan-Growth Option;13.2741;01-Sep-2016</v>
      </c>
      <c r="B14006" s="1"/>
    </row>
    <row r="14007">
      <c r="A14007" s="1" t="str">
        <f>IFERROR(__xludf.DUMMYFUNCTION("""COMPUTED_VALUE"""),"123342;INF204K012Z3;-;Reliance Fixed Horizon Fund - XXIV - Series 8-Dividend Payout Option;10.0000;01-Sep-2016")</f>
        <v>123342;INF204K012Z3;-;Reliance Fixed Horizon Fund - XXIV - Series 8-Dividend Payout Option;10.0000;01-Sep-2016</v>
      </c>
      <c r="B14007" s="1"/>
    </row>
    <row r="14008">
      <c r="A14008" s="1" t="str">
        <f>IFERROR(__xludf.DUMMYFUNCTION("""COMPUTED_VALUE"""),"123341;INF204K011Z5;-;Reliance Fixed Horizon Fund - XXIV - Series 8-Growth Option;13.2032;01-Sep-2016")</f>
        <v>123341;INF204K011Z5;-;Reliance Fixed Horizon Fund - XXIV - Series 8-Growth Option;13.2032;01-Sep-2016</v>
      </c>
      <c r="B14008" s="1"/>
    </row>
    <row r="14009">
      <c r="A14009" s="1" t="str">
        <f>IFERROR(__xludf.DUMMYFUNCTION("""COMPUTED_VALUE"""),"123374;INF204KA1TL3;-;Reliance Fixed Horizon Fund - XXIV - Series 9 -Direct Plan -Growth Option;13.2871;14-Sep-2016")</f>
        <v>123374;INF204KA1TL3;-;Reliance Fixed Horizon Fund - XXIV - Series 9 -Direct Plan -Growth Option;13.2871;14-Sep-2016</v>
      </c>
      <c r="B14009" s="1"/>
    </row>
    <row r="14010">
      <c r="A14010" s="1" t="str">
        <f>IFERROR(__xludf.DUMMYFUNCTION("""COMPUTED_VALUE"""),"123373;INF204KA1TK5;-;Reliance Fixed Horizon Fund - XXIV - Series 9 -Dividend Payout Option;10.0000;14-Sep-2016")</f>
        <v>123373;INF204KA1TK5;-;Reliance Fixed Horizon Fund - XXIV - Series 9 -Dividend Payout Option;10.0000;14-Sep-2016</v>
      </c>
      <c r="B14010" s="1"/>
    </row>
    <row r="14011">
      <c r="A14011" s="1" t="str">
        <f>IFERROR(__xludf.DUMMYFUNCTION("""COMPUTED_VALUE"""),"123372;INF204KA1TJ7;-;Reliance Fixed Horizon Fund - XXIV - Series 9-Growth Option;13.1016;14-Sep-2016")</f>
        <v>123372;INF204KA1TJ7;-;Reliance Fixed Horizon Fund - XXIV - Series 9-Growth Option;13.1016;14-Sep-2016</v>
      </c>
      <c r="B14011" s="1"/>
    </row>
    <row r="14012">
      <c r="A14012" s="1" t="str">
        <f>IFERROR(__xludf.DUMMYFUNCTION("""COMPUTED_VALUE"""),"125258;INF204KA19H5;-;Reliance Fixed Horizon Fund - XXV - Series 1 -Direct Plan -Dividend Payout Option;10.0000;02-Jul-2015")</f>
        <v>125258;INF204KA19H5;-;Reliance Fixed Horizon Fund - XXV - Series 1 -Direct Plan -Dividend Payout Option;10.0000;02-Jul-2015</v>
      </c>
      <c r="B14012" s="1"/>
    </row>
    <row r="14013">
      <c r="A14013" s="1" t="str">
        <f>IFERROR(__xludf.DUMMYFUNCTION("""COMPUTED_VALUE"""),"125257;INF204KA18H7;-;Reliance Fixed Horizon Fund - XXV - Series 1-Direct Plan -Growth Option;13.6162;24-Jul-2017")</f>
        <v>125257;INF204KA18H7;-;Reliance Fixed Horizon Fund - XXV - Series 1-Direct Plan -Growth Option;13.6162;24-Jul-2017</v>
      </c>
      <c r="B14013" s="1"/>
    </row>
    <row r="14014">
      <c r="A14014" s="1" t="str">
        <f>IFERROR(__xludf.DUMMYFUNCTION("""COMPUTED_VALUE"""),"125256;INF204KA17H9;-;Reliance Fixed Horizon Fund - XXV - Series 1-Dividend Payout Option;10.0000;02-Jul-2015")</f>
        <v>125256;INF204KA17H9;-;Reliance Fixed Horizon Fund - XXV - Series 1-Dividend Payout Option;10.0000;02-Jul-2015</v>
      </c>
      <c r="B14014" s="1"/>
    </row>
    <row r="14015">
      <c r="A14015" s="1" t="str">
        <f>IFERROR(__xludf.DUMMYFUNCTION("""COMPUTED_VALUE"""),"125255;INF204KA16H1;-;Reliance Fixed Horizon Fund - XXV - Series 1-Growth Option;13.5271;24-Jul-2017")</f>
        <v>125255;INF204KA16H1;-;Reliance Fixed Horizon Fund - XXV - Series 1-Growth Option;13.5271;24-Jul-2017</v>
      </c>
      <c r="B14015" s="1"/>
    </row>
    <row r="14016">
      <c r="A14016" s="1" t="str">
        <f>IFERROR(__xludf.DUMMYFUNCTION("""COMPUTED_VALUE"""),"125934;INF204KA1GF2;-;Reliance Fixed Horizon Fund - XXV - Series 11 - Direct Plan - Growth Option;13.1933;27-Apr-2017")</f>
        <v>125934;INF204KA1GF2;-;Reliance Fixed Horizon Fund - XXV - Series 11 - Direct Plan - Growth Option;13.1933;27-Apr-2017</v>
      </c>
      <c r="B14016" s="1"/>
    </row>
    <row r="14017">
      <c r="A14017" s="1" t="str">
        <f>IFERROR(__xludf.DUMMYFUNCTION("""COMPUTED_VALUE"""),"125933;INF204KA1GH8;-;Reliance Fixed Horizon Fund - XXV - Series 11 - Growth Option;13.1141;27-Apr-2017")</f>
        <v>125933;INF204KA1GH8;-;Reliance Fixed Horizon Fund - XXV - Series 11 - Growth Option;13.1141;27-Apr-2017</v>
      </c>
      <c r="B14017" s="1"/>
    </row>
    <row r="14018">
      <c r="A14018" s="1" t="str">
        <f>IFERROR(__xludf.DUMMYFUNCTION("""COMPUTED_VALUE"""),"125957;INF204KA1GJ4;-;Reliance Fixed Horizon Fund - XXV - Series 12 - Direct Plan - Growth Option;13.1795;27-Apr-2017")</f>
        <v>125957;INF204KA1GJ4;-;Reliance Fixed Horizon Fund - XXV - Series 12 - Direct Plan - Growth Option;13.1795;27-Apr-2017</v>
      </c>
      <c r="B14018" s="1"/>
    </row>
    <row r="14019">
      <c r="A14019" s="1" t="str">
        <f>IFERROR(__xludf.DUMMYFUNCTION("""COMPUTED_VALUE"""),"125956;INF204KA1GM8;-;Reliance Fixed Horizon Fund - XXV - Series 12 - Dividend Payout Option;10.0000;27-Apr-2017")</f>
        <v>125956;INF204KA1GM8;-;Reliance Fixed Horizon Fund - XXV - Series 12 - Dividend Payout Option;10.0000;27-Apr-2017</v>
      </c>
      <c r="B14019" s="1"/>
    </row>
    <row r="14020">
      <c r="A14020" s="1" t="str">
        <f>IFERROR(__xludf.DUMMYFUNCTION("""COMPUTED_VALUE"""),"125954;INF204KA1GL0;-;Reliance Fixed Horizon Fund - XXV - Series 12 - Growth Option;13.1014;27-Apr-2017")</f>
        <v>125954;INF204KA1GL0;-;Reliance Fixed Horizon Fund - XXV - Series 12 - Growth Option;13.1014;27-Apr-2017</v>
      </c>
      <c r="B14020" s="1"/>
    </row>
    <row r="14021">
      <c r="A14021" s="1" t="str">
        <f>IFERROR(__xludf.DUMMYFUNCTION("""COMPUTED_VALUE"""),"126256;INF204KA1GN6;-;Reliance Fixed Horizon Fund - XXV - Series 13 - Direct Plan - Growth Option;13.1285;27-Apr-2017")</f>
        <v>126256;INF204KA1GN6;-;Reliance Fixed Horizon Fund - XXV - Series 13 - Direct Plan - Growth Option;13.1285;27-Apr-2017</v>
      </c>
      <c r="B14021" s="1"/>
    </row>
    <row r="14022">
      <c r="A14022" s="1" t="str">
        <f>IFERROR(__xludf.DUMMYFUNCTION("""COMPUTED_VALUE"""),"126255;INF204KA1GQ9;-;Reliance Fixed Horizon Fund - XXV - Series 13 - Dividend Payout Option;10.0000;27-Apr-2017")</f>
        <v>126255;INF204KA1GQ9;-;Reliance Fixed Horizon Fund - XXV - Series 13 - Dividend Payout Option;10.0000;27-Apr-2017</v>
      </c>
      <c r="B14022" s="1"/>
    </row>
    <row r="14023">
      <c r="A14023" s="1" t="str">
        <f>IFERROR(__xludf.DUMMYFUNCTION("""COMPUTED_VALUE"""),"126254;INF204KA1GP1;-;Reliance Fixed Horizon Fund - XXV - Series 13 - Growth Option;13.0362;27-Apr-2017")</f>
        <v>126254;INF204KA1GP1;-;Reliance Fixed Horizon Fund - XXV - Series 13 - Growth Option;13.0362;27-Apr-2017</v>
      </c>
      <c r="B14023" s="1"/>
    </row>
    <row r="14024">
      <c r="A14024" s="1" t="str">
        <f>IFERROR(__xludf.DUMMYFUNCTION("""COMPUTED_VALUE"""),"126372;INF204KA1GR7;-;Reliance Fixed Horizon Fund - XXV - Series 14-Direct Plan -Growth Option;12.8223;24-Jan-2017")</f>
        <v>126372;INF204KA1GR7;-;Reliance Fixed Horizon Fund - XXV - Series 14-Direct Plan -Growth Option;12.8223;24-Jan-2017</v>
      </c>
      <c r="B14024" s="1"/>
    </row>
    <row r="14025">
      <c r="A14025" s="1" t="str">
        <f>IFERROR(__xludf.DUMMYFUNCTION("""COMPUTED_VALUE"""),"126371;INF204KA1GT3;-;Reliance Fixed Horizon Fund - XXV - Series 14-Growth Option;12.7842;24-Jan-2017")</f>
        <v>126371;INF204KA1GT3;-;Reliance Fixed Horizon Fund - XXV - Series 14-Growth Option;12.7842;24-Jan-2017</v>
      </c>
      <c r="B14025" s="1"/>
    </row>
    <row r="14026">
      <c r="A14026" s="1" t="str">
        <f>IFERROR(__xludf.DUMMYFUNCTION("""COMPUTED_VALUE"""),"126486;INF204KA1HA1;-;Reliance Fixed Horizon Fund - XXV - Series 16 - Direct Plan - Dividend Payout Option;10.0000;16-Apr-2015")</f>
        <v>126486;INF204KA1HA1;-;Reliance Fixed Horizon Fund - XXV - Series 16 - Direct Plan - Dividend Payout Option;10.0000;16-Apr-2015</v>
      </c>
      <c r="B14026" s="1"/>
    </row>
    <row r="14027">
      <c r="A14027" s="1" t="str">
        <f>IFERROR(__xludf.DUMMYFUNCTION("""COMPUTED_VALUE"""),"126485;INF204KA1GZ0;-;Reliance Fixed Horizon Fund - XXV - Series 16 - Direct Plan - Growth Option;13.0940;25-Apr-2017")</f>
        <v>126485;INF204KA1GZ0;-;Reliance Fixed Horizon Fund - XXV - Series 16 - Direct Plan - Growth Option;13.0940;25-Apr-2017</v>
      </c>
      <c r="B14027" s="1"/>
    </row>
    <row r="14028">
      <c r="A14028" s="1" t="str">
        <f>IFERROR(__xludf.DUMMYFUNCTION("""COMPUTED_VALUE"""),"126483;INF204KA1HC7;-;Reliance Fixed Horizon Fund - XXV - Series 16 - Dividend Payout Option;10.0000;16-Apr-2015")</f>
        <v>126483;INF204KA1HC7;-;Reliance Fixed Horizon Fund - XXV - Series 16 - Dividend Payout Option;10.0000;16-Apr-2015</v>
      </c>
      <c r="B14028" s="1"/>
    </row>
    <row r="14029">
      <c r="A14029" s="1" t="str">
        <f>IFERROR(__xludf.DUMMYFUNCTION("""COMPUTED_VALUE"""),"126484;INF204KA1HB9;-;Reliance Fixed Horizon Fund - XXV - Series 16 - Growth Option;13.0073;25-Apr-2017")</f>
        <v>126484;INF204KA1HB9;-;Reliance Fixed Horizon Fund - XXV - Series 16 - Growth Option;13.0073;25-Apr-2017</v>
      </c>
      <c r="B14029" s="1"/>
    </row>
    <row r="14030">
      <c r="A14030" s="1" t="str">
        <f>IFERROR(__xludf.DUMMYFUNCTION("""COMPUTED_VALUE"""),"126703;INF204KA1HE3;-;Reliance Fixed Horizon Fund - XXV - Series 17 - Direct Plan - Dividend Payout Option;10.0000;16-Apr-2015")</f>
        <v>126703;INF204KA1HE3;-;Reliance Fixed Horizon Fund - XXV - Series 17 - Direct Plan - Dividend Payout Option;10.0000;16-Apr-2015</v>
      </c>
      <c r="B14030" s="1"/>
    </row>
    <row r="14031">
      <c r="A14031" s="1" t="str">
        <f>IFERROR(__xludf.DUMMYFUNCTION("""COMPUTED_VALUE"""),"126702;INF204KA1HD5;-;Reliance Fixed Horizon Fund - XXV - Series 17 - Direct Plan - Growth Option;13.0662;25-Apr-2017")</f>
        <v>126702;INF204KA1HD5;-;Reliance Fixed Horizon Fund - XXV - Series 17 - Direct Plan - Growth Option;13.0662;25-Apr-2017</v>
      </c>
      <c r="B14031" s="1"/>
    </row>
    <row r="14032">
      <c r="A14032" s="1" t="str">
        <f>IFERROR(__xludf.DUMMYFUNCTION("""COMPUTED_VALUE"""),"126701;INF204KA1HF0;-;Reliance Fixed Horizon Fund - XXV - Series 17 - Growth Option;12.9818;25-Apr-2017")</f>
        <v>126701;INF204KA1HF0;-;Reliance Fixed Horizon Fund - XXV - Series 17 - Growth Option;12.9818;25-Apr-2017</v>
      </c>
      <c r="B14032" s="1"/>
    </row>
    <row r="14033">
      <c r="A14033" s="1" t="str">
        <f>IFERROR(__xludf.DUMMYFUNCTION("""COMPUTED_VALUE"""),"126891;INF204KA1E46;-;Reliance Fixed Horizon Fund - XXV - Series 18 - Direct Plan - Growth Option;13.0639;08-May-2017")</f>
        <v>126891;INF204KA1E46;-;Reliance Fixed Horizon Fund - XXV - Series 18 - Direct Plan - Growth Option;13.0639;08-May-2017</v>
      </c>
      <c r="B14033" s="1"/>
    </row>
    <row r="14034">
      <c r="A14034" s="1" t="str">
        <f>IFERROR(__xludf.DUMMYFUNCTION("""COMPUTED_VALUE"""),"126889;INF204KA1E20;-;Reliance Fixed Horizon Fund - XXV - Series 18 - Growth Option;13.0279;08-May-2017")</f>
        <v>126889;INF204KA1E20;-;Reliance Fixed Horizon Fund - XXV - Series 18 - Growth Option;13.0279;08-May-2017</v>
      </c>
      <c r="B14034" s="1"/>
    </row>
    <row r="14035">
      <c r="A14035" s="1" t="str">
        <f>IFERROR(__xludf.DUMMYFUNCTION("""COMPUTED_VALUE"""),"126932;INF204KA1HL8;-;Reliance Fixed Horizon Fund - XXV - Series 19 - Direct Plan - Growth Option;11.1432;13-Apr-2015")</f>
        <v>126932;INF204KA1HL8;-;Reliance Fixed Horizon Fund - XXV - Series 19 - Direct Plan - Growth Option;11.1432;13-Apr-2015</v>
      </c>
      <c r="B14035" s="1"/>
    </row>
    <row r="14036">
      <c r="A14036" s="1" t="str">
        <f>IFERROR(__xludf.DUMMYFUNCTION("""COMPUTED_VALUE"""),"126934;INF204KA1HO2;-;Reliance Fixed Horizon Fund - XXV - Series 19 - Dividend Payout Option;10.0000;13-Apr-2015")</f>
        <v>126934;INF204KA1HO2;-;Reliance Fixed Horizon Fund - XXV - Series 19 - Dividend Payout Option;10.0000;13-Apr-2015</v>
      </c>
      <c r="B14036" s="1"/>
    </row>
    <row r="14037">
      <c r="A14037" s="1" t="str">
        <f>IFERROR(__xludf.DUMMYFUNCTION("""COMPUTED_VALUE"""),"126931;INF204KA1HN4;-;Reliance Fixed Horizon Fund - XXV - Series 19 - Growth Option;11.1249;13-Apr-2015")</f>
        <v>126931;INF204KA1HN4;-;Reliance Fixed Horizon Fund - XXV - Series 19 - Growth Option;11.1249;13-Apr-2015</v>
      </c>
      <c r="B14037" s="1"/>
    </row>
    <row r="14038">
      <c r="A14038" s="1" t="str">
        <f>IFERROR(__xludf.DUMMYFUNCTION("""COMPUTED_VALUE"""),"125310;INF204KA1EW2;-;Reliance Fixed Horizon Fund - XXV - Series 2 -Direct Plan -Dividend Payout Option;10.0000;06-Dec-2016")</f>
        <v>125310;INF204KA1EW2;-;Reliance Fixed Horizon Fund - XXV - Series 2 -Direct Plan -Dividend Payout Option;10.0000;06-Dec-2016</v>
      </c>
      <c r="B14038" s="1"/>
    </row>
    <row r="14039">
      <c r="A14039" s="1" t="str">
        <f>IFERROR(__xludf.DUMMYFUNCTION("""COMPUTED_VALUE"""),"125309;INF204KA1EV4;-;Reliance Fixed Horizon Fund - XXV - Series 2-Direct Plan-Growth Option;12.8717;06-Dec-2016")</f>
        <v>125309;INF204KA1EV4;-;Reliance Fixed Horizon Fund - XXV - Series 2-Direct Plan-Growth Option;12.8717;06-Dec-2016</v>
      </c>
      <c r="B14039" s="1"/>
    </row>
    <row r="14040">
      <c r="A14040" s="1" t="str">
        <f>IFERROR(__xludf.DUMMYFUNCTION("""COMPUTED_VALUE"""),"125312;INF204KA1EY8;-;Reliance Fixed Horizon Fund - XXV - Series 2-Dividend Payout Option;10.0000;06-Dec-2016")</f>
        <v>125312;INF204KA1EY8;-;Reliance Fixed Horizon Fund - XXV - Series 2-Dividend Payout Option;10.0000;06-Dec-2016</v>
      </c>
      <c r="B14040" s="1"/>
    </row>
    <row r="14041">
      <c r="A14041" s="1" t="str">
        <f>IFERROR(__xludf.DUMMYFUNCTION("""COMPUTED_VALUE"""),"125311;INF204KA1EX0;-;Reliance Fixed Horizon Fund - XXV - Series 2-Growth Option;12.8197;06-Dec-2016")</f>
        <v>125311;INF204KA1EX0;-;Reliance Fixed Horizon Fund - XXV - Series 2-Growth Option;12.8197;06-Dec-2016</v>
      </c>
      <c r="B14041" s="1"/>
    </row>
    <row r="14042">
      <c r="A14042" s="1" t="str">
        <f>IFERROR(__xludf.DUMMYFUNCTION("""COMPUTED_VALUE"""),"126975;INF204KA1HQ7;-;Reliance Fixed Horizon Fund - XXV - Series 20 - Direct Plan - Dividend Payout Option;12.0258;02-Jul-2018")</f>
        <v>126975;INF204KA1HQ7;-;Reliance Fixed Horizon Fund - XXV - Series 20 - Direct Plan - Dividend Payout Option;12.0258;02-Jul-2018</v>
      </c>
      <c r="B14042" s="1"/>
    </row>
    <row r="14043">
      <c r="A14043" s="1" t="str">
        <f>IFERROR(__xludf.DUMMYFUNCTION("""COMPUTED_VALUE"""),"126977;INF204KA1HP9;-;Reliance Fixed Horizon Fund - XXV - Series 20 - Direct Plan - Growth Option;15.0849;02-Jul-2018")</f>
        <v>126977;INF204KA1HP9;-;Reliance Fixed Horizon Fund - XXV - Series 20 - Direct Plan - Growth Option;15.0849;02-Jul-2018</v>
      </c>
      <c r="B14043" s="1"/>
    </row>
    <row r="14044">
      <c r="A14044" s="1" t="str">
        <f>IFERROR(__xludf.DUMMYFUNCTION("""COMPUTED_VALUE"""),"126978;INF204KA1HS3;-;Reliance Fixed Horizon Fund - XXV - Series 20 - Dividend Payout Option;11.9505;02-Jul-2018")</f>
        <v>126978;INF204KA1HS3;-;Reliance Fixed Horizon Fund - XXV - Series 20 - Dividend Payout Option;11.9505;02-Jul-2018</v>
      </c>
      <c r="B14044" s="1"/>
    </row>
    <row r="14045">
      <c r="A14045" s="1" t="str">
        <f>IFERROR(__xludf.DUMMYFUNCTION("""COMPUTED_VALUE"""),"126976;INF204KA1HR5;-;Reliance Fixed Horizon Fund - XXV - Series 20 - Growth Option;14.8256;02-Jul-2018")</f>
        <v>126976;INF204KA1HR5;-;Reliance Fixed Horizon Fund - XXV - Series 20 - Growth Option;14.8256;02-Jul-2018</v>
      </c>
      <c r="B14045" s="1"/>
    </row>
    <row r="14046">
      <c r="A14046" s="1" t="str">
        <f>IFERROR(__xludf.DUMMYFUNCTION("""COMPUTED_VALUE"""),"127069;INF204KA1HY1;-;Reliance Fixed Horizon Fund - XXV - Series 21 - Direct Plan - Dividend Payout Option;10.0000;25-Apr-2017")</f>
        <v>127069;INF204KA1HY1;-;Reliance Fixed Horizon Fund - XXV - Series 21 - Direct Plan - Dividend Payout Option;10.0000;25-Apr-2017</v>
      </c>
      <c r="B14046" s="1"/>
    </row>
    <row r="14047">
      <c r="A14047" s="1" t="str">
        <f>IFERROR(__xludf.DUMMYFUNCTION("""COMPUTED_VALUE"""),"127067;INF204KA1HX3;-;Reliance Fixed Horizon Fund - XXV - Series 21 - Direct Plan - Growth Option;13.0344;25-Apr-2017")</f>
        <v>127067;INF204KA1HX3;-;Reliance Fixed Horizon Fund - XXV - Series 21 - Direct Plan - Growth Option;13.0344;25-Apr-2017</v>
      </c>
      <c r="B14047" s="1"/>
    </row>
    <row r="14048">
      <c r="A14048" s="1" t="str">
        <f>IFERROR(__xludf.DUMMYFUNCTION("""COMPUTED_VALUE"""),"127068;INF204KA1IA9;-;Reliance Fixed Horizon Fund - XXV - Series 21 - Dividend Payout Option;10.0000;20-Apr-2015")</f>
        <v>127068;INF204KA1IA9;-;Reliance Fixed Horizon Fund - XXV - Series 21 - Dividend Payout Option;10.0000;20-Apr-2015</v>
      </c>
      <c r="B14048" s="1"/>
    </row>
    <row r="14049">
      <c r="A14049" s="1" t="str">
        <f>IFERROR(__xludf.DUMMYFUNCTION("""COMPUTED_VALUE"""),"127066;INF204KA1HZ8;-;Reliance Fixed Horizon Fund - XXV - Series 21 - Growth Option;12.9155;25-Apr-2017")</f>
        <v>127066;INF204KA1HZ8;-;Reliance Fixed Horizon Fund - XXV - Series 21 - Growth Option;12.9155;25-Apr-2017</v>
      </c>
      <c r="B14049" s="1"/>
    </row>
    <row r="14050">
      <c r="A14050" s="1" t="str">
        <f>IFERROR(__xludf.DUMMYFUNCTION("""COMPUTED_VALUE"""),"127081;INF204KA1IC5;-;Reliance Fixed Horizon Fund - XXV - Series 22 - Direct Plan - Dividend Payout Option;10.0000;17-Apr-2015")</f>
        <v>127081;INF204KA1IC5;-;Reliance Fixed Horizon Fund - XXV - Series 22 - Direct Plan - Dividend Payout Option;10.0000;17-Apr-2015</v>
      </c>
      <c r="B14050" s="1"/>
    </row>
    <row r="14051">
      <c r="A14051" s="1" t="str">
        <f>IFERROR(__xludf.DUMMYFUNCTION("""COMPUTED_VALUE"""),"127083;INF204KA1IB7;-;Reliance Fixed Horizon Fund - XXV - Series 22 - Direct Plan - Growth Option;13.0616;25-Apr-2017")</f>
        <v>127083;INF204KA1IB7;-;Reliance Fixed Horizon Fund - XXV - Series 22 - Direct Plan - Growth Option;13.0616;25-Apr-2017</v>
      </c>
      <c r="B14051" s="1"/>
    </row>
    <row r="14052">
      <c r="A14052" s="1" t="str">
        <f>IFERROR(__xludf.DUMMYFUNCTION("""COMPUTED_VALUE"""),"127082;INF204KA1IE1;-;Reliance Fixed Horizon Fund - XXV - Series 22 - Dividend Payout Option;10.0000;25-Apr-2017")</f>
        <v>127082;INF204KA1IE1;-;Reliance Fixed Horizon Fund - XXV - Series 22 - Dividend Payout Option;10.0000;25-Apr-2017</v>
      </c>
      <c r="B14052" s="1"/>
    </row>
    <row r="14053">
      <c r="A14053" s="1" t="str">
        <f>IFERROR(__xludf.DUMMYFUNCTION("""COMPUTED_VALUE"""),"127080;INF204KA1ID3;-;Reliance Fixed Horizon Fund - XXV - Series 22 - Growth Option;12.9419;25-Apr-2017")</f>
        <v>127080;INF204KA1ID3;-;Reliance Fixed Horizon Fund - XXV - Series 22 - Growth Option;12.9419;25-Apr-2017</v>
      </c>
      <c r="B14053" s="1"/>
    </row>
    <row r="14054">
      <c r="A14054" s="1" t="str">
        <f>IFERROR(__xludf.DUMMYFUNCTION("""COMPUTED_VALUE"""),"127242;INF204KA1II2;-;Reliance Fixed Horizon Fund - XXV - Series 23 - Direct Plan - Dividend Payout Option;10.0000;07-Aug-2017")</f>
        <v>127242;INF204KA1II2;-;Reliance Fixed Horizon Fund - XXV - Series 23 - Direct Plan - Dividend Payout Option;10.0000;07-Aug-2017</v>
      </c>
      <c r="B14054" s="1"/>
    </row>
    <row r="14055">
      <c r="A14055" s="1" t="str">
        <f>IFERROR(__xludf.DUMMYFUNCTION("""COMPUTED_VALUE"""),"127240;INF204KA1IH4;-;Reliance Fixed Horizon Fund - XXV - Series 23 - Direct Plan - Growth Option;13.5564;07-Aug-2017")</f>
        <v>127240;INF204KA1IH4;-;Reliance Fixed Horizon Fund - XXV - Series 23 - Direct Plan - Growth Option;13.5564;07-Aug-2017</v>
      </c>
      <c r="B14055" s="1"/>
    </row>
    <row r="14056">
      <c r="A14056" s="1" t="str">
        <f>IFERROR(__xludf.DUMMYFUNCTION("""COMPUTED_VALUE"""),"127241;INF204KA1IG6;-;Reliance Fixed Horizon Fund - XXV - Series 23 - Dividend Payout Option;10.0000;07-Jun-2016")</f>
        <v>127241;INF204KA1IG6;-;Reliance Fixed Horizon Fund - XXV - Series 23 - Dividend Payout Option;10.0000;07-Jun-2016</v>
      </c>
      <c r="B14056" s="1"/>
    </row>
    <row r="14057">
      <c r="A14057" s="1" t="str">
        <f>IFERROR(__xludf.DUMMYFUNCTION("""COMPUTED_VALUE"""),"127239;INF204KA1IF8;-;Reliance Fixed Horizon Fund - XXV - Series 23 - Growth Option;13.4278;07-Aug-2017")</f>
        <v>127239;INF204KA1IF8;-;Reliance Fixed Horizon Fund - XXV - Series 23 - Growth Option;13.4278;07-Aug-2017</v>
      </c>
      <c r="B14057" s="1"/>
    </row>
    <row r="14058">
      <c r="A14058" s="1" t="str">
        <f>IFERROR(__xludf.DUMMYFUNCTION("""COMPUTED_VALUE"""),"127264;INF204KA1G10;-;Reliance Fixed Horizon Fund - XXV - Series 24 - Direct Plan - Growth Option;13.0105;10-Apr-2017")</f>
        <v>127264;INF204KA1G10;-;Reliance Fixed Horizon Fund - XXV - Series 24 - Direct Plan - Growth Option;13.0105;10-Apr-2017</v>
      </c>
      <c r="B14058" s="1"/>
    </row>
    <row r="14059">
      <c r="A14059" s="1" t="str">
        <f>IFERROR(__xludf.DUMMYFUNCTION("""COMPUTED_VALUE"""),"127266;INF204KA1F94;-;Reliance Fixed Horizon Fund - XXV - Series 24 - Growth Option;12.9758;10-Apr-2017")</f>
        <v>127266;INF204KA1F94;-;Reliance Fixed Horizon Fund - XXV - Series 24 - Growth Option;12.9758;10-Apr-2017</v>
      </c>
      <c r="B14059" s="1"/>
    </row>
    <row r="14060">
      <c r="A14060" s="1" t="str">
        <f>IFERROR(__xludf.DUMMYFUNCTION("""COMPUTED_VALUE"""),"127360;INF204KA1IQ5;-;Reliance Fixed Horizon Fund - XXV - Series 25 - Direct Plan - Dividend Payout Option;10.0000;24-Apr-2017")</f>
        <v>127360;INF204KA1IQ5;-;Reliance Fixed Horizon Fund - XXV - Series 25 - Direct Plan - Dividend Payout Option;10.0000;24-Apr-2017</v>
      </c>
      <c r="B14060" s="1"/>
    </row>
    <row r="14061">
      <c r="A14061" s="1" t="str">
        <f>IFERROR(__xludf.DUMMYFUNCTION("""COMPUTED_VALUE"""),"127362;INF204KA1IP7;-;Reliance Fixed Horizon Fund - XXV - Series 25 - Direct Plan - Growth Option;13.2454;24-Apr-2017")</f>
        <v>127362;INF204KA1IP7;-;Reliance Fixed Horizon Fund - XXV - Series 25 - Direct Plan - Growth Option;13.2454;24-Apr-2017</v>
      </c>
      <c r="B14061" s="1"/>
    </row>
    <row r="14062">
      <c r="A14062" s="1" t="str">
        <f>IFERROR(__xludf.DUMMYFUNCTION("""COMPUTED_VALUE"""),"127361;INF204KA1IO0;-;Reliance Fixed Horizon Fund - XXV - Series 25 - Dividend Payout Option;10.0000;24-Apr-2017")</f>
        <v>127361;INF204KA1IO0;-;Reliance Fixed Horizon Fund - XXV - Series 25 - Dividend Payout Option;10.0000;24-Apr-2017</v>
      </c>
      <c r="B14062" s="1"/>
    </row>
    <row r="14063">
      <c r="A14063" s="1" t="str">
        <f>IFERROR(__xludf.DUMMYFUNCTION("""COMPUTED_VALUE"""),"127359;INF204KA1IN2;-;Reliance Fixed Horizon Fund - XXV - Series 25 - Growth Option;13.0081;24-Apr-2017")</f>
        <v>127359;INF204KA1IN2;-;Reliance Fixed Horizon Fund - XXV - Series 25 - Growth Option;13.0081;24-Apr-2017</v>
      </c>
      <c r="B14063" s="1"/>
    </row>
    <row r="14064">
      <c r="A14064" s="1" t="str">
        <f>IFERROR(__xludf.DUMMYFUNCTION("""COMPUTED_VALUE"""),"127538;INF204KA1JB5;-;Reliance Fixed Horizon Fund - XXV - Series 26 - Direct Plan - Growth Option;14.0991;02-Jul-2018")</f>
        <v>127538;INF204KA1JB5;-;Reliance Fixed Horizon Fund - XXV - Series 26 - Direct Plan - Growth Option;14.0991;02-Jul-2018</v>
      </c>
      <c r="B14064" s="1"/>
    </row>
    <row r="14065">
      <c r="A14065" s="1" t="str">
        <f>IFERROR(__xludf.DUMMYFUNCTION("""COMPUTED_VALUE"""),"127537;INF204KA1IZ6;-;Reliance Fixed Horizon Fund - XXV - Series 26 - Growth Option;14.0241;02-Jul-2018")</f>
        <v>127537;INF204KA1IZ6;-;Reliance Fixed Horizon Fund - XXV - Series 26 - Growth Option;14.0241;02-Jul-2018</v>
      </c>
      <c r="B14065" s="1"/>
    </row>
    <row r="14066">
      <c r="A14066" s="1" t="str">
        <f>IFERROR(__xludf.DUMMYFUNCTION("""COMPUTED_VALUE"""),"127542;INF204KA1JG4;-;Reliance Fixed Horizon Fund - XXV - Series 27 - Direct Plan - Dividend Payout Option;10.0000;07-Apr-2015")</f>
        <v>127542;INF204KA1JG4;-;Reliance Fixed Horizon Fund - XXV - Series 27 - Direct Plan - Dividend Payout Option;10.0000;07-Apr-2015</v>
      </c>
      <c r="B14066" s="1"/>
    </row>
    <row r="14067">
      <c r="A14067" s="1" t="str">
        <f>IFERROR(__xludf.DUMMYFUNCTION("""COMPUTED_VALUE"""),"127541;INF204KA1JF6;-;Reliance Fixed Horizon Fund - XXV - Series 27 - Direct Plan - Growth Option;14.2798;11-Jun-2018")</f>
        <v>127541;INF204KA1JF6;-;Reliance Fixed Horizon Fund - XXV - Series 27 - Direct Plan - Growth Option;14.2798;11-Jun-2018</v>
      </c>
      <c r="B14067" s="1"/>
    </row>
    <row r="14068">
      <c r="A14068" s="1" t="str">
        <f>IFERROR(__xludf.DUMMYFUNCTION("""COMPUTED_VALUE"""),"127543;INF204KA1JE9;-;Reliance Fixed Horizon Fund - XXV - Series 27 - Dividend Payout Option;10.0000;07-Apr-2015")</f>
        <v>127543;INF204KA1JE9;-;Reliance Fixed Horizon Fund - XXV - Series 27 - Dividend Payout Option;10.0000;07-Apr-2015</v>
      </c>
      <c r="B14068" s="1"/>
    </row>
    <row r="14069">
      <c r="A14069" s="1" t="str">
        <f>IFERROR(__xludf.DUMMYFUNCTION("""COMPUTED_VALUE"""),"127540;INF204KA1JD1;-;Reliance Fixed Horizon Fund - XXV - Series 27 - Growth Option;14.1195;11-Jun-2018")</f>
        <v>127540;INF204KA1JD1;-;Reliance Fixed Horizon Fund - XXV - Series 27 - Growth Option;14.1195;11-Jun-2018</v>
      </c>
      <c r="B14069" s="1"/>
    </row>
    <row r="14070">
      <c r="A14070" s="1" t="str">
        <f>IFERROR(__xludf.DUMMYFUNCTION("""COMPUTED_VALUE"""),"127545;INF204KA1JK6;-;Reliance Fixed Horizon Fund - XXV - Series 28 - Direct Plan - Dividend Payout Option;10.0000;07-Apr-2015")</f>
        <v>127545;INF204KA1JK6;-;Reliance Fixed Horizon Fund - XXV - Series 28 - Direct Plan - Dividend Payout Option;10.0000;07-Apr-2015</v>
      </c>
      <c r="B14070" s="1"/>
    </row>
    <row r="14071">
      <c r="A14071" s="1" t="str">
        <f>IFERROR(__xludf.DUMMYFUNCTION("""COMPUTED_VALUE"""),"127547;INF204KA1JJ8;-;Reliance Fixed Horizon Fund - XXV - Series 28 - Direct Plan - Growth Option;14.2678;11-Jun-2018")</f>
        <v>127547;INF204KA1JJ8;-;Reliance Fixed Horizon Fund - XXV - Series 28 - Direct Plan - Growth Option;14.2678;11-Jun-2018</v>
      </c>
      <c r="B14071" s="1"/>
    </row>
    <row r="14072">
      <c r="A14072" s="1" t="str">
        <f>IFERROR(__xludf.DUMMYFUNCTION("""COMPUTED_VALUE"""),"127544;INF204KA1JI0;-;Reliance Fixed Horizon Fund - XXV - Series 28 - Dividend Payout Option;10.0000;11-Jun-2018")</f>
        <v>127544;INF204KA1JI0;-;Reliance Fixed Horizon Fund - XXV - Series 28 - Dividend Payout Option;10.0000;11-Jun-2018</v>
      </c>
      <c r="B14072" s="1"/>
    </row>
    <row r="14073">
      <c r="A14073" s="1" t="str">
        <f>IFERROR(__xludf.DUMMYFUNCTION("""COMPUTED_VALUE"""),"127546;INF204KA1JH2;-;Reliance Fixed Horizon Fund - XXV - Series 28 - Growth Option;14.1798;11-Jun-2018")</f>
        <v>127546;INF204KA1JH2;-;Reliance Fixed Horizon Fund - XXV - Series 28 - Growth Option;14.1798;11-Jun-2018</v>
      </c>
      <c r="B14073" s="1"/>
    </row>
    <row r="14074">
      <c r="A14074" s="1" t="str">
        <f>IFERROR(__xludf.DUMMYFUNCTION("""COMPUTED_VALUE"""),"125359;INF204KA19G7;-;Reliance Fixed Horizon Fund - XXV - Series 3  - Dividend Payout Option;10.0000;29-Jun-2015")</f>
        <v>125359;INF204KA19G7;-;Reliance Fixed Horizon Fund - XXV - Series 3  - Dividend Payout Option;10.0000;29-Jun-2015</v>
      </c>
      <c r="B14074" s="1"/>
    </row>
    <row r="14075">
      <c r="A14075" s="1" t="str">
        <f>IFERROR(__xludf.DUMMYFUNCTION("""COMPUTED_VALUE"""),"125358;INF204KA11H2;-;Reliance Fixed Horizon Fund - XXV - Series 3 - Direct Plan - Dividend Payout Option;10.0000;24-Jul-2017")</f>
        <v>125358;INF204KA11H2;-;Reliance Fixed Horizon Fund - XXV - Series 3 - Direct Plan - Dividend Payout Option;10.0000;24-Jul-2017</v>
      </c>
      <c r="B14075" s="1"/>
    </row>
    <row r="14076">
      <c r="A14076" s="1" t="str">
        <f>IFERROR(__xludf.DUMMYFUNCTION("""COMPUTED_VALUE"""),"125357;INF204KA10H4;-;Reliance Fixed Horizon Fund - XXV - Series 3 - Direct Plan - Growth Option;13.5394;24-Jul-2017")</f>
        <v>125357;INF204KA10H4;-;Reliance Fixed Horizon Fund - XXV - Series 3 - Direct Plan - Growth Option;13.5394;24-Jul-2017</v>
      </c>
      <c r="B14076" s="1"/>
    </row>
    <row r="14077">
      <c r="A14077" s="1" t="str">
        <f>IFERROR(__xludf.DUMMYFUNCTION("""COMPUTED_VALUE"""),"125356;INF204KA18G9;-;Reliance Fixed Horizon Fund - XXV - Series 3 - Growth Option;13.4468;24-Jul-2017")</f>
        <v>125356;INF204KA18G9;-;Reliance Fixed Horizon Fund - XXV - Series 3 - Growth Option;13.4468;24-Jul-2017</v>
      </c>
      <c r="B14077" s="1"/>
    </row>
    <row r="14078">
      <c r="A14078" s="1" t="str">
        <f>IFERROR(__xludf.DUMMYFUNCTION("""COMPUTED_VALUE"""),"127734;INF204KA1JS9;-;Reliance Fixed Horizon Fund - XXV - Series 30 - Direct Plan - Dividend Payout Option;10.0000;11-Jun-2018")</f>
        <v>127734;INF204KA1JS9;-;Reliance Fixed Horizon Fund - XXV - Series 30 - Direct Plan - Dividend Payout Option;10.0000;11-Jun-2018</v>
      </c>
      <c r="B14078" s="1"/>
    </row>
    <row r="14079">
      <c r="A14079" s="1" t="str">
        <f>IFERROR(__xludf.DUMMYFUNCTION("""COMPUTED_VALUE"""),"127735;INF204KA1JR1;-;Reliance Fixed Horizon Fund - XXV - Series 30 - Direct Plan - Growth Option;14.1942;11-Jun-2018")</f>
        <v>127735;INF204KA1JR1;-;Reliance Fixed Horizon Fund - XXV - Series 30 - Direct Plan - Growth Option;14.1942;11-Jun-2018</v>
      </c>
      <c r="B14079" s="1"/>
    </row>
    <row r="14080">
      <c r="A14080" s="1" t="str">
        <f>IFERROR(__xludf.DUMMYFUNCTION("""COMPUTED_VALUE"""),"127733;INF204KA1JQ3;-;Reliance Fixed Horizon Fund - XXV - Series 30 - Dividend Payout Option;10.0000;11-Jun-2018")</f>
        <v>127733;INF204KA1JQ3;-;Reliance Fixed Horizon Fund - XXV - Series 30 - Dividend Payout Option;10.0000;11-Jun-2018</v>
      </c>
      <c r="B14080" s="1"/>
    </row>
    <row r="14081">
      <c r="A14081" s="1" t="str">
        <f>IFERROR(__xludf.DUMMYFUNCTION("""COMPUTED_VALUE"""),"127732;INF204KA1JP5;-;Reliance Fixed Horizon Fund - XXV - Series 30 - Growth Option;14.0150;11-Jun-2018")</f>
        <v>127732;INF204KA1JP5;-;Reliance Fixed Horizon Fund - XXV - Series 30 - Growth Option;14.0150;11-Jun-2018</v>
      </c>
      <c r="B14081" s="1"/>
    </row>
    <row r="14082">
      <c r="A14082" s="1" t="str">
        <f>IFERROR(__xludf.DUMMYFUNCTION("""COMPUTED_VALUE"""),"127844;INF204KA1JV3;-;Reliance Fixed Horizon Fund - XXV - Series 31 - Direct Plan - Growth Option;12.9815;24-Apr-2017")</f>
        <v>127844;INF204KA1JV3;-;Reliance Fixed Horizon Fund - XXV - Series 31 - Direct Plan - Growth Option;12.9815;24-Apr-2017</v>
      </c>
      <c r="B14082" s="1"/>
    </row>
    <row r="14083">
      <c r="A14083" s="1" t="str">
        <f>IFERROR(__xludf.DUMMYFUNCTION("""COMPUTED_VALUE"""),"127841;INF204KA1JU5;-;Reliance Fixed Horizon Fund - XXV - Series 31 - Dividend Payout Option;10.0000;07-Apr-2015")</f>
        <v>127841;INF204KA1JU5;-;Reliance Fixed Horizon Fund - XXV - Series 31 - Dividend Payout Option;10.0000;07-Apr-2015</v>
      </c>
      <c r="B14083" s="1"/>
    </row>
    <row r="14084">
      <c r="A14084" s="1" t="str">
        <f>IFERROR(__xludf.DUMMYFUNCTION("""COMPUTED_VALUE"""),"127843;INF204KA1JT7;-;Reliance Fixed Horizon Fund - XXV - Series 31 - Growth Option;12.9373;24-Apr-2017")</f>
        <v>127843;INF204KA1JT7;-;Reliance Fixed Horizon Fund - XXV - Series 31 - Growth Option;12.9373;24-Apr-2017</v>
      </c>
      <c r="B14084" s="1"/>
    </row>
    <row r="14085">
      <c r="A14085" s="1" t="str">
        <f>IFERROR(__xludf.DUMMYFUNCTION("""COMPUTED_VALUE"""),"128181;INF204KA1KD9;-;Reliance Fixed Horizon Fund - XXV - Series 32 - Direct Plan - Growth Option;12.9565;27-Apr-2017")</f>
        <v>128181;INF204KA1KD9;-;Reliance Fixed Horizon Fund - XXV - Series 32 - Direct Plan - Growth Option;12.9565;27-Apr-2017</v>
      </c>
      <c r="B14085" s="1"/>
    </row>
    <row r="14086">
      <c r="A14086" s="1" t="str">
        <f>IFERROR(__xludf.DUMMYFUNCTION("""COMPUTED_VALUE"""),"128180;INF204KA1KB3;-;Reliance Fixed Horizon Fund - XXV - Series 32 - Growth Option;12.9162;27-Apr-2017")</f>
        <v>128180;INF204KA1KB3;-;Reliance Fixed Horizon Fund - XXV - Series 32 - Growth Option;12.9162;27-Apr-2017</v>
      </c>
      <c r="B14086" s="1"/>
    </row>
    <row r="14087">
      <c r="A14087" s="1" t="str">
        <f>IFERROR(__xludf.DUMMYFUNCTION("""COMPUTED_VALUE"""),"128185;INF204KA1KH0;-;Reliance Fixed Horizon Fund - XXV - Series 33 - Direct Plan - Growth Option;12.9040;25-Apr-2017")</f>
        <v>128185;INF204KA1KH0;-;Reliance Fixed Horizon Fund - XXV - Series 33 - Direct Plan - Growth Option;12.9040;25-Apr-2017</v>
      </c>
      <c r="B14087" s="1"/>
    </row>
    <row r="14088">
      <c r="A14088" s="1" t="str">
        <f>IFERROR(__xludf.DUMMYFUNCTION("""COMPUTED_VALUE"""),"128184;INF204KA1KG2;-;Reliance Fixed Horizon Fund - XXV - Series 33 - Dividend Payout Option;10.0000;25-Apr-2017")</f>
        <v>128184;INF204KA1KG2;-;Reliance Fixed Horizon Fund - XXV - Series 33 - Dividend Payout Option;10.0000;25-Apr-2017</v>
      </c>
      <c r="B14088" s="1"/>
    </row>
    <row r="14089">
      <c r="A14089" s="1" t="str">
        <f>IFERROR(__xludf.DUMMYFUNCTION("""COMPUTED_VALUE"""),"128183;INF204KA1KF4;-;Reliance Fixed Horizon Fund - XXV - Series 33 - Growth Option;12.8640;25-Apr-2017")</f>
        <v>128183;INF204KA1KF4;-;Reliance Fixed Horizon Fund - XXV - Series 33 - Growth Option;12.8640;25-Apr-2017</v>
      </c>
      <c r="B14089" s="1"/>
    </row>
    <row r="14090">
      <c r="A14090" s="1" t="str">
        <f>IFERROR(__xludf.DUMMYFUNCTION("""COMPUTED_VALUE"""),"128199;INF204KA1KL2;-;Reliance Fixed Horizon Fund - XXV - Series 34 - Direct Plan - Growth Option;12.9303;27-Apr-2017")</f>
        <v>128199;INF204KA1KL2;-;Reliance Fixed Horizon Fund - XXV - Series 34 - Direct Plan - Growth Option;12.9303;27-Apr-2017</v>
      </c>
      <c r="B14090" s="1"/>
    </row>
    <row r="14091">
      <c r="A14091" s="1" t="str">
        <f>IFERROR(__xludf.DUMMYFUNCTION("""COMPUTED_VALUE"""),"128198;INF204KA1KJ6;-;Reliance Fixed Horizon Fund - XXV - Series 34 - Growth Option;12.8897;27-Apr-2017")</f>
        <v>128198;INF204KA1KJ6;-;Reliance Fixed Horizon Fund - XXV - Series 34 - Growth Option;12.8897;27-Apr-2017</v>
      </c>
      <c r="B14091" s="1"/>
    </row>
    <row r="14092">
      <c r="A14092" s="1" t="str">
        <f>IFERROR(__xludf.DUMMYFUNCTION("""COMPUTED_VALUE"""),"128320;INF204KA1LC9;-;Reliance Fixed Horizon Fund - XXV - Series 35- Direct Plan - Dividend Payout Option;10.0000;02-Apr-2019")</f>
        <v>128320;INF204KA1LC9;-;Reliance Fixed Horizon Fund - XXV - Series 35- Direct Plan - Dividend Payout Option;10.0000;02-Apr-2019</v>
      </c>
      <c r="B14092" s="1"/>
    </row>
    <row r="14093">
      <c r="A14093" s="1" t="str">
        <f>IFERROR(__xludf.DUMMYFUNCTION("""COMPUTED_VALUE"""),"128318;INF204KA1LB1;-;Reliance Fixed Horizon Fund - XXV - Series 35- Direct Plan - Growth Option;15.6265;02-Apr-2019")</f>
        <v>128318;INF204KA1LB1;-;Reliance Fixed Horizon Fund - XXV - Series 35- Direct Plan - Growth Option;15.6265;02-Apr-2019</v>
      </c>
      <c r="B14093" s="1"/>
    </row>
    <row r="14094">
      <c r="A14094" s="1" t="str">
        <f>IFERROR(__xludf.DUMMYFUNCTION("""COMPUTED_VALUE"""),"128317;INF204KA1LA3;-;Reliance Fixed Horizon Fund - XXV - Series 35- Dividend Payout Option;10.0000;02-Apr-2019")</f>
        <v>128317;INF204KA1LA3;-;Reliance Fixed Horizon Fund - XXV - Series 35- Dividend Payout Option;10.0000;02-Apr-2019</v>
      </c>
      <c r="B14094" s="1"/>
    </row>
    <row r="14095">
      <c r="A14095" s="1" t="str">
        <f>IFERROR(__xludf.DUMMYFUNCTION("""COMPUTED_VALUE"""),"128319;INF204KA1KZ2;-;Reliance Fixed Horizon Fund - XXV - Series 35- Growth Option;15.2705;02-Apr-2019")</f>
        <v>128319;INF204KA1KZ2;-;Reliance Fixed Horizon Fund - XXV - Series 35- Growth Option;15.2705;02-Apr-2019</v>
      </c>
      <c r="B14095" s="1"/>
    </row>
    <row r="14096">
      <c r="A14096" s="1" t="str">
        <f>IFERROR(__xludf.DUMMYFUNCTION("""COMPUTED_VALUE"""),"125392;INF204KA1YP4;-;Reliance Fixed Horizon Fund - XXV - Series 4 - Direct Plan - Dividend Payout Option;10.0000;15-Dec-2016")</f>
        <v>125392;INF204KA1YP4;-;Reliance Fixed Horizon Fund - XXV - Series 4 - Direct Plan - Dividend Payout Option;10.0000;15-Dec-2016</v>
      </c>
      <c r="B14096" s="1"/>
    </row>
    <row r="14097">
      <c r="A14097" s="1" t="str">
        <f>IFERROR(__xludf.DUMMYFUNCTION("""COMPUTED_VALUE"""),"125390;INF204KA1YO7;-;Reliance Fixed Horizon Fund - XXV - Series 4 - Direct Plan - Growth Option;12.8731;15-Dec-2016")</f>
        <v>125390;INF204KA1YO7;-;Reliance Fixed Horizon Fund - XXV - Series 4 - Direct Plan - Growth Option;12.8731;15-Dec-2016</v>
      </c>
      <c r="B14097" s="1"/>
    </row>
    <row r="14098">
      <c r="A14098" s="1" t="str">
        <f>IFERROR(__xludf.DUMMYFUNCTION("""COMPUTED_VALUE"""),"125393;INF204KA1YM1;-;Reliance Fixed Horizon Fund - XXV - Series 4 - Growth Option;12.8138;15-Dec-2016")</f>
        <v>125393;INF204KA1YM1;-;Reliance Fixed Horizon Fund - XXV - Series 4 - Growth Option;12.8138;15-Dec-2016</v>
      </c>
      <c r="B14098" s="1"/>
    </row>
    <row r="14099">
      <c r="A14099" s="1" t="str">
        <f>IFERROR(__xludf.DUMMYFUNCTION("""COMPUTED_VALUE"""),"125530;INF204KA1FM0;-;Reliance Fixed Horizon Fund - XXV - Series 6 - Direct Plan - Dividend Payout Option;10.0000;29-Jun-2015")</f>
        <v>125530;INF204KA1FM0;-;Reliance Fixed Horizon Fund - XXV - Series 6 - Direct Plan - Dividend Payout Option;10.0000;29-Jun-2015</v>
      </c>
      <c r="B14099" s="1"/>
    </row>
    <row r="14100">
      <c r="A14100" s="1" t="str">
        <f>IFERROR(__xludf.DUMMYFUNCTION("""COMPUTED_VALUE"""),"125528;INF204KA1FL2;-;Reliance Fixed Horizon Fund - XXV - Series 6 - Direct Plan - Growth Option;13.5368;24-Jul-2017")</f>
        <v>125528;INF204KA1FL2;-;Reliance Fixed Horizon Fund - XXV - Series 6 - Direct Plan - Growth Option;13.5368;24-Jul-2017</v>
      </c>
      <c r="B14100" s="1"/>
    </row>
    <row r="14101">
      <c r="A14101" s="1" t="str">
        <f>IFERROR(__xludf.DUMMYFUNCTION("""COMPUTED_VALUE"""),"125529;INF204KA1FO6;-;Reliance Fixed Horizon Fund - XXV - Series 6 - Dividend Payout Option;10.0000;29-Jun-2015")</f>
        <v>125529;INF204KA1FO6;-;Reliance Fixed Horizon Fund - XXV - Series 6 - Dividend Payout Option;10.0000;29-Jun-2015</v>
      </c>
      <c r="B14101" s="1"/>
    </row>
    <row r="14102">
      <c r="A14102" s="1" t="str">
        <f>IFERROR(__xludf.DUMMYFUNCTION("""COMPUTED_VALUE"""),"125527;INF204KA1FN8;-;Reliance Fixed Horizon Fund - XXV - Series 6 - Growth Option;13.4506;24-Jul-2017")</f>
        <v>125527;INF204KA1FN8;-;Reliance Fixed Horizon Fund - XXV - Series 6 - Growth Option;13.4506;24-Jul-2017</v>
      </c>
      <c r="B14102" s="1"/>
    </row>
    <row r="14103">
      <c r="A14103" s="1" t="str">
        <f>IFERROR(__xludf.DUMMYFUNCTION("""COMPUTED_VALUE"""),"127913;INF204KA1KA5;-;Reliance Fixed Horizon Fund - XXVI - Series 1 - Direct Plan - Dividend Payout Option;11.913;02-Jul-2018")</f>
        <v>127913;INF204KA1KA5;-;Reliance Fixed Horizon Fund - XXVI - Series 1 - Direct Plan - Dividend Payout Option;11.913;02-Jul-2018</v>
      </c>
      <c r="B14103" s="1"/>
    </row>
    <row r="14104">
      <c r="A14104" s="1" t="str">
        <f>IFERROR(__xludf.DUMMYFUNCTION("""COMPUTED_VALUE"""),"127911;INF204KA1JZ4;-;Reliance Fixed Horizon Fund - XXVI - Series 1 - Direct Plan - Growth Option;14.8328;02-Jul-2018")</f>
        <v>127911;INF204KA1JZ4;-;Reliance Fixed Horizon Fund - XXVI - Series 1 - Direct Plan - Growth Option;14.8328;02-Jul-2018</v>
      </c>
      <c r="B14104" s="1"/>
    </row>
    <row r="14105">
      <c r="A14105" s="1" t="str">
        <f>IFERROR(__xludf.DUMMYFUNCTION("""COMPUTED_VALUE"""),"127912;INF204KA1JY7;-;Reliance Fixed Horizon Fund - XXVI - Series 1 - Dividend Payout Option;11.8741;02-Jul-2018")</f>
        <v>127912;INF204KA1JY7;-;Reliance Fixed Horizon Fund - XXVI - Series 1 - Dividend Payout Option;11.8741;02-Jul-2018</v>
      </c>
      <c r="B14105" s="1"/>
    </row>
    <row r="14106">
      <c r="A14106" s="1" t="str">
        <f>IFERROR(__xludf.DUMMYFUNCTION("""COMPUTED_VALUE"""),"127910;INF204KA1JX9;-;Reliance Fixed Horizon Fund - XXVI - Series 1 - Growth Option;14.6521;02-Jul-2018")</f>
        <v>127910;INF204KA1JX9;-;Reliance Fixed Horizon Fund - XXVI - Series 1 - Growth Option;14.6521;02-Jul-2018</v>
      </c>
      <c r="B14106" s="1"/>
    </row>
    <row r="14107">
      <c r="A14107" s="1" t="str">
        <f>IFERROR(__xludf.DUMMYFUNCTION("""COMPUTED_VALUE"""),"129115;INF204KA1NM4;-;Reliance Fixed Horizon Fund - XXVI - Series 14- Direct Plan - Dividend Payout Option;10.0000;15-Jun-2016")</f>
        <v>129115;INF204KA1NM4;-;Reliance Fixed Horizon Fund - XXVI - Series 14- Direct Plan - Dividend Payout Option;10.0000;15-Jun-2016</v>
      </c>
      <c r="B14107" s="1"/>
    </row>
    <row r="14108">
      <c r="A14108" s="1" t="str">
        <f>IFERROR(__xludf.DUMMYFUNCTION("""COMPUTED_VALUE"""),"129114;INF204KA1NL6;-;Reliance Fixed Horizon Fund - XXVI - Series 14- Direct Plan - Growth Option;14.6448;02-Jul-2018")</f>
        <v>129114;INF204KA1NL6;-;Reliance Fixed Horizon Fund - XXVI - Series 14- Direct Plan - Growth Option;14.6448;02-Jul-2018</v>
      </c>
      <c r="B14108" s="1"/>
    </row>
    <row r="14109">
      <c r="A14109" s="1" t="str">
        <f>IFERROR(__xludf.DUMMYFUNCTION("""COMPUTED_VALUE"""),"129116;INF204KA1NK8;-;Reliance Fixed Horizon Fund - XXVI - Series 14- Dividend payout Option;11.8004;02-Jul-2018")</f>
        <v>129116;INF204KA1NK8;-;Reliance Fixed Horizon Fund - XXVI - Series 14- Dividend payout Option;11.8004;02-Jul-2018</v>
      </c>
      <c r="B14109" s="1"/>
    </row>
    <row r="14110">
      <c r="A14110" s="1" t="str">
        <f>IFERROR(__xludf.DUMMYFUNCTION("""COMPUTED_VALUE"""),"129113;INF204KA1NJ0;-;Reliance Fixed Horizon Fund - XXVI - Series 14- Growth Option;14.394;02-Jul-2018")</f>
        <v>129113;INF204KA1NJ0;-;Reliance Fixed Horizon Fund - XXVI - Series 14- Growth Option;14.394;02-Jul-2018</v>
      </c>
      <c r="B14110" s="1"/>
    </row>
    <row r="14111">
      <c r="A14111" s="1" t="str">
        <f>IFERROR(__xludf.DUMMYFUNCTION("""COMPUTED_VALUE"""),"129291;INF204KA1NX1;-;Reliance Fixed Horizon Fund - XXVI - Series 17- Direct Plan - Growth Option;12.8672;24-May-2017")</f>
        <v>129291;INF204KA1NX1;-;Reliance Fixed Horizon Fund - XXVI - Series 17- Direct Plan - Growth Option;12.8672;24-May-2017</v>
      </c>
      <c r="B14111" s="1"/>
    </row>
    <row r="14112">
      <c r="A14112" s="1" t="str">
        <f>IFERROR(__xludf.DUMMYFUNCTION("""COMPUTED_VALUE"""),"129290;INF204KA1NW3;-;Reliance Fixed Horizon Fund - XXVI - Series 17- Dividend payout Option;10.0000;05-May-2015")</f>
        <v>129290;INF204KA1NW3;-;Reliance Fixed Horizon Fund - XXVI - Series 17- Dividend payout Option;10.0000;05-May-2015</v>
      </c>
      <c r="B14112" s="1"/>
    </row>
    <row r="14113">
      <c r="A14113" s="1" t="str">
        <f>IFERROR(__xludf.DUMMYFUNCTION("""COMPUTED_VALUE"""),"129289;INF204KA1NV5;-;Reliance Fixed Horizon Fund - XXVI - Series 17- Growth Option;12.8213;24-May-2017")</f>
        <v>129289;INF204KA1NV5;-;Reliance Fixed Horizon Fund - XXVI - Series 17- Growth Option;12.8213;24-May-2017</v>
      </c>
      <c r="B14113" s="1"/>
    </row>
    <row r="14114">
      <c r="A14114" s="1" t="str">
        <f>IFERROR(__xludf.DUMMYFUNCTION("""COMPUTED_VALUE"""),"129293;INF204KA1OC3;-;Reliance Fixed Horizon Fund - XXVI - Series 18- Direct Plan - Dividend Payout Option;10.0000;24-May-2017")</f>
        <v>129293;INF204KA1OC3;-;Reliance Fixed Horizon Fund - XXVI - Series 18- Direct Plan - Dividend Payout Option;10.0000;24-May-2017</v>
      </c>
      <c r="B14114" s="1"/>
    </row>
    <row r="14115">
      <c r="A14115" s="1" t="str">
        <f>IFERROR(__xludf.DUMMYFUNCTION("""COMPUTED_VALUE"""),"129296;INF204KA1OB5;-;Reliance Fixed Horizon Fund - XXVI - Series 18- Direct Plan - Growth Option;12.8374;24-May-2017")</f>
        <v>129296;INF204KA1OB5;-;Reliance Fixed Horizon Fund - XXVI - Series 18- Direct Plan - Growth Option;12.8374;24-May-2017</v>
      </c>
      <c r="B14115" s="1"/>
    </row>
    <row r="14116">
      <c r="A14116" s="1" t="str">
        <f>IFERROR(__xludf.DUMMYFUNCTION("""COMPUTED_VALUE"""),"129295;INF204KA1OA7;-;Reliance Fixed Horizon Fund - XXVI - Series 18- Dividend payout Option;10.0000;24-May-2017")</f>
        <v>129295;INF204KA1OA7;-;Reliance Fixed Horizon Fund - XXVI - Series 18- Dividend payout Option;10.0000;24-May-2017</v>
      </c>
      <c r="B14116" s="1"/>
    </row>
    <row r="14117">
      <c r="A14117" s="1" t="str">
        <f>IFERROR(__xludf.DUMMYFUNCTION("""COMPUTED_VALUE"""),"129294;INF204KA1NZ6;-;Reliance Fixed Horizon Fund - XXVI - Series 18- Growth Option;12.7825;24-May-2017")</f>
        <v>129294;INF204KA1NZ6;-;Reliance Fixed Horizon Fund - XXVI - Series 18- Growth Option;12.7825;24-May-2017</v>
      </c>
      <c r="B14117" s="1"/>
    </row>
    <row r="14118">
      <c r="A14118" s="1" t="str">
        <f>IFERROR(__xludf.DUMMYFUNCTION("""COMPUTED_VALUE"""),"128082;INF204KA1KX7;-;Reliance Fixed Horizon Fund - XXVI - Series 2 - Direct Plan - Growth Option;14.0202;02-Jul-2018")</f>
        <v>128082;INF204KA1KX7;-;Reliance Fixed Horizon Fund - XXVI - Series 2 - Direct Plan - Growth Option;14.0202;02-Jul-2018</v>
      </c>
      <c r="B14118" s="1"/>
    </row>
    <row r="14119">
      <c r="A14119" s="1" t="str">
        <f>IFERROR(__xludf.DUMMYFUNCTION("""COMPUTED_VALUE"""),"128084;INF204KA1KW9;-;Reliance Fixed Horizon Fund - XXVI - Series 2 - Dividend Payout Option;10.0000;07-Apr-2015")</f>
        <v>128084;INF204KA1KW9;-;Reliance Fixed Horizon Fund - XXVI - Series 2 - Dividend Payout Option;10.0000;07-Apr-2015</v>
      </c>
      <c r="B14119" s="1"/>
    </row>
    <row r="14120">
      <c r="A14120" s="1" t="str">
        <f>IFERROR(__xludf.DUMMYFUNCTION("""COMPUTED_VALUE"""),"128081;INF204KA1KV1;-;Reliance Fixed Horizon Fund - XXVI - Series 2 - Growth Option;13.9531;02-Jul-2018")</f>
        <v>128081;INF204KA1KV1;-;Reliance Fixed Horizon Fund - XXVI - Series 2 - Growth Option;13.9531;02-Jul-2018</v>
      </c>
      <c r="B14120" s="1"/>
    </row>
    <row r="14121">
      <c r="A14121" s="1" t="str">
        <f>IFERROR(__xludf.DUMMYFUNCTION("""COMPUTED_VALUE"""),"130192;INF204KA1QO3;-;Reliance Fixed Horizon Fund - XXVI - Series 29 - Direct Plan - Dividend Payout Option;10.0000;24-Jul-2017")</f>
        <v>130192;INF204KA1QO3;-;Reliance Fixed Horizon Fund - XXVI - Series 29 - Direct Plan - Dividend Payout Option;10.0000;24-Jul-2017</v>
      </c>
      <c r="B14121" s="1"/>
    </row>
    <row r="14122">
      <c r="A14122" s="1" t="str">
        <f>IFERROR(__xludf.DUMMYFUNCTION("""COMPUTED_VALUE"""),"130190;INF204KA1QN5;-;Reliance Fixed Horizon Fund - XXVI - Series 29 - Direct Plan - Growth Option;12.8321;24-Jul-2017")</f>
        <v>130190;INF204KA1QN5;-;Reliance Fixed Horizon Fund - XXVI - Series 29 - Direct Plan - Growth Option;12.8321;24-Jul-2017</v>
      </c>
      <c r="B14122" s="1"/>
    </row>
    <row r="14123">
      <c r="A14123" s="1" t="str">
        <f>IFERROR(__xludf.DUMMYFUNCTION("""COMPUTED_VALUE"""),"130191;INF204KA1QM7;-;Reliance Fixed Horizon Fund - XXVI - Series 29 - Dividend Payout Option;10.0000;24-Jul-2017")</f>
        <v>130191;INF204KA1QM7;-;Reliance Fixed Horizon Fund - XXVI - Series 29 - Dividend Payout Option;10.0000;24-Jul-2017</v>
      </c>
      <c r="B14123" s="1"/>
    </row>
    <row r="14124">
      <c r="A14124" s="1" t="str">
        <f>IFERROR(__xludf.DUMMYFUNCTION("""COMPUTED_VALUE"""),"130189;INF204KA1QL9;-;Reliance Fixed Horizon Fund - XXVI - Series 29 - Growth Option;12.7925;24-Jul-2017")</f>
        <v>130189;INF204KA1QL9;-;Reliance Fixed Horizon Fund - XXVI - Series 29 - Growth Option;12.7925;24-Jul-2017</v>
      </c>
      <c r="B14124" s="1"/>
    </row>
    <row r="14125">
      <c r="A14125" s="1" t="str">
        <f>IFERROR(__xludf.DUMMYFUNCTION("""COMPUTED_VALUE"""),"130196;INF204KA1QS4;-;Reliance Fixed Horizon Fund - XXVI - Series 30 - Direct Plan - Dividend Payout Option;11.7218;02-Jul-2018")</f>
        <v>130196;INF204KA1QS4;-;Reliance Fixed Horizon Fund - XXVI - Series 30 - Direct Plan - Dividend Payout Option;11.7218;02-Jul-2018</v>
      </c>
      <c r="B14125" s="1"/>
    </row>
    <row r="14126">
      <c r="A14126" s="1" t="str">
        <f>IFERROR(__xludf.DUMMYFUNCTION("""COMPUTED_VALUE"""),"130194;INF204KA1QR6;-;Reliance Fixed Horizon Fund - XXVI - Series 30 - Direct Plan - Growth Option;14.148;02-Jul-2018")</f>
        <v>130194;INF204KA1QR6;-;Reliance Fixed Horizon Fund - XXVI - Series 30 - Direct Plan - Growth Option;14.148;02-Jul-2018</v>
      </c>
      <c r="B14126" s="1"/>
    </row>
    <row r="14127">
      <c r="A14127" s="1" t="str">
        <f>IFERROR(__xludf.DUMMYFUNCTION("""COMPUTED_VALUE"""),"130195;INF204KA1QQ8;-;Reliance Fixed Horizon Fund - XXVI - Series 30 - Dividend Payout Option;11.6397;02-Jul-2018")</f>
        <v>130195;INF204KA1QQ8;-;Reliance Fixed Horizon Fund - XXVI - Series 30 - Dividend Payout Option;11.6397;02-Jul-2018</v>
      </c>
      <c r="B14127" s="1"/>
    </row>
    <row r="14128">
      <c r="A14128" s="1" t="str">
        <f>IFERROR(__xludf.DUMMYFUNCTION("""COMPUTED_VALUE"""),"130193;INF204KA1QP0;-;Reliance Fixed Horizon Fund - XXVI - Series 30 - Growth Option;13.9314;02-Jul-2018")</f>
        <v>130193;INF204KA1QP0;-;Reliance Fixed Horizon Fund - XXVI - Series 30 - Growth Option;13.9314;02-Jul-2018</v>
      </c>
      <c r="B14128" s="1"/>
    </row>
    <row r="14129">
      <c r="A14129" s="1" t="str">
        <f>IFERROR(__xludf.DUMMYFUNCTION("""COMPUTED_VALUE"""),"130229;INF204KA1QW6;-;Reliance Fixed Horizon Fund - XXVI - Series 31 - Direct Plan - Dividend Payout Option;10.0000;24-Jul-2017")</f>
        <v>130229;INF204KA1QW6;-;Reliance Fixed Horizon Fund - XXVI - Series 31 - Direct Plan - Dividend Payout Option;10.0000;24-Jul-2017</v>
      </c>
      <c r="B14129" s="1"/>
    </row>
    <row r="14130">
      <c r="A14130" s="1" t="str">
        <f>IFERROR(__xludf.DUMMYFUNCTION("""COMPUTED_VALUE"""),"130228;INF204KA1QV8;-;Reliance Fixed Horizon Fund - XXVI - Series 31 - Direct Plan - Growth Option;12.8430;24-Jul-2017")</f>
        <v>130228;INF204KA1QV8;-;Reliance Fixed Horizon Fund - XXVI - Series 31 - Direct Plan - Growth Option;12.8430;24-Jul-2017</v>
      </c>
      <c r="B14130" s="1"/>
    </row>
    <row r="14131">
      <c r="A14131" s="1" t="str">
        <f>IFERROR(__xludf.DUMMYFUNCTION("""COMPUTED_VALUE"""),"130230;INF204KA1QU0;-;Reliance Fixed Horizon Fund - XXVI - Series 31 - Dividend Payout Option;10.0000;24-Jul-2017")</f>
        <v>130230;INF204KA1QU0;-;Reliance Fixed Horizon Fund - XXVI - Series 31 - Dividend Payout Option;10.0000;24-Jul-2017</v>
      </c>
      <c r="B14131" s="1"/>
    </row>
    <row r="14132">
      <c r="A14132" s="1" t="str">
        <f>IFERROR(__xludf.DUMMYFUNCTION("""COMPUTED_VALUE"""),"130227;INF204KA1QT2;-;Reliance Fixed Horizon Fund - XXVI - Series 31 - Growth Option;12.8046;24-Jul-2017")</f>
        <v>130227;INF204KA1QT2;-;Reliance Fixed Horizon Fund - XXVI - Series 31 - Growth Option;12.8046;24-Jul-2017</v>
      </c>
      <c r="B14132" s="1"/>
    </row>
    <row r="14133">
      <c r="A14133" s="1" t="str">
        <f>IFERROR(__xludf.DUMMYFUNCTION("""COMPUTED_VALUE"""),"128461;INF204KA1LL0;-;Reliance Fixed Horizon Fund - XXVI - Series 4-Direct Plan - Dividend Payout Option;10.0000;24-Mar-2017")</f>
        <v>128461;INF204KA1LL0;-;Reliance Fixed Horizon Fund - XXVI - Series 4-Direct Plan - Dividend Payout Option;10.0000;24-Mar-2017</v>
      </c>
      <c r="B14133" s="1"/>
    </row>
    <row r="14134">
      <c r="A14134" s="1" t="str">
        <f>IFERROR(__xludf.DUMMYFUNCTION("""COMPUTED_VALUE"""),"128460;INF204KA1LK2;-;Reliance Fixed Horizon Fund - XXVI - Series 4-Direct Plan - Growth Option;13.1902;24-Apr-2017")</f>
        <v>128460;INF204KA1LK2;-;Reliance Fixed Horizon Fund - XXVI - Series 4-Direct Plan - Growth Option;13.1902;24-Apr-2017</v>
      </c>
      <c r="B14134" s="1"/>
    </row>
    <row r="14135">
      <c r="A14135" s="1" t="str">
        <f>IFERROR(__xludf.DUMMYFUNCTION("""COMPUTED_VALUE"""),"128459;INF204KA1LJ4;-;Reliance Fixed Horizon Fund - XXVI - Series 4-Dividend payout Option;10.0000;24-Mar-2017")</f>
        <v>128459;INF204KA1LJ4;-;Reliance Fixed Horizon Fund - XXVI - Series 4-Dividend payout Option;10.0000;24-Mar-2017</v>
      </c>
      <c r="B14135" s="1"/>
    </row>
    <row r="14136">
      <c r="A14136" s="1" t="str">
        <f>IFERROR(__xludf.DUMMYFUNCTION("""COMPUTED_VALUE"""),"128458;INF204KA1LI6;-;Reliance Fixed Horizon Fund - XXVI - Series 4-Growth Option;12.9725;24-Apr-2017")</f>
        <v>128458;INF204KA1LI6;-;Reliance Fixed Horizon Fund - XXVI - Series 4-Growth Option;12.9725;24-Apr-2017</v>
      </c>
      <c r="B14136" s="1"/>
    </row>
    <row r="14137">
      <c r="A14137" s="1" t="str">
        <f>IFERROR(__xludf.DUMMYFUNCTION("""COMPUTED_VALUE"""),"131168;INF204KA1TV2;-;Reliance Fixed Horizon Fund - XXVII - Series 5 - Direct Plan - Growth Option;13.0503;28-Sep-2017")</f>
        <v>131168;INF204KA1TV2;-;Reliance Fixed Horizon Fund - XXVII - Series 5 - Direct Plan - Growth Option;13.0503;28-Sep-2017</v>
      </c>
      <c r="B14137" s="1"/>
    </row>
    <row r="14138">
      <c r="A14138" s="1" t="str">
        <f>IFERROR(__xludf.DUMMYFUNCTION("""COMPUTED_VALUE"""),"131169;INF204KA1TU4;-;Reliance Fixed Horizon Fund - XXVII - Series 5 - Dividend Payout Option;10.0000;28-Sep-2017")</f>
        <v>131169;INF204KA1TU4;-;Reliance Fixed Horizon Fund - XXVII - Series 5 - Dividend Payout Option;10.0000;28-Sep-2017</v>
      </c>
      <c r="B14138" s="1"/>
    </row>
    <row r="14139">
      <c r="A14139" s="1" t="str">
        <f>IFERROR(__xludf.DUMMYFUNCTION("""COMPUTED_VALUE"""),"131167;INF204KA1TT6;-;Reliance Fixed Horizon Fund - XXVII - Series 5 - Growth Option;12.8712;28-Sep-2017")</f>
        <v>131167;INF204KA1TT6;-;Reliance Fixed Horizon Fund - XXVII - Series 5 - Growth Option;12.8712;28-Sep-2017</v>
      </c>
      <c r="B14139" s="1"/>
    </row>
    <row r="14140">
      <c r="A14140" s="1" t="str">
        <f>IFERROR(__xludf.DUMMYFUNCTION("""COMPUTED_VALUE"""),"118025;INF204K01WE4;-;Reliance Fixed Horizon Fund XXII - Series 32 - Dividend Payout Option;12.7755;15-Dec-2017")</f>
        <v>118025;INF204K01WE4;-;Reliance Fixed Horizon Fund XXII - Series 32 - Dividend Payout Option;12.7755;15-Dec-2017</v>
      </c>
      <c r="B14140" s="1"/>
    </row>
    <row r="14141">
      <c r="A14141" s="1" t="str">
        <f>IFERROR(__xludf.DUMMYFUNCTION("""COMPUTED_VALUE"""),"118024;INF204K01WD6;-;Reliance Fixed Horizon Fund XXII - Series 32 - Growth Option;14.7569;15-Dec-2017")</f>
        <v>118024;INF204K01WD6;-;Reliance Fixed Horizon Fund XXII - Series 32 - Growth Option;14.7569;15-Dec-2017</v>
      </c>
      <c r="B14141" s="1"/>
    </row>
    <row r="14142">
      <c r="A14142" s="1" t="str">
        <f>IFERROR(__xludf.DUMMYFUNCTION("""COMPUTED_VALUE"""),"122324;INF204KA1Z17;-;Reliance Fixed Horizon Fund XXIII - Series 10 - Direct Plan - Growth Option;12.8236;09-May-2016")</f>
        <v>122324;INF204KA1Z17;-;Reliance Fixed Horizon Fund XXIII - Series 10 - Direct Plan - Growth Option;12.8236;09-May-2016</v>
      </c>
      <c r="B14142" s="1"/>
    </row>
    <row r="14143">
      <c r="A14143" s="1" t="str">
        <f>IFERROR(__xludf.DUMMYFUNCTION("""COMPUTED_VALUE"""),"122326;INF204KA1Z09;-;Reliance Fixed Horizon Fund XXIII - Series 10 - Dividend Option;10.0000;09-May-2016")</f>
        <v>122326;INF204KA1Z09;-;Reliance Fixed Horizon Fund XXIII - Series 10 - Dividend Option;10.0000;09-May-2016</v>
      </c>
      <c r="B14143" s="1"/>
    </row>
    <row r="14144">
      <c r="A14144" s="1" t="str">
        <f>IFERROR(__xludf.DUMMYFUNCTION("""COMPUTED_VALUE"""),"122327;INF204KA1Y91;-;Reliance Fixed Horizon Fund XXIII - Series 10 -Growth Option;12.7977;09-May-2016")</f>
        <v>122327;INF204KA1Y91;-;Reliance Fixed Horizon Fund XXIII - Series 10 -Growth Option;12.7977;09-May-2016</v>
      </c>
      <c r="B14144" s="1"/>
    </row>
    <row r="14145">
      <c r="A14145" s="1" t="str">
        <f>IFERROR(__xludf.DUMMYFUNCTION("""COMPUTED_VALUE"""),"135160;INF204KA11K6;-;Reliance Fixed Horizon Fund XXIX - Series 2 - Direct Plan - Dividend Payout Option;12.5884;02-Jul-2018")</f>
        <v>135160;INF204KA11K6;-;Reliance Fixed Horizon Fund XXIX - Series 2 - Direct Plan - Dividend Payout Option;12.5884;02-Jul-2018</v>
      </c>
      <c r="B14145" s="1"/>
    </row>
    <row r="14146">
      <c r="A14146" s="1" t="str">
        <f>IFERROR(__xludf.DUMMYFUNCTION("""COMPUTED_VALUE"""),"135158;INF204KA10K8;-;Reliance Fixed Horizon Fund XXIX - Series 2 - Direct Plan - Growth Option;12.5884;02-Jul-2018")</f>
        <v>135158;INF204KA10K8;-;Reliance Fixed Horizon Fund XXIX - Series 2 - Direct Plan - Growth Option;12.5884;02-Jul-2018</v>
      </c>
      <c r="B14146" s="1"/>
    </row>
    <row r="14147">
      <c r="A14147" s="1" t="str">
        <f>IFERROR(__xludf.DUMMYFUNCTION("""COMPUTED_VALUE"""),"135159;INF204KA19J1;-;Reliance Fixed Horizon Fund XXIX - Series 2 - Regular Plan - Dividend Payout Option;12.4765;02-Jul-2018")</f>
        <v>135159;INF204KA19J1;-;Reliance Fixed Horizon Fund XXIX - Series 2 - Regular Plan - Dividend Payout Option;12.4765;02-Jul-2018</v>
      </c>
      <c r="B14147" s="1"/>
    </row>
    <row r="14148">
      <c r="A14148" s="1" t="str">
        <f>IFERROR(__xludf.DUMMYFUNCTION("""COMPUTED_VALUE"""),"135157;INF204KA18J3;-;Reliance Fixed Horizon Fund XXIX - Series 2 - Regular Plan - Growth Option;12.4766;02-Jul-2018")</f>
        <v>135157;INF204KA18J3;-;Reliance Fixed Horizon Fund XXIX - Series 2 - Regular Plan - Growth Option;12.4766;02-Jul-2018</v>
      </c>
      <c r="B14148" s="1"/>
    </row>
    <row r="14149">
      <c r="A14149" s="1" t="str">
        <f>IFERROR(__xludf.DUMMYFUNCTION("""COMPUTED_VALUE"""),"135095;INF204KA17J5;-;Reliance Fixed Horizon Fund XXIX - Series 1- Direct Plan-Dividend Payout Option;12.6354;02-Jul-2018")</f>
        <v>135095;INF204KA17J5;-;Reliance Fixed Horizon Fund XXIX - Series 1- Direct Plan-Dividend Payout Option;12.6354;02-Jul-2018</v>
      </c>
      <c r="B14149" s="1"/>
    </row>
    <row r="14150">
      <c r="A14150" s="1" t="str">
        <f>IFERROR(__xludf.DUMMYFUNCTION("""COMPUTED_VALUE"""),"135094;INF204KA16J7;-;Reliance Fixed Horizon Fund XXIX - Series 1- Direct Plan-Growth Option;12.6354;02-Jul-2018")</f>
        <v>135094;INF204KA16J7;-;Reliance Fixed Horizon Fund XXIX - Series 1- Direct Plan-Growth Option;12.6354;02-Jul-2018</v>
      </c>
      <c r="B14150" s="1"/>
    </row>
    <row r="14151">
      <c r="A14151" s="1" t="str">
        <f>IFERROR(__xludf.DUMMYFUNCTION("""COMPUTED_VALUE"""),"135093;INF204KA15J9;-;Reliance Fixed Horizon Fund XXIX - Series 1- Dividend Payout Option;12.512;02-Jul-2018")</f>
        <v>135093;INF204KA15J9;-;Reliance Fixed Horizon Fund XXIX - Series 1- Dividend Payout Option;12.512;02-Jul-2018</v>
      </c>
      <c r="B14151" s="1"/>
    </row>
    <row r="14152">
      <c r="A14152" s="1" t="str">
        <f>IFERROR(__xludf.DUMMYFUNCTION("""COMPUTED_VALUE"""),"135092;INF204KA14J2;-;Reliance Fixed Horizon Fund XXIX - Series 1- Growth Option;12.5119;02-Jul-2018")</f>
        <v>135092;INF204KA14J2;-;Reliance Fixed Horizon Fund XXIX - Series 1- Growth Option;12.5119;02-Jul-2018</v>
      </c>
      <c r="B14152" s="1"/>
    </row>
    <row r="14153">
      <c r="A14153" s="1" t="str">
        <f>IFERROR(__xludf.DUMMYFUNCTION("""COMPUTED_VALUE"""),"135482;INF204KA13P1;-;Reliance Fixed Horizon Fund XXIX- Series 10- Direct Plan-Growth Option;12.3143;02-Jul-2018")</f>
        <v>135482;INF204KA13P1;-;Reliance Fixed Horizon Fund XXIX- Series 10- Direct Plan-Growth Option;12.3143;02-Jul-2018</v>
      </c>
      <c r="B14153" s="1"/>
    </row>
    <row r="14154">
      <c r="A14154" s="1" t="str">
        <f>IFERROR(__xludf.DUMMYFUNCTION("""COMPUTED_VALUE"""),"135483;INF204KA14P9;-;Reliance Fixed Horizon Fund XXIX- Series 10- Dividend Payout Option;12.2836;02-Jul-2018")</f>
        <v>135483;INF204KA14P9;-;Reliance Fixed Horizon Fund XXIX- Series 10- Dividend Payout Option;12.2836;02-Jul-2018</v>
      </c>
      <c r="B14154" s="1"/>
    </row>
    <row r="14155">
      <c r="A14155" s="1" t="str">
        <f>IFERROR(__xludf.DUMMYFUNCTION("""COMPUTED_VALUE"""),"135481;INF204KA11P5;-;Reliance Fixed Horizon Fund XXIX- Series 10- Growth Option;12.2836;02-Jul-2018")</f>
        <v>135481;INF204KA11P5;-;Reliance Fixed Horizon Fund XXIX- Series 10- Growth Option;12.2836;02-Jul-2018</v>
      </c>
      <c r="B14155" s="1"/>
    </row>
    <row r="14156">
      <c r="A14156" s="1" t="str">
        <f>IFERROR(__xludf.DUMMYFUNCTION("""COMPUTED_VALUE"""),"135561;INF204KA16Q2;-;Reliance Fixed Horizon Fund XXIX- Series 13- Direct Plan-Dividend Payout Option;12.6627;02-Jul-2018")</f>
        <v>135561;INF204KA16Q2;-;Reliance Fixed Horizon Fund XXIX- Series 13- Direct Plan-Dividend Payout Option;12.6627;02-Jul-2018</v>
      </c>
      <c r="B14156" s="1"/>
    </row>
    <row r="14157">
      <c r="A14157" s="1" t="str">
        <f>IFERROR(__xludf.DUMMYFUNCTION("""COMPUTED_VALUE"""),"135559;INF204KA15Q4;-;Reliance Fixed Horizon Fund XXIX- Series 13- Direct Plan-Growth Option;12.6627;02-Jul-2018")</f>
        <v>135559;INF204KA15Q4;-;Reliance Fixed Horizon Fund XXIX- Series 13- Direct Plan-Growth Option;12.6627;02-Jul-2018</v>
      </c>
      <c r="B14157" s="1"/>
    </row>
    <row r="14158">
      <c r="A14158" s="1" t="str">
        <f>IFERROR(__xludf.DUMMYFUNCTION("""COMPUTED_VALUE"""),"135562;INF204KA14Q7;-;Reliance Fixed Horizon Fund XXIX- Series 13- Dividend Payout Option;12.4821;02-Jul-2018")</f>
        <v>135562;INF204KA14Q7;-;Reliance Fixed Horizon Fund XXIX- Series 13- Dividend Payout Option;12.4821;02-Jul-2018</v>
      </c>
      <c r="B14158" s="1"/>
    </row>
    <row r="14159">
      <c r="A14159" s="1" t="str">
        <f>IFERROR(__xludf.DUMMYFUNCTION("""COMPUTED_VALUE"""),"135560;INF204KA13Q9;-;Reliance Fixed Horizon Fund XXIX- Series 13- Growth Option;12.482;02-Jul-2018")</f>
        <v>135560;INF204KA13Q9;-;Reliance Fixed Horizon Fund XXIX- Series 13- Growth Option;12.482;02-Jul-2018</v>
      </c>
      <c r="B14159" s="1"/>
    </row>
    <row r="14160">
      <c r="A14160" s="1" t="str">
        <f>IFERROR(__xludf.DUMMYFUNCTION("""COMPUTED_VALUE"""),"135636;INF204KA10R3;-;Reliance Fixed Horizon Fund XXIX- Series 14- Direct Plan-Dividend Payout Option;12.2988;02-Jul-2018")</f>
        <v>135636;INF204KA10R3;-;Reliance Fixed Horizon Fund XXIX- Series 14- Direct Plan-Dividend Payout Option;12.2988;02-Jul-2018</v>
      </c>
      <c r="B14160" s="1"/>
    </row>
    <row r="14161">
      <c r="A14161" s="1" t="str">
        <f>IFERROR(__xludf.DUMMYFUNCTION("""COMPUTED_VALUE"""),"135635;INF204KA17Q0;-;Reliance Fixed Horizon Fund XXIX- Series 14- Growth Option;12.2602;02-Jul-2018")</f>
        <v>135635;INF204KA17Q0;-;Reliance Fixed Horizon Fund XXIX- Series 14- Growth Option;12.2602;02-Jul-2018</v>
      </c>
      <c r="B14161" s="1"/>
    </row>
    <row r="14162">
      <c r="A14162" s="1" t="str">
        <f>IFERROR(__xludf.DUMMYFUNCTION("""COMPUTED_VALUE"""),"135637;INF204KA19Q6;-;Reliance Fixed Horizon Fund XXIX- Series 14-Direct Plan-Growth Option;12.2989;02-Jul-2018")</f>
        <v>135637;INF204KA19Q6;-;Reliance Fixed Horizon Fund XXIX- Series 14-Direct Plan-Growth Option;12.2989;02-Jul-2018</v>
      </c>
      <c r="B14162" s="1"/>
    </row>
    <row r="14163">
      <c r="A14163" s="1" t="str">
        <f>IFERROR(__xludf.DUMMYFUNCTION("""COMPUTED_VALUE"""),"135634;INF204KA18Q8;-;Reliance Fixed Horizon Fund XXIX- Series 14-Dividend Payout Option;12.2602;02-Jul-2018")</f>
        <v>135634;INF204KA18Q8;-;Reliance Fixed Horizon Fund XXIX- Series 14-Dividend Payout Option;12.2602;02-Jul-2018</v>
      </c>
      <c r="B14163" s="1"/>
    </row>
    <row r="14164">
      <c r="A14164" s="1" t="str">
        <f>IFERROR(__xludf.DUMMYFUNCTION("""COMPUTED_VALUE"""),"135768;INF204KA12S7;-;Reliance Fixed Horizon Fund XXIX- Series 16- Direct Plan-Dividend Payout Option;10.0000;09-Apr-2019")</f>
        <v>135768;INF204KA12S7;-;Reliance Fixed Horizon Fund XXIX- Series 16- Direct Plan-Dividend Payout Option;10.0000;09-Apr-2019</v>
      </c>
      <c r="B14164" s="1"/>
    </row>
    <row r="14165">
      <c r="A14165" s="1" t="str">
        <f>IFERROR(__xludf.DUMMYFUNCTION("""COMPUTED_VALUE"""),"135767;INF204KA11S9;-;Reliance Fixed Horizon Fund XXIX- Series 16- Direct Plan-Growth Option;12.9634;09-Apr-2019")</f>
        <v>135767;INF204KA11S9;-;Reliance Fixed Horizon Fund XXIX- Series 16- Direct Plan-Growth Option;12.9634;09-Apr-2019</v>
      </c>
      <c r="B14165" s="1"/>
    </row>
    <row r="14166">
      <c r="A14166" s="1" t="str">
        <f>IFERROR(__xludf.DUMMYFUNCTION("""COMPUTED_VALUE"""),"135770;INF204KA19R4;-;Reliance Fixed Horizon Fund XXIX- Series 16- Growth Option;12.8052;09-Apr-2019")</f>
        <v>135770;INF204KA19R4;-;Reliance Fixed Horizon Fund XXIX- Series 16- Growth Option;12.8052;09-Apr-2019</v>
      </c>
      <c r="B14166" s="1"/>
    </row>
    <row r="14167">
      <c r="A14167" s="1" t="str">
        <f>IFERROR(__xludf.DUMMYFUNCTION("""COMPUTED_VALUE"""),"135867;INF204KA10T9;-;Reliance Fixed Horizon Fund XXIX- Series 18- Direct Plan-Dividend Payout Option;10.0000;06-Jun-2019")</f>
        <v>135867;INF204KA10T9;-;Reliance Fixed Horizon Fund XXIX- Series 18- Direct Plan-Dividend Payout Option;10.0000;06-Jun-2019</v>
      </c>
      <c r="B14167" s="1"/>
    </row>
    <row r="14168">
      <c r="A14168" s="1" t="str">
        <f>IFERROR(__xludf.DUMMYFUNCTION("""COMPUTED_VALUE"""),"135866;INF204KA19S2;-;Reliance Fixed Horizon Fund XXIX- Series 18- Direct Plan-Growth Option;12.0769;06-Jun-2019")</f>
        <v>135866;INF204KA19S2;-;Reliance Fixed Horizon Fund XXIX- Series 18- Direct Plan-Growth Option;12.0769;06-Jun-2019</v>
      </c>
      <c r="B14168" s="1"/>
    </row>
    <row r="14169">
      <c r="A14169" s="1" t="str">
        <f>IFERROR(__xludf.DUMMYFUNCTION("""COMPUTED_VALUE"""),"135865;INF204KA18S4;-;Reliance Fixed Horizon Fund XXIX- Series 18- Dividend Payout Option;10.0000;06-Jun-2019")</f>
        <v>135865;INF204KA18S4;-;Reliance Fixed Horizon Fund XXIX- Series 18- Dividend Payout Option;10.0000;06-Jun-2019</v>
      </c>
      <c r="B14169" s="1"/>
    </row>
    <row r="14170">
      <c r="A14170" s="1" t="str">
        <f>IFERROR(__xludf.DUMMYFUNCTION("""COMPUTED_VALUE"""),"135864;INF204KA17S6;-;Reliance Fixed Horizon Fund XXIX- Series 18- Growth Option;11.9741;06-Jun-2019")</f>
        <v>135864;INF204KA17S6;-;Reliance Fixed Horizon Fund XXIX- Series 18- Growth Option;11.9741;06-Jun-2019</v>
      </c>
      <c r="B14170" s="1"/>
    </row>
    <row r="14171">
      <c r="A14171" s="1" t="str">
        <f>IFERROR(__xludf.DUMMYFUNCTION("""COMPUTED_VALUE"""),"135886;INF204KA14T1;-;Reliance Fixed Horizon Fund XXIX- Series 19- Direct Plan-Dividend Payout Option;10.0000;09-Apr-2019")</f>
        <v>135886;INF204KA14T1;-;Reliance Fixed Horizon Fund XXIX- Series 19- Direct Plan-Dividend Payout Option;10.0000;09-Apr-2019</v>
      </c>
      <c r="B14171" s="1"/>
    </row>
    <row r="14172">
      <c r="A14172" s="1" t="str">
        <f>IFERROR(__xludf.DUMMYFUNCTION("""COMPUTED_VALUE"""),"135885;INF204KA13T3;-;Reliance Fixed Horizon Fund XXIX- Series 19- Direct Plan-Growth Option;12.9527;09-Apr-2019")</f>
        <v>135885;INF204KA13T3;-;Reliance Fixed Horizon Fund XXIX- Series 19- Direct Plan-Growth Option;12.9527;09-Apr-2019</v>
      </c>
      <c r="B14172" s="1"/>
    </row>
    <row r="14173">
      <c r="A14173" s="1" t="str">
        <f>IFERROR(__xludf.DUMMYFUNCTION("""COMPUTED_VALUE"""),"135887;INF204KA12T5;-;Reliance Fixed Horizon Fund XXIX- Series 19- Dividend Payout Option;10.0000;09-Apr-2019")</f>
        <v>135887;INF204KA12T5;-;Reliance Fixed Horizon Fund XXIX- Series 19- Dividend Payout Option;10.0000;09-Apr-2019</v>
      </c>
      <c r="B14173" s="1"/>
    </row>
    <row r="14174">
      <c r="A14174" s="1" t="str">
        <f>IFERROR(__xludf.DUMMYFUNCTION("""COMPUTED_VALUE"""),"135884;INF204KA11T7;-;Reliance Fixed Horizon Fund XXIX- Series 19- Growth Option;12.9101;09-Apr-2019")</f>
        <v>135884;INF204KA11T7;-;Reliance Fixed Horizon Fund XXIX- Series 19- Growth Option;12.9101;09-Apr-2019</v>
      </c>
      <c r="B14174" s="1"/>
    </row>
    <row r="14175">
      <c r="A14175" s="1" t="str">
        <f>IFERROR(__xludf.DUMMYFUNCTION("""COMPUTED_VALUE"""),"135941;INF204KA17T4;-;Reliance Fixed Horizon Fund XXIX- Series 20- Direct Plan-Growth Option;12.9116;09-Apr-2019")</f>
        <v>135941;INF204KA17T4;-;Reliance Fixed Horizon Fund XXIX- Series 20- Direct Plan-Growth Option;12.9116;09-Apr-2019</v>
      </c>
      <c r="B14175" s="1"/>
    </row>
    <row r="14176">
      <c r="A14176" s="1" t="str">
        <f>IFERROR(__xludf.DUMMYFUNCTION("""COMPUTED_VALUE"""),"135939;INF204KA16T6;-;Reliance Fixed Horizon Fund XXIX- Series 20- Dividend Payout Option;10.0000;09-Apr-2019")</f>
        <v>135939;INF204KA16T6;-;Reliance Fixed Horizon Fund XXIX- Series 20- Dividend Payout Option;10.0000;09-Apr-2019</v>
      </c>
      <c r="B14176" s="1"/>
    </row>
    <row r="14177">
      <c r="A14177" s="1" t="str">
        <f>IFERROR(__xludf.DUMMYFUNCTION("""COMPUTED_VALUE"""),"135938;INF204KA15T8;-;Reliance Fixed Horizon Fund XXIX- Series 20- Growth Option;12.8375;09-Apr-2019")</f>
        <v>135938;INF204KA15T8;-;Reliance Fixed Horizon Fund XXIX- Series 20- Growth Option;12.8375;09-Apr-2019</v>
      </c>
      <c r="B14177" s="1"/>
    </row>
    <row r="14178">
      <c r="A14178" s="1" t="str">
        <f>IFERROR(__xludf.DUMMYFUNCTION("""COMPUTED_VALUE"""),"135214;INF204KA15K7;-;Reliance Fixed Horizon Fund XXIX- Series 3- Direct Plan-Dividend Payout Option;13.0151;02-Jul-2018")</f>
        <v>135214;INF204KA15K7;-;Reliance Fixed Horizon Fund XXIX- Series 3- Direct Plan-Dividend Payout Option;13.0151;02-Jul-2018</v>
      </c>
      <c r="B14178" s="1"/>
    </row>
    <row r="14179">
      <c r="A14179" s="1" t="str">
        <f>IFERROR(__xludf.DUMMYFUNCTION("""COMPUTED_VALUE"""),"135215;INF204KA14K0;-;Reliance Fixed Horizon Fund XXIX- Series 3- Direct Plan-Growth Option;13.0151;02-Jul-2018")</f>
        <v>135215;INF204KA14K0;-;Reliance Fixed Horizon Fund XXIX- Series 3- Direct Plan-Growth Option;13.0151;02-Jul-2018</v>
      </c>
      <c r="B14179" s="1"/>
    </row>
    <row r="14180">
      <c r="A14180" s="1" t="str">
        <f>IFERROR(__xludf.DUMMYFUNCTION("""COMPUTED_VALUE"""),"135213;INF204KA13K2;-;Reliance Fixed Horizon Fund XXIX- Series 3- Dividend Payout Option;12.8156;02-Jul-2018")</f>
        <v>135213;INF204KA13K2;-;Reliance Fixed Horizon Fund XXIX- Series 3- Dividend Payout Option;12.8156;02-Jul-2018</v>
      </c>
      <c r="B14180" s="1"/>
    </row>
    <row r="14181">
      <c r="A14181" s="1" t="str">
        <f>IFERROR(__xludf.DUMMYFUNCTION("""COMPUTED_VALUE"""),"135212;INF204KA12K4;-;Reliance Fixed Horizon Fund XXIX- Series 3- Growth Option;12.8156;02-Jul-2018")</f>
        <v>135212;INF204KA12K4;-;Reliance Fixed Horizon Fund XXIX- Series 3- Growth Option;12.8156;02-Jul-2018</v>
      </c>
      <c r="B14181" s="1"/>
    </row>
    <row r="14182">
      <c r="A14182" s="1" t="str">
        <f>IFERROR(__xludf.DUMMYFUNCTION("""COMPUTED_VALUE"""),"135334;INF204KA16M1;-;Reliance Fixed Horizon Fund XXIX- Series 6- Direct Plan - Growth Option;12.532;02-Jul-2018")</f>
        <v>135334;INF204KA16M1;-;Reliance Fixed Horizon Fund XXIX- Series 6- Direct Plan - Growth Option;12.532;02-Jul-2018</v>
      </c>
      <c r="B14182" s="1"/>
    </row>
    <row r="14183">
      <c r="A14183" s="1" t="str">
        <f>IFERROR(__xludf.DUMMYFUNCTION("""COMPUTED_VALUE"""),"135333;INF204KA15M3;-;Reliance Fixed Horizon Fund XXIX- Series 6- Dividend Payout Option;12.4969;02-Jul-2018")</f>
        <v>135333;INF204KA15M3;-;Reliance Fixed Horizon Fund XXIX- Series 6- Dividend Payout Option;12.4969;02-Jul-2018</v>
      </c>
      <c r="B14183" s="1"/>
    </row>
    <row r="14184">
      <c r="A14184" s="1" t="str">
        <f>IFERROR(__xludf.DUMMYFUNCTION("""COMPUTED_VALUE"""),"135332;INF204KA14M6;-;Reliance Fixed Horizon Fund XXIX- Series 6- Growth Option;12.4969;02-Jul-2018")</f>
        <v>135332;INF204KA14M6;-;Reliance Fixed Horizon Fund XXIX- Series 6- Growth Option;12.4969;02-Jul-2018</v>
      </c>
      <c r="B14184" s="1"/>
    </row>
    <row r="14185">
      <c r="A14185" s="1" t="str">
        <f>IFERROR(__xludf.DUMMYFUNCTION("""COMPUTED_VALUE"""),"135393;INF204KA14N4;-;Reliance Fixed Horizon Fund XXIX- Series 7- Direct Plan- Growth Option;12.8946;02-Jul-2018")</f>
        <v>135393;INF204KA14N4;-;Reliance Fixed Horizon Fund XXIX- Series 7- Direct Plan- Growth Option;12.8946;02-Jul-2018</v>
      </c>
      <c r="B14185" s="1"/>
    </row>
    <row r="14186">
      <c r="A14186" s="1" t="str">
        <f>IFERROR(__xludf.DUMMYFUNCTION("""COMPUTED_VALUE"""),"135395;INF204KA15N1;-;Reliance Fixed Horizon Fund XXIX- Series 7- Dividend Payout Option;12.6837;02-Jul-2018")</f>
        <v>135395;INF204KA15N1;-;Reliance Fixed Horizon Fund XXIX- Series 7- Dividend Payout Option;12.6837;02-Jul-2018</v>
      </c>
      <c r="B14186" s="1"/>
    </row>
    <row r="14187">
      <c r="A14187" s="1" t="str">
        <f>IFERROR(__xludf.DUMMYFUNCTION("""COMPUTED_VALUE"""),"135392;INF204KA16N9;-;Reliance Fixed Horizon Fund XXIX- Series 7- Growth Option;12.6837;02-Jul-2018")</f>
        <v>135392;INF204KA16N9;-;Reliance Fixed Horizon Fund XXIX- Series 7- Growth Option;12.6837;02-Jul-2018</v>
      </c>
      <c r="B14187" s="1"/>
    </row>
    <row r="14188">
      <c r="A14188" s="1" t="str">
        <f>IFERROR(__xludf.DUMMYFUNCTION("""COMPUTED_VALUE"""),"135415;INF204KA18N5;-;Reliance Fixed Horizon Fund XXIX- Series 8- Direct Plan-Growth Option;12.4927;02-Jul-2018")</f>
        <v>135415;INF204KA18N5;-;Reliance Fixed Horizon Fund XXIX- Series 8- Direct Plan-Growth Option;12.4927;02-Jul-2018</v>
      </c>
      <c r="B14188" s="1"/>
    </row>
    <row r="14189">
      <c r="A14189" s="1" t="str">
        <f>IFERROR(__xludf.DUMMYFUNCTION("""COMPUTED_VALUE"""),"135414;INF204KA19N3;-;Reliance Fixed Horizon Fund XXIX- Series 8- Dividend Payout Option;12.4582;02-Jul-2018")</f>
        <v>135414;INF204KA19N3;-;Reliance Fixed Horizon Fund XXIX- Series 8- Dividend Payout Option;12.4582;02-Jul-2018</v>
      </c>
      <c r="B14189" s="1"/>
    </row>
    <row r="14190">
      <c r="A14190" s="1" t="str">
        <f>IFERROR(__xludf.DUMMYFUNCTION("""COMPUTED_VALUE"""),"135417;INF204KA10O0;-;Reliance Fixed Horizon Fund XXIX- Series 8- Growth Option;12.4582;02-Jul-2018")</f>
        <v>135417;INF204KA10O0;-;Reliance Fixed Horizon Fund XXIX- Series 8- Growth Option;12.4582;02-Jul-2018</v>
      </c>
      <c r="B14190" s="1"/>
    </row>
    <row r="14191">
      <c r="A14191" s="1" t="str">
        <f>IFERROR(__xludf.DUMMYFUNCTION("""COMPUTED_VALUE"""),"135441;INF204KA18O3;-;Reliance Fixed Horizon Fund XXIX- Series 9- Direct Plan-Growth Option;12.3826;02-Jul-2018")</f>
        <v>135441;INF204KA18O3;-;Reliance Fixed Horizon Fund XXIX- Series 9- Direct Plan-Growth Option;12.3826;02-Jul-2018</v>
      </c>
      <c r="B14191" s="1"/>
    </row>
    <row r="14192">
      <c r="A14192" s="1" t="str">
        <f>IFERROR(__xludf.DUMMYFUNCTION("""COMPUTED_VALUE"""),"135440;INF204KA19O1;-;Reliance Fixed Horizon Fund XXIX- Series 9- Dividend Payout Option;12.3487;02-Jul-2018")</f>
        <v>135440;INF204KA19O1;-;Reliance Fixed Horizon Fund XXIX- Series 9- Dividend Payout Option;12.3487;02-Jul-2018</v>
      </c>
      <c r="B14192" s="1"/>
    </row>
    <row r="14193">
      <c r="A14193" s="1" t="str">
        <f>IFERROR(__xludf.DUMMYFUNCTION("""COMPUTED_VALUE"""),"135442;INF204KA10P7;-;Reliance Fixed Horizon Fund XXIX- Series 9- Growth Option;12.3487;02-Jul-2018")</f>
        <v>135442;INF204KA10P7;-;Reliance Fixed Horizon Fund XXIX- Series 9- Growth Option;12.3487;02-Jul-2018</v>
      </c>
      <c r="B14193" s="1"/>
    </row>
    <row r="14194">
      <c r="A14194" s="1" t="str">
        <f>IFERROR(__xludf.DUMMYFUNCTION("""COMPUTED_VALUE"""),"129150;INF204KA1NQ5;-;Reliance Fixed Horizon Fund XXVI- Series 15- Direct Plan - Dividend Payout Option;10.0000;18-May-2016")</f>
        <v>129150;INF204KA1NQ5;-;Reliance Fixed Horizon Fund XXVI- Series 15- Direct Plan - Dividend Payout Option;10.0000;18-May-2016</v>
      </c>
      <c r="B14194" s="1"/>
    </row>
    <row r="14195">
      <c r="A14195" s="1" t="str">
        <f>IFERROR(__xludf.DUMMYFUNCTION("""COMPUTED_VALUE"""),"129149;INF204KA1NP7;-;Reliance Fixed Horizon Fund XXVI- Series 15- Direct Plan - Growth Option;12.9118;24-May-2017")</f>
        <v>129149;INF204KA1NP7;-;Reliance Fixed Horizon Fund XXVI- Series 15- Direct Plan - Growth Option;12.9118;24-May-2017</v>
      </c>
      <c r="B14195" s="1"/>
    </row>
    <row r="14196">
      <c r="A14196" s="1" t="str">
        <f>IFERROR(__xludf.DUMMYFUNCTION("""COMPUTED_VALUE"""),"129148;INF204KA1NO0;-;Reliance Fixed Horizon Fund XXVI- Series 15- Dividend payout Option;10.0000;24-May-2017")</f>
        <v>129148;INF204KA1NO0;-;Reliance Fixed Horizon Fund XXVI- Series 15- Dividend payout Option;10.0000;24-May-2017</v>
      </c>
      <c r="B14196" s="1"/>
    </row>
    <row r="14197">
      <c r="A14197" s="1" t="str">
        <f>IFERROR(__xludf.DUMMYFUNCTION("""COMPUTED_VALUE"""),"129147;INF204KA1NN2;-;Reliance Fixed Horizon Fund XXVI- Series 15- Growth Option;12.8329;24-May-2017")</f>
        <v>129147;INF204KA1NN2;-;Reliance Fixed Horizon Fund XXVI- Series 15- Growth Option;12.8329;24-May-2017</v>
      </c>
      <c r="B14197" s="1"/>
    </row>
    <row r="14198">
      <c r="A14198" s="1" t="str">
        <f>IFERROR(__xludf.DUMMYFUNCTION("""COMPUTED_VALUE"""),"129510;INF204KA1OJ8;-;Reliance Fixed Horizon Fund XXVI- Series 20- Direct Plan- Growth Option;12.8141;24-May-2017")</f>
        <v>129510;INF204KA1OJ8;-;Reliance Fixed Horizon Fund XXVI- Series 20- Direct Plan- Growth Option;12.8141;24-May-2017</v>
      </c>
      <c r="B14198" s="1"/>
    </row>
    <row r="14199">
      <c r="A14199" s="1" t="str">
        <f>IFERROR(__xludf.DUMMYFUNCTION("""COMPUTED_VALUE"""),"129509;INF204KA1OI0;-;Reliance Fixed Horizon Fund XXVI- Series 20- Dividend Payout Option;10.0000;19-May-2015")</f>
        <v>129509;INF204KA1OI0;-;Reliance Fixed Horizon Fund XXVI- Series 20- Dividend Payout Option;10.0000;19-May-2015</v>
      </c>
      <c r="B14199" s="1"/>
    </row>
    <row r="14200">
      <c r="A14200" s="1" t="str">
        <f>IFERROR(__xludf.DUMMYFUNCTION("""COMPUTED_VALUE"""),"129508;INF204KA1OH2;-;Reliance Fixed Horizon Fund XXVI- Series 20- Growth Option;12.7728;24-May-2017")</f>
        <v>129508;INF204KA1OH2;-;Reliance Fixed Horizon Fund XXVI- Series 20- Growth Option;12.7728;24-May-2017</v>
      </c>
      <c r="B14200" s="1"/>
    </row>
    <row r="14201">
      <c r="A14201" s="1" t="str">
        <f>IFERROR(__xludf.DUMMYFUNCTION("""COMPUTED_VALUE"""),"129562;INF204KA1OS9;-;Reliance Fixed Horizon Fund XXVI- Series 22- Direct Plan- Dividend Payout Option;10.0000;24-May-2017")</f>
        <v>129562;INF204KA1OS9;-;Reliance Fixed Horizon Fund XXVI- Series 22- Direct Plan- Dividend Payout Option;10.0000;24-May-2017</v>
      </c>
      <c r="B14201" s="1"/>
    </row>
    <row r="14202">
      <c r="A14202" s="1" t="str">
        <f>IFERROR(__xludf.DUMMYFUNCTION("""COMPUTED_VALUE"""),"129563;INF204KA1OR1;-;Reliance Fixed Horizon Fund XXVI- Series 22- Direct Plan- Growth Option;12.8098;24-May-2017")</f>
        <v>129563;INF204KA1OR1;-;Reliance Fixed Horizon Fund XXVI- Series 22- Direct Plan- Growth Option;12.8098;24-May-2017</v>
      </c>
      <c r="B14202" s="1"/>
    </row>
    <row r="14203">
      <c r="A14203" s="1" t="str">
        <f>IFERROR(__xludf.DUMMYFUNCTION("""COMPUTED_VALUE"""),"129561;INF204KA1OQ3;-;Reliance Fixed Horizon Fund XXVI- Series 22- Dividend Payout Option;10.0000;21-May-2015")</f>
        <v>129561;INF204KA1OQ3;-;Reliance Fixed Horizon Fund XXVI- Series 22- Dividend Payout Option;10.0000;21-May-2015</v>
      </c>
      <c r="B14203" s="1"/>
    </row>
    <row r="14204">
      <c r="A14204" s="1" t="str">
        <f>IFERROR(__xludf.DUMMYFUNCTION("""COMPUTED_VALUE"""),"129560;INF204KA1OP5;-;Reliance Fixed Horizon Fund XXVI- Series 22- Growth Option;12.7691;24-May-2017")</f>
        <v>129560;INF204KA1OP5;-;Reliance Fixed Horizon Fund XXVI- Series 22- Growth Option;12.7691;24-May-2017</v>
      </c>
      <c r="B14204" s="1"/>
    </row>
    <row r="14205">
      <c r="A14205" s="1" t="str">
        <f>IFERROR(__xludf.DUMMYFUNCTION("""COMPUTED_VALUE"""),"129684;INF204KA1PE6;-;Reliance Fixed Horizon Fund- XXVI- Series 24- Direct Plan- Dividend Payout Option;10.0000;26-May-2015")</f>
        <v>129684;INF204KA1PE6;-;Reliance Fixed Horizon Fund- XXVI- Series 24- Direct Plan- Dividend Payout Option;10.0000;26-May-2015</v>
      </c>
      <c r="B14205" s="1"/>
    </row>
    <row r="14206">
      <c r="A14206" s="1" t="str">
        <f>IFERROR(__xludf.DUMMYFUNCTION("""COMPUTED_VALUE"""),"129686;INF204KA1PD8;-;Reliance Fixed Horizon Fund- XXVI- Series 24- Direct Plan- Growth Option;12.7991;31-May-2017")</f>
        <v>129686;INF204KA1PD8;-;Reliance Fixed Horizon Fund- XXVI- Series 24- Direct Plan- Growth Option;12.7991;31-May-2017</v>
      </c>
      <c r="B14206" s="1"/>
    </row>
    <row r="14207">
      <c r="A14207" s="1" t="str">
        <f>IFERROR(__xludf.DUMMYFUNCTION("""COMPUTED_VALUE"""),"129685;INF204KA1PC0;-;Reliance Fixed Horizon Fund- XXVI- Series 24- Dividend Payout Option;10.0000;26-May-2015")</f>
        <v>129685;INF204KA1PC0;-;Reliance Fixed Horizon Fund- XXVI- Series 24- Dividend Payout Option;10.0000;26-May-2015</v>
      </c>
      <c r="B14207" s="1"/>
    </row>
    <row r="14208">
      <c r="A14208" s="1" t="str">
        <f>IFERROR(__xludf.DUMMYFUNCTION("""COMPUTED_VALUE"""),"129683;INF204KA1PB2;-;Reliance Fixed Horizon Fund- XXVI- Series 24- Growth Option;12.7605;31-May-2017")</f>
        <v>129683;INF204KA1PB2;-;Reliance Fixed Horizon Fund- XXVI- Series 24- Growth Option;12.7605;31-May-2017</v>
      </c>
      <c r="B14208" s="1"/>
    </row>
    <row r="14209">
      <c r="A14209" s="1" t="str">
        <f>IFERROR(__xludf.DUMMYFUNCTION("""COMPUTED_VALUE"""),"129838;INF204KA1PQ0;-;Reliance Fixed Horizon Fund XXVI- Series 26- Direct Plan- Dividend Payout Option;10.0000;13-Jun-2017")</f>
        <v>129838;INF204KA1PQ0;-;Reliance Fixed Horizon Fund XXVI- Series 26- Direct Plan- Dividend Payout Option;10.0000;13-Jun-2017</v>
      </c>
      <c r="B14209" s="1"/>
    </row>
    <row r="14210">
      <c r="A14210" s="1" t="str">
        <f>IFERROR(__xludf.DUMMYFUNCTION("""COMPUTED_VALUE"""),"129837;INF204KA1PP2;-;Reliance Fixed Horizon Fund XXVI- Series 26- Direct Plan- Growth Option;13.2179;13-Jun-2017")</f>
        <v>129837;INF204KA1PP2;-;Reliance Fixed Horizon Fund XXVI- Series 26- Direct Plan- Growth Option;13.2179;13-Jun-2017</v>
      </c>
      <c r="B14210" s="1"/>
    </row>
    <row r="14211">
      <c r="A14211" s="1" t="str">
        <f>IFERROR(__xludf.DUMMYFUNCTION("""COMPUTED_VALUE"""),"129840;INF204KA1PO5;-;Reliance Fixed Horizon Fund XXVI- Series 26- Dividend Payout Option;10.0000;13-Jun-2017")</f>
        <v>129840;INF204KA1PO5;-;Reliance Fixed Horizon Fund XXVI- Series 26- Dividend Payout Option;10.0000;13-Jun-2017</v>
      </c>
      <c r="B14211" s="1"/>
    </row>
    <row r="14212">
      <c r="A14212" s="1" t="str">
        <f>IFERROR(__xludf.DUMMYFUNCTION("""COMPUTED_VALUE"""),"129839;INF204KA1PN7;-;Reliance Fixed Horizon Fund- XXVI- Series 26- Growth Option;12.9998;13-Jun-2017")</f>
        <v>129839;INF204KA1PN7;-;Reliance Fixed Horizon Fund- XXVI- Series 26- Growth Option;12.9998;13-Jun-2017</v>
      </c>
      <c r="B14212" s="1"/>
    </row>
    <row r="14213">
      <c r="A14213" s="1" t="str">
        <f>IFERROR(__xludf.DUMMYFUNCTION("""COMPUTED_VALUE"""),"130266;INF204KA1QZ9;-;Reliance Fixed Horizon Fund XXVI- Series 32- Direct Plan- Growth Option;13.0877;24-Jul-2017")</f>
        <v>130266;INF204KA1QZ9;-;Reliance Fixed Horizon Fund XXVI- Series 32- Direct Plan- Growth Option;13.0877;24-Jul-2017</v>
      </c>
      <c r="B14213" s="1"/>
    </row>
    <row r="14214">
      <c r="A14214" s="1" t="str">
        <f>IFERROR(__xludf.DUMMYFUNCTION("""COMPUTED_VALUE"""),"130265;INF204KA1QY2;-;Reliance Fixed Horizon Fund XXVI- Series 32- Dividend Payout Option;10.0000;03-Jul-2017")</f>
        <v>130265;INF204KA1QY2;-;Reliance Fixed Horizon Fund XXVI- Series 32- Dividend Payout Option;10.0000;03-Jul-2017</v>
      </c>
      <c r="B14214" s="1"/>
    </row>
    <row r="14215">
      <c r="A14215" s="1" t="str">
        <f>IFERROR(__xludf.DUMMYFUNCTION("""COMPUTED_VALUE"""),"130264;INF204KA1QX4;-;Reliance Fixed Horizon Fund XXVI- Series 32- Growth Option;12.8918;24-Jul-2017")</f>
        <v>130264;INF204KA1QX4;-;Reliance Fixed Horizon Fund XXVI- Series 32- Growth Option;12.8918;24-Jul-2017</v>
      </c>
      <c r="B14215" s="1"/>
    </row>
    <row r="14216">
      <c r="A14216" s="1" t="str">
        <f>IFERROR(__xludf.DUMMYFUNCTION("""COMPUTED_VALUE"""),"130414;INF204KA1RC6;-;Reliance Fixed Horizon Fund XXVI Series- 33- Dividend Payout Option;10.0000;24-Jul-2017")</f>
        <v>130414;INF204KA1RC6;-;Reliance Fixed Horizon Fund XXVI Series- 33- Dividend Payout Option;10.0000;24-Jul-2017</v>
      </c>
      <c r="B14216" s="1"/>
    </row>
    <row r="14217">
      <c r="A14217" s="1" t="str">
        <f>IFERROR(__xludf.DUMMYFUNCTION("""COMPUTED_VALUE"""),"130416;INF204KA1RE2;-;Reliance Fixed Horizon Fund XXVI- Series 33- Direct Plan- Dividend Payout Option;10.0000;24-Jul-2017")</f>
        <v>130416;INF204KA1RE2;-;Reliance Fixed Horizon Fund XXVI- Series 33- Direct Plan- Dividend Payout Option;10.0000;24-Jul-2017</v>
      </c>
      <c r="B14217" s="1"/>
    </row>
    <row r="14218">
      <c r="A14218" s="1" t="str">
        <f>IFERROR(__xludf.DUMMYFUNCTION("""COMPUTED_VALUE"""),"130415;INF204KA1RD4;-;Reliance Fixed Horizon Fund XXVI- Series 33- Direct Plan- Growth Option;12.7717;24-Jul-2017")</f>
        <v>130415;INF204KA1RD4;-;Reliance Fixed Horizon Fund XXVI- Series 33- Direct Plan- Growth Option;12.7717;24-Jul-2017</v>
      </c>
      <c r="B14218" s="1"/>
    </row>
    <row r="14219">
      <c r="A14219" s="1" t="str">
        <f>IFERROR(__xludf.DUMMYFUNCTION("""COMPUTED_VALUE"""),"130413;INF204KA1RB8;-;Reliance Fixed Horizon Fund XXVI- Series 33- Growth Option;12.7283;24-Jul-2017")</f>
        <v>130413;INF204KA1RB8;-;Reliance Fixed Horizon Fund XXVI- Series 33- Growth Option;12.7283;24-Jul-2017</v>
      </c>
      <c r="B14219" s="1"/>
    </row>
    <row r="14220">
      <c r="A14220" s="1" t="str">
        <f>IFERROR(__xludf.DUMMYFUNCTION("""COMPUTED_VALUE"""),"130633;INF204KA1RM5;-;Reliance Fixed Horizon Fund XXVI-  Series 35- Direct Plan- Growth Option;13.1481;08-Aug-2017")</f>
        <v>130633;INF204KA1RM5;-;Reliance Fixed Horizon Fund XXVI-  Series 35- Direct Plan- Growth Option;13.1481;08-Aug-2017</v>
      </c>
      <c r="B14220" s="1"/>
    </row>
    <row r="14221">
      <c r="A14221" s="1" t="str">
        <f>IFERROR(__xludf.DUMMYFUNCTION("""COMPUTED_VALUE"""),"130634;INF204KA1RN3;-;Reliance Fixed Horizon Fund XXVI- Series 35- Direct Plan- Dividend Payout Option;10.0000;08-Aug-2017")</f>
        <v>130634;INF204KA1RN3;-;Reliance Fixed Horizon Fund XXVI- Series 35- Direct Plan- Dividend Payout Option;10.0000;08-Aug-2017</v>
      </c>
      <c r="B14221" s="1"/>
    </row>
    <row r="14222">
      <c r="A14222" s="1" t="str">
        <f>IFERROR(__xludf.DUMMYFUNCTION("""COMPUTED_VALUE"""),"130636;INF204KA1RK9;-;Reliance Fixed Horizon Fund XXVI- Series 35- Dividend payout option;10.0000;08-Aug-2017")</f>
        <v>130636;INF204KA1RK9;-;Reliance Fixed Horizon Fund XXVI- Series 35- Dividend payout option;10.0000;08-Aug-2017</v>
      </c>
      <c r="B14222" s="1"/>
    </row>
    <row r="14223">
      <c r="A14223" s="1" t="str">
        <f>IFERROR(__xludf.DUMMYFUNCTION("""COMPUTED_VALUE"""),"130635;INF204KA1RJ1;-;Reliance Fixed Horizon Fund XXVI- Series 35- Growth Option;12.9773;08-Aug-2017")</f>
        <v>130635;INF204KA1RJ1;-;Reliance Fixed Horizon Fund XXVI- Series 35- Growth Option;12.9773;08-Aug-2017</v>
      </c>
      <c r="B14223" s="1"/>
    </row>
    <row r="14224">
      <c r="A14224" s="1" t="str">
        <f>IFERROR(__xludf.DUMMYFUNCTION("""COMPUTED_VALUE"""),"132861;INF204KA1WZ7;-;Reliance Fixed Horizon Fund XXVII- Series 11- Direct Plan-Dividend Payout Option;10.0000;29-Nov-2017")</f>
        <v>132861;INF204KA1WZ7;-;Reliance Fixed Horizon Fund XXVII- Series 11- Direct Plan-Dividend Payout Option;10.0000;29-Nov-2017</v>
      </c>
      <c r="B14224" s="1"/>
    </row>
    <row r="14225">
      <c r="A14225" s="1" t="str">
        <f>IFERROR(__xludf.DUMMYFUNCTION("""COMPUTED_VALUE"""),"132860;INF204KA1WY0;-;Reliance Fixed Horizon Fund XXVII- Series 11- Direct Plan-Growth Option;12.8157;29-Nov-2017")</f>
        <v>132860;INF204KA1WY0;-;Reliance Fixed Horizon Fund XXVII- Series 11- Direct Plan-Growth Option;12.8157;29-Nov-2017</v>
      </c>
      <c r="B14225" s="1"/>
    </row>
    <row r="14226">
      <c r="A14226" s="1" t="str">
        <f>IFERROR(__xludf.DUMMYFUNCTION("""COMPUTED_VALUE"""),"132859;INF204KA1WW4;-;Reliance Fixed Horizon Fund XXVII- Series 11- Growth Option;12.7816;29-Nov-2017")</f>
        <v>132859;INF204KA1WW4;-;Reliance Fixed Horizon Fund XXVII- Series 11- Growth Option;12.7816;29-Nov-2017</v>
      </c>
      <c r="B14226" s="1"/>
    </row>
    <row r="14227">
      <c r="A14227" s="1" t="str">
        <f>IFERROR(__xludf.DUMMYFUNCTION("""COMPUTED_VALUE"""),"133202;INF204KA1YT6;-;Reliance Fixed Horizon Fund XXVII- Series 15- Direct Plan- Dividend Payout Option;10.0000;05-Apr-2018")</f>
        <v>133202;INF204KA1YT6;-;Reliance Fixed Horizon Fund XXVII- Series 15- Direct Plan- Dividend Payout Option;10.0000;05-Apr-2018</v>
      </c>
      <c r="B14227" s="1"/>
    </row>
    <row r="14228">
      <c r="A14228" s="1" t="str">
        <f>IFERROR(__xludf.DUMMYFUNCTION("""COMPUTED_VALUE"""),"133200;INF204KA1YS8;-;Reliance Fixed Horizon Fund XXVII- Series 15- Direct Plan- Growth Option;13.2003;05-Apr-2018")</f>
        <v>133200;INF204KA1YS8;-;Reliance Fixed Horizon Fund XXVII- Series 15- Direct Plan- Growth Option;13.2003;05-Apr-2018</v>
      </c>
      <c r="B14228" s="1"/>
    </row>
    <row r="14229">
      <c r="A14229" s="1" t="str">
        <f>IFERROR(__xludf.DUMMYFUNCTION("""COMPUTED_VALUE"""),"133201;INF204KA1YR0;-;Reliance Fixed Horizon Fund XXVII- Series 15- Dividend Payout Option;10.0000;05-Apr-2018")</f>
        <v>133201;INF204KA1YR0;-;Reliance Fixed Horizon Fund XXVII- Series 15- Dividend Payout Option;10.0000;05-Apr-2018</v>
      </c>
      <c r="B14229" s="1"/>
    </row>
    <row r="14230">
      <c r="A14230" s="1" t="str">
        <f>IFERROR(__xludf.DUMMYFUNCTION("""COMPUTED_VALUE"""),"133199;INF204KA1YQ2;-;Reliance Fixed Horizon Fund XXVII- Series 15- Growth Option;13.0012;05-Apr-2018")</f>
        <v>133199;INF204KA1YQ2;-;Reliance Fixed Horizon Fund XXVII- Series 15- Growth Option;13.0012;05-Apr-2018</v>
      </c>
      <c r="B14230" s="1"/>
    </row>
    <row r="14231">
      <c r="A14231" s="1" t="str">
        <f>IFERROR(__xludf.DUMMYFUNCTION("""COMPUTED_VALUE"""),"130877;INF204KA1SS0;-;Reliance Fixed Horizon Fund XXVII- Series 3- Direct Plan- Dividend Payout Option;10.0000;11-Sep-2017")</f>
        <v>130877;INF204KA1SS0;-;Reliance Fixed Horizon Fund XXVII- Series 3- Direct Plan- Dividend Payout Option;10.0000;11-Sep-2017</v>
      </c>
      <c r="B14231" s="1"/>
    </row>
    <row r="14232">
      <c r="A14232" s="1" t="str">
        <f>IFERROR(__xludf.DUMMYFUNCTION("""COMPUTED_VALUE"""),"130875;INF204KA1SR2;-;Reliance Fixed Horizon Fund XXVII- Series 3- Direct Plan- Growth Option;13.2709;11-Sep-2017")</f>
        <v>130875;INF204KA1SR2;-;Reliance Fixed Horizon Fund XXVII- Series 3- Direct Plan- Growth Option;13.2709;11-Sep-2017</v>
      </c>
      <c r="B14232" s="1"/>
    </row>
    <row r="14233">
      <c r="A14233" s="1" t="str">
        <f>IFERROR(__xludf.DUMMYFUNCTION("""COMPUTED_VALUE"""),"130876;INF204KA1SQ4;-;Reliance Fixed Horizon Fund XXVII- Series 3- Dividend Payout option;10.0000;11-Sep-2017")</f>
        <v>130876;INF204KA1SQ4;-;Reliance Fixed Horizon Fund XXVII- Series 3- Dividend Payout option;10.0000;11-Sep-2017</v>
      </c>
      <c r="B14233" s="1"/>
    </row>
    <row r="14234">
      <c r="A14234" s="1" t="str">
        <f>IFERROR(__xludf.DUMMYFUNCTION("""COMPUTED_VALUE"""),"130874;INF204KA1SP6;-;Reliance Fixed Horizon Fund XXVII- Series 3- Growth Option;13.0896;11-Sep-2017")</f>
        <v>130874;INF204KA1SP6;-;Reliance Fixed Horizon Fund XXVII- Series 3- Growth Option;13.0896;11-Sep-2017</v>
      </c>
      <c r="B14234" s="1"/>
    </row>
    <row r="14235">
      <c r="A14235" s="1" t="str">
        <f>IFERROR(__xludf.DUMMYFUNCTION("""COMPUTED_VALUE"""),"131078;INF204KA1TH1;-;Reliance Fixed Horizon Fund XXVII- Series 4- Direct Plan- Growth Option;13.0113;14-Sep-2017")</f>
        <v>131078;INF204KA1TH1;-;Reliance Fixed Horizon Fund XXVII- Series 4- Direct Plan- Growth Option;13.0113;14-Sep-2017</v>
      </c>
      <c r="B14235" s="1"/>
    </row>
    <row r="14236">
      <c r="A14236" s="1" t="str">
        <f>IFERROR(__xludf.DUMMYFUNCTION("""COMPUTED_VALUE"""),"131077;INF204KA1TG3;-;Reliance Fixed Horizon Fund XXVII- Series 4- Dividend Payout Option;10.0000;14-Sep-2017")</f>
        <v>131077;INF204KA1TG3;-;Reliance Fixed Horizon Fund XXVII- Series 4- Dividend Payout Option;10.0000;14-Sep-2017</v>
      </c>
      <c r="B14236" s="1"/>
    </row>
    <row r="14237">
      <c r="A14237" s="1" t="str">
        <f>IFERROR(__xludf.DUMMYFUNCTION("""COMPUTED_VALUE"""),"131076;INF204KA1TF5;-;Reliance Fixed Horizon Fund XXVII- Series 4- Growth Option;12.9710;14-Sep-2017")</f>
        <v>131076;INF204KA1TF5;-;Reliance Fixed Horizon Fund XXVII- Series 4- Growth Option;12.9710;14-Sep-2017</v>
      </c>
      <c r="B14237" s="1"/>
    </row>
    <row r="14238">
      <c r="A14238" s="1" t="str">
        <f>IFERROR(__xludf.DUMMYFUNCTION("""COMPUTED_VALUE"""),"131216;INF204KA1TZ3;-;Reliance Fixed Horizon Fund XXVII- Series 6- Direct Plan- Growth Option;13.0020;28-Sep-2017")</f>
        <v>131216;INF204KA1TZ3;-;Reliance Fixed Horizon Fund XXVII- Series 6- Direct Plan- Growth Option;13.0020;28-Sep-2017</v>
      </c>
      <c r="B14238" s="1"/>
    </row>
    <row r="14239">
      <c r="A14239" s="1" t="str">
        <f>IFERROR(__xludf.DUMMYFUNCTION("""COMPUTED_VALUE"""),"131218;INF204KA1TX8;-;Reliance Fixed Horizon Fund XXVII- Series 6- Growth Option;12.9689;28-Sep-2017")</f>
        <v>131218;INF204KA1TX8;-;Reliance Fixed Horizon Fund XXVII- Series 6- Growth Option;12.9689;28-Sep-2017</v>
      </c>
      <c r="B14239" s="1"/>
    </row>
    <row r="14240">
      <c r="A14240" s="1" t="str">
        <f>IFERROR(__xludf.DUMMYFUNCTION("""COMPUTED_VALUE"""),"131348;INF204KA1UU2;-;Reliance Fixed Horizon Fund XXVII- Series 7- Direct Plan- Growth Option;12.9698;28-Sep-2017")</f>
        <v>131348;INF204KA1UU2;-;Reliance Fixed Horizon Fund XXVII- Series 7- Direct Plan- Growth Option;12.9698;28-Sep-2017</v>
      </c>
      <c r="B14240" s="1"/>
    </row>
    <row r="14241">
      <c r="A14241" s="1" t="str">
        <f>IFERROR(__xludf.DUMMYFUNCTION("""COMPUTED_VALUE"""),"131347;INF204KA1UT4;-;Reliance Fixed Horizon Fund XXVII- Series 7- Dividend Payout Option;10.0000;28-Sep-2017")</f>
        <v>131347;INF204KA1UT4;-;Reliance Fixed Horizon Fund XXVII- Series 7- Dividend Payout Option;10.0000;28-Sep-2017</v>
      </c>
      <c r="B14241" s="1"/>
    </row>
    <row r="14242">
      <c r="A14242" s="1" t="str">
        <f>IFERROR(__xludf.DUMMYFUNCTION("""COMPUTED_VALUE"""),"131346;INF204KA1US6;-;Reliance Fixed Horizon Fund XXVII- Series 7- Growth Option;12.9309;28-Sep-2017")</f>
        <v>131346;INF204KA1US6;-;Reliance Fixed Horizon Fund XXVII- Series 7- Growth Option;12.9309;28-Sep-2017</v>
      </c>
      <c r="B14242" s="1"/>
    </row>
    <row r="14243">
      <c r="A14243" s="1" t="str">
        <f>IFERROR(__xludf.DUMMYFUNCTION("""COMPUTED_VALUE"""),"131538;INF204KA1UV0;-;Reliance Fixed Horizon Fund XXVII- Series 8- Direct Plan- Dividend Payout Option;10.0000;23-Oct-2017")</f>
        <v>131538;INF204KA1UV0;-;Reliance Fixed Horizon Fund XXVII- Series 8- Direct Plan- Dividend Payout Option;10.0000;23-Oct-2017</v>
      </c>
      <c r="B14243" s="1"/>
    </row>
    <row r="14244">
      <c r="A14244" s="1" t="str">
        <f>IFERROR(__xludf.DUMMYFUNCTION("""COMPUTED_VALUE"""),"131537;INF204KA1UU2;-;Reliance Fixed Horizon Fund XXVII- Series 8- Direct Plan- Growth Option;12.9193;23-Oct-2017")</f>
        <v>131537;INF204KA1UU2;-;Reliance Fixed Horizon Fund XXVII- Series 8- Direct Plan- Growth Option;12.9193;23-Oct-2017</v>
      </c>
      <c r="B14244" s="1"/>
    </row>
    <row r="14245">
      <c r="A14245" s="1" t="str">
        <f>IFERROR(__xludf.DUMMYFUNCTION("""COMPUTED_VALUE"""),"131539;INF204KA1US6;-;Reliance Fixed Horizon Fund XXVII- Series 8- Growth Option;12.8840;23-Oct-2017")</f>
        <v>131539;INF204KA1US6;-;Reliance Fixed Horizon Fund XXVII- Series 8- Growth Option;12.8840;23-Oct-2017</v>
      </c>
      <c r="B14245" s="1"/>
    </row>
    <row r="14246">
      <c r="A14246" s="1" t="str">
        <f>IFERROR(__xludf.DUMMYFUNCTION("""COMPUTED_VALUE"""),"131592;INF204KA1WJ1;-;Reliance Fixed Horizon Fund XXVII- Series 9- Direct Plan-Dividend Payout Option;10.0000;15-Nov-2017")</f>
        <v>131592;INF204KA1WJ1;-;Reliance Fixed Horizon Fund XXVII- Series 9- Direct Plan-Dividend Payout Option;10.0000;15-Nov-2017</v>
      </c>
      <c r="B14246" s="1"/>
    </row>
    <row r="14247">
      <c r="A14247" s="1" t="str">
        <f>IFERROR(__xludf.DUMMYFUNCTION("""COMPUTED_VALUE"""),"131593;INF204KA1WI3;-;Reliance Fixed Horizon Fund XXVII- Series 9- Direct Plan-Growth option;12.9023;15-Nov-2017")</f>
        <v>131593;INF204KA1WI3;-;Reliance Fixed Horizon Fund XXVII- Series 9- Direct Plan-Growth option;12.9023;15-Nov-2017</v>
      </c>
      <c r="B14247" s="1"/>
    </row>
    <row r="14248">
      <c r="A14248" s="1" t="str">
        <f>IFERROR(__xludf.DUMMYFUNCTION("""COMPUTED_VALUE"""),"131591;INF204KA1WH5;-;Reliance Fixed Horizon Fund XXVII- Series 9- Dividend Payout Option;10.0000;15-Nov-2017")</f>
        <v>131591;INF204KA1WH5;-;Reliance Fixed Horizon Fund XXVII- Series 9- Dividend Payout Option;10.0000;15-Nov-2017</v>
      </c>
      <c r="B14248" s="1"/>
    </row>
    <row r="14249">
      <c r="A14249" s="1" t="str">
        <f>IFERROR(__xludf.DUMMYFUNCTION("""COMPUTED_VALUE"""),"131590;INF204KA1WG7;-;Reliance Fixed Horizon Fund XXVII- Series 9- Growth option;12.6912;15-Nov-2017")</f>
        <v>131590;INF204KA1WG7;-;Reliance Fixed Horizon Fund XXVII- Series 9- Growth option;12.6912;15-Nov-2017</v>
      </c>
      <c r="B14249" s="1"/>
    </row>
    <row r="14250">
      <c r="A14250" s="1" t="str">
        <f>IFERROR(__xludf.DUMMYFUNCTION("""COMPUTED_VALUE"""),"134022;INF204KA1H35;-;Reliance Fixed Horizon Fund XXVIII- Series 10- Direct Plan- Growth Option;12.9157;26-Apr-2018")</f>
        <v>134022;INF204KA1H35;-;Reliance Fixed Horizon Fund XXVIII- Series 10- Direct Plan- Growth Option;12.9157;26-Apr-2018</v>
      </c>
      <c r="B14250" s="1"/>
    </row>
    <row r="14251">
      <c r="A14251" s="1" t="str">
        <f>IFERROR(__xludf.DUMMYFUNCTION("""COMPUTED_VALUE"""),"134025;INF204KA1H27;-;Reliance Fixed Horizon Fund XXVIII- Series 10- Dividend Payout Option;10.0000;26-Apr-2018")</f>
        <v>134025;INF204KA1H27;-;Reliance Fixed Horizon Fund XXVIII- Series 10- Dividend Payout Option;10.0000;26-Apr-2018</v>
      </c>
      <c r="B14251" s="1"/>
    </row>
    <row r="14252">
      <c r="A14252" s="1" t="str">
        <f>IFERROR(__xludf.DUMMYFUNCTION("""COMPUTED_VALUE"""),"134024;INF204KA1H19;-;Reliance Fixed Horizon Fund XXVIII- Series 10- Growth Option;12.8800;26-Apr-2018")</f>
        <v>134024;INF204KA1H19;-;Reliance Fixed Horizon Fund XXVIII- Series 10- Growth Option;12.8800;26-Apr-2018</v>
      </c>
      <c r="B14252" s="1"/>
    </row>
    <row r="14253">
      <c r="A14253" s="1" t="str">
        <f>IFERROR(__xludf.DUMMYFUNCTION("""COMPUTED_VALUE"""),"134180;INF204KA1J66;-;Reliance Fixed Horizon Fund XXVIII- Series 14- Direct Plan-Dividend Payout Option;10.0000;26-Apr-2018")</f>
        <v>134180;INF204KA1J66;-;Reliance Fixed Horizon Fund XXVIII- Series 14- Direct Plan-Dividend Payout Option;10.0000;26-Apr-2018</v>
      </c>
      <c r="B14253" s="1"/>
    </row>
    <row r="14254">
      <c r="A14254" s="1" t="str">
        <f>IFERROR(__xludf.DUMMYFUNCTION("""COMPUTED_VALUE"""),"134181;INF204KA1J58;-;Reliance Fixed Horizon Fund XXVIII- Series 14- Direct Plan-Growth Option;13.2676;26-Apr-2018")</f>
        <v>134181;INF204KA1J58;-;Reliance Fixed Horizon Fund XXVIII- Series 14- Direct Plan-Growth Option;13.2676;26-Apr-2018</v>
      </c>
      <c r="B14254" s="1"/>
    </row>
    <row r="14255">
      <c r="A14255" s="1" t="str">
        <f>IFERROR(__xludf.DUMMYFUNCTION("""COMPUTED_VALUE"""),"134182;INF204KA1J41;-;Reliance Fixed Horizon Fund XXVIII- Series 14- Dividend Payout Option;10.0000;26-Apr-2018")</f>
        <v>134182;INF204KA1J41;-;Reliance Fixed Horizon Fund XXVIII- Series 14- Dividend Payout Option;10.0000;26-Apr-2018</v>
      </c>
      <c r="B14255" s="1"/>
    </row>
    <row r="14256">
      <c r="A14256" s="1" t="str">
        <f>IFERROR(__xludf.DUMMYFUNCTION("""COMPUTED_VALUE"""),"134183;INF204KA1J33;-;Reliance Fixed Horizon Fund XXVIII- Series 14- Growth Option;13.1105;26-Apr-2018")</f>
        <v>134183;INF204KA1J33;-;Reliance Fixed Horizon Fund XXVIII- Series 14- Growth Option;13.1105;26-Apr-2018</v>
      </c>
      <c r="B14256" s="1"/>
    </row>
    <row r="14257">
      <c r="A14257" s="1" t="str">
        <f>IFERROR(__xludf.DUMMYFUNCTION("""COMPUTED_VALUE"""),"134590;INF204KA1V86;-;Reliance Fixed Horizon Fund XXVIII- Series 18- Direct Plan-Dividend Payout Option;10.0000;13-Jun-2018")</f>
        <v>134590;INF204KA1V86;-;Reliance Fixed Horizon Fund XXVIII- Series 18- Direct Plan-Dividend Payout Option;10.0000;13-Jun-2018</v>
      </c>
      <c r="B14257" s="1"/>
    </row>
    <row r="14258">
      <c r="A14258" s="1" t="str">
        <f>IFERROR(__xludf.DUMMYFUNCTION("""COMPUTED_VALUE"""),"134589;INF204KA1V78;-;Reliance Fixed Horizon Fund XXVIII- Series 18- Direct Plan-Growth Option;13.2326;13-Jun-2018")</f>
        <v>134589;INF204KA1V78;-;Reliance Fixed Horizon Fund XXVIII- Series 18- Direct Plan-Growth Option;13.2326;13-Jun-2018</v>
      </c>
      <c r="B14258" s="1"/>
    </row>
    <row r="14259">
      <c r="A14259" s="1" t="str">
        <f>IFERROR(__xludf.DUMMYFUNCTION("""COMPUTED_VALUE"""),"134591;INF204KA1V60;-;Reliance Fixed Horizon Fund XXVIII- Series 18- Dividend Payout Option;10.0000;13-Jun-2018")</f>
        <v>134591;INF204KA1V60;-;Reliance Fixed Horizon Fund XXVIII- Series 18- Dividend Payout Option;10.0000;13-Jun-2018</v>
      </c>
      <c r="B14259" s="1"/>
    </row>
    <row r="14260">
      <c r="A14260" s="1" t="str">
        <f>IFERROR(__xludf.DUMMYFUNCTION("""COMPUTED_VALUE"""),"134592;INF204KA1V52;-;Reliance Fixed Horizon Fund XXVIII- Series 18- Growth Option;13.0290;13-Jun-2018")</f>
        <v>134592;INF204KA1V52;-;Reliance Fixed Horizon Fund XXVIII- Series 18- Growth Option;13.0290;13-Jun-2018</v>
      </c>
      <c r="B14260" s="1"/>
    </row>
    <row r="14261">
      <c r="A14261" s="1" t="str">
        <f>IFERROR(__xludf.DUMMYFUNCTION("""COMPUTED_VALUE"""),"134637;INF204KA13A3;-;Reliance Fixed Horizon Fund XXVIII- Series 19- Direct Plan-Growth Option;12.8040;20-Jun-2018")</f>
        <v>134637;INF204KA13A3;-;Reliance Fixed Horizon Fund XXVIII- Series 19- Direct Plan-Growth Option;12.8040;20-Jun-2018</v>
      </c>
      <c r="B14261" s="1"/>
    </row>
    <row r="14262">
      <c r="A14262" s="1" t="str">
        <f>IFERROR(__xludf.DUMMYFUNCTION("""COMPUTED_VALUE"""),"134636;INF204KA12A5;-;Reliance Fixed Horizon Fund XXVIII- Series 19- Dividend Payout Option;10.0000;20-Jun-2018")</f>
        <v>134636;INF204KA12A5;-;Reliance Fixed Horizon Fund XXVIII- Series 19- Dividend Payout Option;10.0000;20-Jun-2018</v>
      </c>
      <c r="B14262" s="1"/>
    </row>
    <row r="14263">
      <c r="A14263" s="1" t="str">
        <f>IFERROR(__xludf.DUMMYFUNCTION("""COMPUTED_VALUE"""),"134635;INF204KA11A7;-;Reliance Fixed Horizon Fund XXVIII- Series 19- Growth Option;12.7866;20-Jun-2018")</f>
        <v>134635;INF204KA11A7;-;Reliance Fixed Horizon Fund XXVIII- Series 19- Growth Option;12.7866;20-Jun-2018</v>
      </c>
      <c r="B14263" s="1"/>
    </row>
    <row r="14264">
      <c r="A14264" s="1" t="str">
        <f>IFERROR(__xludf.DUMMYFUNCTION("""COMPUTED_VALUE"""),"133328;INF204KA1ZR7;-;Reliance Fixed Horizon Fund XXVIII- Series 2- Direct Plan-Dividend Payout Option;10.0000;16-Apr-2018")</f>
        <v>133328;INF204KA1ZR7;-;Reliance Fixed Horizon Fund XXVIII- Series 2- Direct Plan-Dividend Payout Option;10.0000;16-Apr-2018</v>
      </c>
      <c r="B14264" s="1"/>
    </row>
    <row r="14265">
      <c r="A14265" s="1" t="str">
        <f>IFERROR(__xludf.DUMMYFUNCTION("""COMPUTED_VALUE"""),"133327;INF204KA1ZQ9;-;Reliance Fixed Horizon Fund XXVIII- Series 2- Direct Plan-Growth Option;13.0748;16-Apr-2018")</f>
        <v>133327;INF204KA1ZQ9;-;Reliance Fixed Horizon Fund XXVIII- Series 2- Direct Plan-Growth Option;13.0748;16-Apr-2018</v>
      </c>
      <c r="B14265" s="1"/>
    </row>
    <row r="14266">
      <c r="A14266" s="1" t="str">
        <f>IFERROR(__xludf.DUMMYFUNCTION("""COMPUTED_VALUE"""),"133329;INF204KA1ZP1;-;Reliance Fixed Horizon Fund XXVIII- Series 2- Dividend Payout Option;10.0000;16-Apr-2018")</f>
        <v>133329;INF204KA1ZP1;-;Reliance Fixed Horizon Fund XXVIII- Series 2- Dividend Payout Option;10.0000;16-Apr-2018</v>
      </c>
      <c r="B14266" s="1"/>
    </row>
    <row r="14267">
      <c r="A14267" s="1" t="str">
        <f>IFERROR(__xludf.DUMMYFUNCTION("""COMPUTED_VALUE"""),"133326;INF204KA1ZO4;-;Reliance Fixed Horizon Fund XXVIII- Series 2- Growth Option;12.9427;16-Apr-2018")</f>
        <v>133326;INF204KA1ZO4;-;Reliance Fixed Horizon Fund XXVIII- Series 2- Growth Option;12.9427;16-Apr-2018</v>
      </c>
      <c r="B14267" s="1"/>
    </row>
    <row r="14268">
      <c r="A14268" s="1" t="str">
        <f>IFERROR(__xludf.DUMMYFUNCTION("""COMPUTED_VALUE"""),"133471;INF204KA1B15;-;Reliance Fixed Horizon Fund XXVIII- Series 4- Direct Plan-Dividend Payout Option;10.0000;24-Jan-2018")</f>
        <v>133471;INF204KA1B15;-;Reliance Fixed Horizon Fund XXVIII- Series 4- Direct Plan-Dividend Payout Option;10.0000;24-Jan-2018</v>
      </c>
      <c r="B14268" s="1"/>
    </row>
    <row r="14269">
      <c r="A14269" s="1" t="str">
        <f>IFERROR(__xludf.DUMMYFUNCTION("""COMPUTED_VALUE"""),"133473;INF204KA1A99;-;Reliance Fixed Horizon Fund XXVIII- Series 4- Dividend Payout Option;10.0000;24-Jan-2018")</f>
        <v>133473;INF204KA1A99;-;Reliance Fixed Horizon Fund XXVIII- Series 4- Dividend Payout Option;10.0000;24-Jan-2018</v>
      </c>
      <c r="B14269" s="1"/>
    </row>
    <row r="14270">
      <c r="A14270" s="1" t="str">
        <f>IFERROR(__xludf.DUMMYFUNCTION("""COMPUTED_VALUE"""),"133470;INF204KA1A81;-;Reliance Fixed Horizon Fund XXVIII- Series 4- Growth Option;12.6210;24-Jan-2018")</f>
        <v>133470;INF204KA1A81;-;Reliance Fixed Horizon Fund XXVIII- Series 4- Growth Option;12.6210;24-Jan-2018</v>
      </c>
      <c r="B14270" s="1"/>
    </row>
    <row r="14271">
      <c r="A14271" s="1" t="str">
        <f>IFERROR(__xludf.DUMMYFUNCTION("""COMPUTED_VALUE"""),"133472;INF204KA1B07;-;Reliance Fixed Horizon Fund XXVIII- Series 4-Direct Plan- Growth Option;12.7352;24-Jan-2018")</f>
        <v>133472;INF204KA1B07;-;Reliance Fixed Horizon Fund XXVIII- Series 4-Direct Plan- Growth Option;12.7352;24-Jan-2018</v>
      </c>
      <c r="B14271" s="1"/>
    </row>
    <row r="14272">
      <c r="A14272" s="1" t="str">
        <f>IFERROR(__xludf.DUMMYFUNCTION("""COMPUTED_VALUE"""),"133842;INF204KA1E95;-;Reliance Fixed Horizon Fund XXVIII- Series 7- Direct Plan-Growth Option;12.8023;05-Mar-2018")</f>
        <v>133842;INF204KA1E95;-;Reliance Fixed Horizon Fund XXVIII- Series 7- Direct Plan-Growth Option;12.8023;05-Mar-2018</v>
      </c>
      <c r="B14272" s="1"/>
    </row>
    <row r="14273">
      <c r="A14273" s="1" t="str">
        <f>IFERROR(__xludf.DUMMYFUNCTION("""COMPUTED_VALUE"""),"133841;INF204KA1E87;-;Reliance Fixed Horizon Fund XXVIII- Series 7- Dividend Payout Option;10.0000;05-Mar-2018")</f>
        <v>133841;INF204KA1E87;-;Reliance Fixed Horizon Fund XXVIII- Series 7- Dividend Payout Option;10.0000;05-Mar-2018</v>
      </c>
      <c r="B14273" s="1"/>
    </row>
    <row r="14274">
      <c r="A14274" s="1" t="str">
        <f>IFERROR(__xludf.DUMMYFUNCTION("""COMPUTED_VALUE"""),"133840;INF204KA1E79;-;Reliance Fixed Horizon Fund XXVIII- Series 7- Growth Option;12.7443;05-Mar-2018")</f>
        <v>133840;INF204KA1E79;-;Reliance Fixed Horizon Fund XXVIII- Series 7- Growth Option;12.7443;05-Mar-2018</v>
      </c>
      <c r="B14274" s="1"/>
    </row>
    <row r="14275">
      <c r="A14275" s="1" t="str">
        <f>IFERROR(__xludf.DUMMYFUNCTION("""COMPUTED_VALUE"""),"136003;INF204KA10U7;-;Reliance Fixed Horizon Fund XXX- Series 1 - Dividend Payout Option;10.0000;09-Apr-2019")</f>
        <v>136003;INF204KA10U7;-;Reliance Fixed Horizon Fund XXX- Series 1 - Dividend Payout Option;10.0000;09-Apr-2019</v>
      </c>
      <c r="B14275" s="1"/>
    </row>
    <row r="14276">
      <c r="A14276" s="1" t="str">
        <f>IFERROR(__xludf.DUMMYFUNCTION("""COMPUTED_VALUE"""),"136002;INF204KA12U3;-;Reliance Fixed Horizon Fund XXX- Series 1 -Direct Plan- Dividend Payout Option;10.0000;09-Apr-2019")</f>
        <v>136002;INF204KA12U3;-;Reliance Fixed Horizon Fund XXX- Series 1 -Direct Plan- Dividend Payout Option;10.0000;09-Apr-2019</v>
      </c>
      <c r="B14276" s="1"/>
    </row>
    <row r="14277">
      <c r="A14277" s="1" t="str">
        <f>IFERROR(__xludf.DUMMYFUNCTION("""COMPUTED_VALUE"""),"136000;INF204KA11U5;-;Reliance Fixed Horizon Fund XXX- Series 1 -Direct Plan- Growth Option;12.8829;09-Apr-2019")</f>
        <v>136000;INF204KA11U5;-;Reliance Fixed Horizon Fund XXX- Series 1 -Direct Plan- Growth Option;12.8829;09-Apr-2019</v>
      </c>
      <c r="B14277" s="1"/>
    </row>
    <row r="14278">
      <c r="A14278" s="1" t="str">
        <f>IFERROR(__xludf.DUMMYFUNCTION("""COMPUTED_VALUE"""),"136001;INF204KA19T0;-;Reliance Fixed Horizon Fund XXX- Series 1 -Growth Option;12.8307;09-Apr-2019")</f>
        <v>136001;INF204KA19T0;-;Reliance Fixed Horizon Fund XXX- Series 1 -Growth Option;12.8307;09-Apr-2019</v>
      </c>
      <c r="B14278" s="1"/>
    </row>
    <row r="14279">
      <c r="A14279" s="1" t="str">
        <f>IFERROR(__xludf.DUMMYFUNCTION("""COMPUTED_VALUE"""),"136512;INF204KB1114;-;Reliance Fixed Horizon Fund XXX- Series 13 -Direct Plan- Dividend Payout Option;10.0000;15-Apr-2019")</f>
        <v>136512;INF204KB1114;-;Reliance Fixed Horizon Fund XXX- Series 13 -Direct Plan- Dividend Payout Option;10.0000;15-Apr-2019</v>
      </c>
      <c r="B14279" s="1"/>
    </row>
    <row r="14280">
      <c r="A14280" s="1" t="str">
        <f>IFERROR(__xludf.DUMMYFUNCTION("""COMPUTED_VALUE"""),"136510;INF204KB1106;-;Reliance Fixed Horizon Fund XXX- Series 13 -Direct Plan- Growth Option;12.7301;15-Apr-2019")</f>
        <v>136510;INF204KB1106;-;Reliance Fixed Horizon Fund XXX- Series 13 -Direct Plan- Growth Option;12.7301;15-Apr-2019</v>
      </c>
      <c r="B14280" s="1"/>
    </row>
    <row r="14281">
      <c r="A14281" s="1" t="str">
        <f>IFERROR(__xludf.DUMMYFUNCTION("""COMPUTED_VALUE"""),"136509;INF204KB1098;-;Reliance Fixed Horizon Fund XXX- Series 13 -Dividend Payout Option;10.0000;15-Apr-2019")</f>
        <v>136509;INF204KB1098;-;Reliance Fixed Horizon Fund XXX- Series 13 -Dividend Payout Option;10.0000;15-Apr-2019</v>
      </c>
      <c r="B14281" s="1"/>
    </row>
    <row r="14282">
      <c r="A14282" s="1" t="str">
        <f>IFERROR(__xludf.DUMMYFUNCTION("""COMPUTED_VALUE"""),"136511;INF204KB1080;-;Reliance Fixed Horizon Fund XXX- Series 13 -Growth Option;12.6495;15-Apr-2019")</f>
        <v>136511;INF204KB1080;-;Reliance Fixed Horizon Fund XXX- Series 13 -Growth Option;12.6495;15-Apr-2019</v>
      </c>
      <c r="B14282" s="1"/>
    </row>
    <row r="14283">
      <c r="A14283" s="1" t="str">
        <f>IFERROR(__xludf.DUMMYFUNCTION("""COMPUTED_VALUE"""),"138227;INF204KA19Z7;-;Reliance Fixed Horizon Fund XXX- Series 14 - Growth Option;11.9604;06-Jun-2019")</f>
        <v>138227;INF204KA19Z7;-;Reliance Fixed Horizon Fund XXX- Series 14 - Growth Option;11.9604;06-Jun-2019</v>
      </c>
      <c r="B14283" s="1"/>
    </row>
    <row r="14284">
      <c r="A14284" s="1" t="str">
        <f>IFERROR(__xludf.DUMMYFUNCTION("""COMPUTED_VALUE"""),"138226;INF204KB1031;-;Reliance Fixed Horizon Fund XXX- Series 14 -Direct Plan- Dividend Payout Option;10.0000;06-Jun-2019")</f>
        <v>138226;INF204KB1031;-;Reliance Fixed Horizon Fund XXX- Series 14 -Direct Plan- Dividend Payout Option;10.0000;06-Jun-2019</v>
      </c>
      <c r="B14284" s="1"/>
    </row>
    <row r="14285">
      <c r="A14285" s="1" t="str">
        <f>IFERROR(__xludf.DUMMYFUNCTION("""COMPUTED_VALUE"""),"138224;INF204KB1023;-;Reliance Fixed Horizon Fund XXX- Series 14 -Direct Plan- Growth Option;12.1186;06-Jun-2019")</f>
        <v>138224;INF204KB1023;-;Reliance Fixed Horizon Fund XXX- Series 14 -Direct Plan- Growth Option;12.1186;06-Jun-2019</v>
      </c>
      <c r="B14285" s="1"/>
    </row>
    <row r="14286">
      <c r="A14286" s="1" t="str">
        <f>IFERROR(__xludf.DUMMYFUNCTION("""COMPUTED_VALUE"""),"138225;INF204KB1015;-;Reliance Fixed Horizon Fund XXX- Series 14 -Dividend Payout Option;10.0000;06-Jun-2019")</f>
        <v>138225;INF204KB1015;-;Reliance Fixed Horizon Fund XXX- Series 14 -Dividend Payout Option;10.0000;06-Jun-2019</v>
      </c>
      <c r="B14286" s="1"/>
    </row>
    <row r="14287">
      <c r="A14287" s="1" t="str">
        <f>IFERROR(__xludf.DUMMYFUNCTION("""COMPUTED_VALUE"""),"136030;INF204KA14U9;-;Reliance Fixed Horizon Fund XXX- Series 2 - Dividend Payout Option;10.0000;09-Apr-2019")</f>
        <v>136030;INF204KA14U9;-;Reliance Fixed Horizon Fund XXX- Series 2 - Dividend Payout Option;10.0000;09-Apr-2019</v>
      </c>
      <c r="B14287" s="1"/>
    </row>
    <row r="14288">
      <c r="A14288" s="1" t="str">
        <f>IFERROR(__xludf.DUMMYFUNCTION("""COMPUTED_VALUE"""),"136029;INF204KA13U1;-;Reliance Fixed Horizon Fund XXX- Series 2 - Growth Option;12.8290;09-Apr-2019")</f>
        <v>136029;INF204KA13U1;-;Reliance Fixed Horizon Fund XXX- Series 2 - Growth Option;12.8290;09-Apr-2019</v>
      </c>
      <c r="B14288" s="1"/>
    </row>
    <row r="14289">
      <c r="A14289" s="1" t="str">
        <f>IFERROR(__xludf.DUMMYFUNCTION("""COMPUTED_VALUE"""),"136028;INF204KA16U4;-;Reliance Fixed Horizon Fund XXX- Series 2 -Direct Plan- Dividend Payout Option;10.0000;09-Apr-2019")</f>
        <v>136028;INF204KA16U4;-;Reliance Fixed Horizon Fund XXX- Series 2 -Direct Plan- Dividend Payout Option;10.0000;09-Apr-2019</v>
      </c>
      <c r="B14289" s="1"/>
    </row>
    <row r="14290">
      <c r="A14290" s="1" t="str">
        <f>IFERROR(__xludf.DUMMYFUNCTION("""COMPUTED_VALUE"""),"136031;INF204KA15U6;-;Reliance Fixed Horizon Fund XXX- Series 2 -Direct Plan- Growth Option;12.8816;09-Apr-2019")</f>
        <v>136031;INF204KA15U6;-;Reliance Fixed Horizon Fund XXX- Series 2 -Direct Plan- Growth Option;12.8816;09-Apr-2019</v>
      </c>
      <c r="B14290" s="1"/>
    </row>
    <row r="14291">
      <c r="A14291" s="1" t="str">
        <f>IFERROR(__xludf.DUMMYFUNCTION("""COMPUTED_VALUE"""),"136125;INF204KA18V8;-;Reliance Fixed Horizon Fund XXX- Series 4 -Direct Plan- Dividend Payout Option;10.0000;09-Apr-2019")</f>
        <v>136125;INF204KA18V8;-;Reliance Fixed Horizon Fund XXX- Series 4 -Direct Plan- Dividend Payout Option;10.0000;09-Apr-2019</v>
      </c>
      <c r="B14291" s="1"/>
    </row>
    <row r="14292">
      <c r="A14292" s="1" t="str">
        <f>IFERROR(__xludf.DUMMYFUNCTION("""COMPUTED_VALUE"""),"136127;INF204KA17V0;-;Reliance Fixed Horizon Fund XXX- Series 4 -Direct Plan- Growth Option;12.8503;09-Apr-2019")</f>
        <v>136127;INF204KA17V0;-;Reliance Fixed Horizon Fund XXX- Series 4 -Direct Plan- Growth Option;12.8503;09-Apr-2019</v>
      </c>
      <c r="B14292" s="1"/>
    </row>
    <row r="14293">
      <c r="A14293" s="1" t="str">
        <f>IFERROR(__xludf.DUMMYFUNCTION("""COMPUTED_VALUE"""),"136126;INF204KA16V2;-;Reliance Fixed Horizon Fund XXX- Series 4 -Dividend Payout Option;10.0000;09-Apr-2019")</f>
        <v>136126;INF204KA16V2;-;Reliance Fixed Horizon Fund XXX- Series 4 -Dividend Payout Option;10.0000;09-Apr-2019</v>
      </c>
      <c r="B14293" s="1"/>
    </row>
    <row r="14294">
      <c r="A14294" s="1" t="str">
        <f>IFERROR(__xludf.DUMMYFUNCTION("""COMPUTED_VALUE"""),"136128;INF204KA15V4;-;Reliance Fixed Horizon Fund XXX- Series 4 -Growth Option;12.7923;09-Apr-2019")</f>
        <v>136128;INF204KA15V4;-;Reliance Fixed Horizon Fund XXX- Series 4 -Growth Option;12.7923;09-Apr-2019</v>
      </c>
      <c r="B14294" s="1"/>
    </row>
    <row r="14295">
      <c r="A14295" s="1" t="str">
        <f>IFERROR(__xludf.DUMMYFUNCTION("""COMPUTED_VALUE"""),"136435;INF204KA16Y6;-;Reliance Fixed Horizon Fund XXX- Series 10- Direct Plan-Dividend Payout Option;10.0000;15-Apr-2019")</f>
        <v>136435;INF204KA16Y6;-;Reliance Fixed Horizon Fund XXX- Series 10- Direct Plan-Dividend Payout Option;10.0000;15-Apr-2019</v>
      </c>
      <c r="B14295" s="1"/>
    </row>
    <row r="14296">
      <c r="A14296" s="1" t="str">
        <f>IFERROR(__xludf.DUMMYFUNCTION("""COMPUTED_VALUE"""),"136438;INF204KA15Y8;-;Reliance Fixed Horizon Fund XXX- Series 10- Direct Plan-Growth Option;12.8041;15-Apr-2019")</f>
        <v>136438;INF204KA15Y8;-;Reliance Fixed Horizon Fund XXX- Series 10- Direct Plan-Growth Option;12.8041;15-Apr-2019</v>
      </c>
      <c r="B14296" s="1"/>
    </row>
    <row r="14297">
      <c r="A14297" s="1" t="str">
        <f>IFERROR(__xludf.DUMMYFUNCTION("""COMPUTED_VALUE"""),"136436;INF204KA13Y3;-;Reliance Fixed Horizon Fund XXX- Series 10- Growth Option;12.7534;15-Apr-2019")</f>
        <v>136436;INF204KA13Y3;-;Reliance Fixed Horizon Fund XXX- Series 10- Growth Option;12.7534;15-Apr-2019</v>
      </c>
      <c r="B14297" s="1"/>
    </row>
    <row r="14298">
      <c r="A14298" s="1" t="str">
        <f>IFERROR(__xludf.DUMMYFUNCTION("""COMPUTED_VALUE"""),"136450;INF204KA10Z6;-;Reliance Fixed Horizon Fund XXX- Series 11- Direct Plan-Dividend Payout Option;10.0000;06-Jun-2019")</f>
        <v>136450;INF204KA10Z6;-;Reliance Fixed Horizon Fund XXX- Series 11- Direct Plan-Dividend Payout Option;10.0000;06-Jun-2019</v>
      </c>
      <c r="B14298" s="1"/>
    </row>
    <row r="14299">
      <c r="A14299" s="1" t="str">
        <f>IFERROR(__xludf.DUMMYFUNCTION("""COMPUTED_VALUE"""),"136452;INF204KA19Y0;-;Reliance Fixed Horizon Fund XXX- Series 11- Direct Plan-Growth Option;12.6560;06-Jun-2019")</f>
        <v>136452;INF204KA19Y0;-;Reliance Fixed Horizon Fund XXX- Series 11- Direct Plan-Growth Option;12.6560;06-Jun-2019</v>
      </c>
      <c r="B14299" s="1"/>
    </row>
    <row r="14300">
      <c r="A14300" s="1" t="str">
        <f>IFERROR(__xludf.DUMMYFUNCTION("""COMPUTED_VALUE"""),"136451;INF204KA18Y2;-;Reliance Fixed Horizon Fund XXX- Series 11- Dividend Payout Option;10.0000;06-Jun-2019")</f>
        <v>136451;INF204KA18Y2;-;Reliance Fixed Horizon Fund XXX- Series 11- Dividend Payout Option;10.0000;06-Jun-2019</v>
      </c>
      <c r="B14300" s="1"/>
    </row>
    <row r="14301">
      <c r="A14301" s="1" t="str">
        <f>IFERROR(__xludf.DUMMYFUNCTION("""COMPUTED_VALUE"""),"136449;INF204KA17Y4;-;Reliance Fixed Horizon Fund XXX- Series 11- Growth Option;12.3234;06-Jun-2019")</f>
        <v>136449;INF204KA17Y4;-;Reliance Fixed Horizon Fund XXX- Series 11- Growth Option;12.3234;06-Jun-2019</v>
      </c>
      <c r="B14301" s="1"/>
    </row>
    <row r="14302">
      <c r="A14302" s="1" t="str">
        <f>IFERROR(__xludf.DUMMYFUNCTION("""COMPUTED_VALUE"""),"136454;INF204KA14Z8;-;Reliance Fixed Horizon Fund XXX- Series 12- Direct Plan-Dividend Payout Option;12.7241;15-Apr-2019")</f>
        <v>136454;INF204KA14Z8;-;Reliance Fixed Horizon Fund XXX- Series 12- Direct Plan-Dividend Payout Option;12.7241;15-Apr-2019</v>
      </c>
      <c r="B14302" s="1"/>
    </row>
    <row r="14303">
      <c r="A14303" s="1" t="str">
        <f>IFERROR(__xludf.DUMMYFUNCTION("""COMPUTED_VALUE"""),"136453;INF204KA13Z0;-;Reliance Fixed Horizon Fund XXX- Series 12- Direct Plan-Growth Option;12.7571;15-Apr-2019")</f>
        <v>136453;INF204KA13Z0;-;Reliance Fixed Horizon Fund XXX- Series 12- Direct Plan-Growth Option;12.7571;15-Apr-2019</v>
      </c>
      <c r="B14303" s="1"/>
    </row>
    <row r="14304">
      <c r="A14304" s="1" t="str">
        <f>IFERROR(__xludf.DUMMYFUNCTION("""COMPUTED_VALUE"""),"136456;INF204KA12Z2;-;Reliance Fixed Horizon Fund XXX- Series 12- Dividend Payout Option;12.6266;15-Apr-2019")</f>
        <v>136456;INF204KA12Z2;-;Reliance Fixed Horizon Fund XXX- Series 12- Dividend Payout Option;12.6266;15-Apr-2019</v>
      </c>
      <c r="B14304" s="1"/>
    </row>
    <row r="14305">
      <c r="A14305" s="1" t="str">
        <f>IFERROR(__xludf.DUMMYFUNCTION("""COMPUTED_VALUE"""),"136455;INF204KA11Z4;-;Reliance Fixed Horizon Fund XXX- Series 12- Growth Option;12.6574;15-Apr-2019")</f>
        <v>136455;INF204KA11Z4;-;Reliance Fixed Horizon Fund XXX- Series 12- Growth Option;12.6574;15-Apr-2019</v>
      </c>
      <c r="B14305" s="1"/>
    </row>
    <row r="14306">
      <c r="A14306" s="1" t="str">
        <f>IFERROR(__xludf.DUMMYFUNCTION("""COMPUTED_VALUE"""),"139146;INF204KB1197;-;Reliance Fixed Horizon Fund XXX- Series 17- Direct Plan-Dividend Payout Option;10.0000;15-Apr-2019")</f>
        <v>139146;INF204KB1197;-;Reliance Fixed Horizon Fund XXX- Series 17- Direct Plan-Dividend Payout Option;10.0000;15-Apr-2019</v>
      </c>
      <c r="B14306" s="1"/>
    </row>
    <row r="14307">
      <c r="A14307" s="1" t="str">
        <f>IFERROR(__xludf.DUMMYFUNCTION("""COMPUTED_VALUE"""),"139145;INF204KB1189;-;Reliance Fixed Horizon Fund XXX- Series 17- Direct Plan-Growth Option;12.6742;15-Apr-2019")</f>
        <v>139145;INF204KB1189;-;Reliance Fixed Horizon Fund XXX- Series 17- Direct Plan-Growth Option;12.6742;15-Apr-2019</v>
      </c>
      <c r="B14307" s="1"/>
    </row>
    <row r="14308">
      <c r="A14308" s="1" t="str">
        <f>IFERROR(__xludf.DUMMYFUNCTION("""COMPUTED_VALUE"""),"139144;INF204KB1171;-;Reliance Fixed Horizon Fund XXX- Series 17- Dividend Payout Option;10.0000;15-Apr-2019")</f>
        <v>139144;INF204KB1171;-;Reliance Fixed Horizon Fund XXX- Series 17- Dividend Payout Option;10.0000;15-Apr-2019</v>
      </c>
      <c r="B14308" s="1"/>
    </row>
    <row r="14309">
      <c r="A14309" s="1" t="str">
        <f>IFERROR(__xludf.DUMMYFUNCTION("""COMPUTED_VALUE"""),"139143;INF204KB1163;-;Reliance Fixed Horizon Fund XXX- Series 17- Growth Option;12.5164;15-Apr-2019")</f>
        <v>139143;INF204KB1163;-;Reliance Fixed Horizon Fund XXX- Series 17- Growth Option;12.5164;15-Apr-2019</v>
      </c>
      <c r="B14309" s="1"/>
    </row>
    <row r="14310">
      <c r="A14310" s="1" t="str">
        <f>IFERROR(__xludf.DUMMYFUNCTION("""COMPUTED_VALUE"""),"139245;INF204KB1270;-;Reliance Fixed Horizon Fund XXX- Series 18- Direct Plan-Dividend Payout Option;10.0000;06-Jun-2019")</f>
        <v>139245;INF204KB1270;-;Reliance Fixed Horizon Fund XXX- Series 18- Direct Plan-Dividend Payout Option;10.0000;06-Jun-2019</v>
      </c>
      <c r="B14310" s="1"/>
    </row>
    <row r="14311">
      <c r="A14311" s="1" t="str">
        <f>IFERROR(__xludf.DUMMYFUNCTION("""COMPUTED_VALUE"""),"139247;INF204KB1262;-;Reliance Fixed Horizon Fund XXX- Series 18- Direct Plan-Growth Option;12.4432;06-Jun-2019")</f>
        <v>139247;INF204KB1262;-;Reliance Fixed Horizon Fund XXX- Series 18- Direct Plan-Growth Option;12.4432;06-Jun-2019</v>
      </c>
      <c r="B14311" s="1"/>
    </row>
    <row r="14312">
      <c r="A14312" s="1" t="str">
        <f>IFERROR(__xludf.DUMMYFUNCTION("""COMPUTED_VALUE"""),"139246;INF204KB1254;-;Reliance Fixed Horizon Fund XXX- Series 18- Dividend Payout Option;10.0000;06-Jun-2019")</f>
        <v>139246;INF204KB1254;-;Reliance Fixed Horizon Fund XXX- Series 18- Dividend Payout Option;10.0000;06-Jun-2019</v>
      </c>
      <c r="B14312" s="1"/>
    </row>
    <row r="14313">
      <c r="A14313" s="1" t="str">
        <f>IFERROR(__xludf.DUMMYFUNCTION("""COMPUTED_VALUE"""),"139248;INF204KB1247;-;Reliance Fixed Horizon Fund XXX- Series 18- Growth Option;12.2058;06-Jun-2019")</f>
        <v>139248;INF204KB1247;-;Reliance Fixed Horizon Fund XXX- Series 18- Growth Option;12.2058;06-Jun-2019</v>
      </c>
      <c r="B14313" s="1"/>
    </row>
    <row r="14314">
      <c r="A14314" s="1" t="str">
        <f>IFERROR(__xludf.DUMMYFUNCTION("""COMPUTED_VALUE"""),"139268;INF204KB1353;-;Reliance Fixed Horizon Fund XXX- Series 19- Direct Plan-Dividend Payout Option;10.0000;30-May-2019")</f>
        <v>139268;INF204KB1353;-;Reliance Fixed Horizon Fund XXX- Series 19- Direct Plan-Dividend Payout Option;10.0000;30-May-2019</v>
      </c>
      <c r="B14314" s="1"/>
    </row>
    <row r="14315">
      <c r="A14315" s="1" t="str">
        <f>IFERROR(__xludf.DUMMYFUNCTION("""COMPUTED_VALUE"""),"139267;INF204KB1346;-;Reliance Fixed Horizon Fund XXX- Series 19- Direct Plan-Growth Option;12.6621;30-May-2019")</f>
        <v>139267;INF204KB1346;-;Reliance Fixed Horizon Fund XXX- Series 19- Direct Plan-Growth Option;12.6621;30-May-2019</v>
      </c>
      <c r="B14315" s="1"/>
    </row>
    <row r="14316">
      <c r="A14316" s="1" t="str">
        <f>IFERROR(__xludf.DUMMYFUNCTION("""COMPUTED_VALUE"""),"139266;INF204KB1338;-;Reliance Fixed Horizon Fund XXX- Series 19- Dividend Payout Option;10.0000;30-May-2019")</f>
        <v>139266;INF204KB1338;-;Reliance Fixed Horizon Fund XXX- Series 19- Dividend Payout Option;10.0000;30-May-2019</v>
      </c>
      <c r="B14316" s="1"/>
    </row>
    <row r="14317">
      <c r="A14317" s="1" t="str">
        <f>IFERROR(__xludf.DUMMYFUNCTION("""COMPUTED_VALUE"""),"139265;INF204KB1320;-;Reliance Fixed Horizon Fund XXX- Series 19- Growth Option;12.6254;30-May-2019")</f>
        <v>139265;INF204KB1320;-;Reliance Fixed Horizon Fund XXX- Series 19- Growth Option;12.6254;30-May-2019</v>
      </c>
      <c r="B14317" s="1"/>
    </row>
    <row r="14318">
      <c r="A14318" s="1" t="str">
        <f>IFERROR(__xludf.DUMMYFUNCTION("""COMPUTED_VALUE"""),"139348;INF204KB1478;-;Reliance Fixed Horizon Fund XXX- Series 20- Direct Plan-Dividend Payout Option;10.0000;11-Jun-2019")</f>
        <v>139348;INF204KB1478;-;Reliance Fixed Horizon Fund XXX- Series 20- Direct Plan-Dividend Payout Option;10.0000;11-Jun-2019</v>
      </c>
      <c r="B14318" s="1"/>
    </row>
    <row r="14319">
      <c r="A14319" s="1" t="str">
        <f>IFERROR(__xludf.DUMMYFUNCTION("""COMPUTED_VALUE"""),"139347;INF204KB1460;-;Reliance Fixed Horizon Fund XXX- Series 20- Direct Plan-Growth Option;13.1824;11-Jun-2019")</f>
        <v>139347;INF204KB1460;-;Reliance Fixed Horizon Fund XXX- Series 20- Direct Plan-Growth Option;13.1824;11-Jun-2019</v>
      </c>
      <c r="B14319" s="1"/>
    </row>
    <row r="14320">
      <c r="A14320" s="1" t="str">
        <f>IFERROR(__xludf.DUMMYFUNCTION("""COMPUTED_VALUE"""),"139346;INF204KB1452;-;Reliance Fixed Horizon Fund XXX- Series 20- Dividend Payout Option;10.0000;11-Jun-2019")</f>
        <v>139346;INF204KB1452;-;Reliance Fixed Horizon Fund XXX- Series 20- Dividend Payout Option;10.0000;11-Jun-2019</v>
      </c>
      <c r="B14320" s="1"/>
    </row>
    <row r="14321">
      <c r="A14321" s="1" t="str">
        <f>IFERROR(__xludf.DUMMYFUNCTION("""COMPUTED_VALUE"""),"139345;INF204KB1445;-;Reliance Fixed Horizon Fund XXX- Series 20- Growth Option;12.9663;11-Jun-2019")</f>
        <v>139345;INF204KB1445;-;Reliance Fixed Horizon Fund XXX- Series 20- Growth Option;12.9663;11-Jun-2019</v>
      </c>
      <c r="B14321" s="1"/>
    </row>
    <row r="14322">
      <c r="A14322" s="1" t="str">
        <f>IFERROR(__xludf.DUMMYFUNCTION("""COMPUTED_VALUE"""),"136057;INF204KA14V7;-;Reliance Fixed Horizon Fund XXX-Series 3- Direct Plan-Dividend Payout Option;10.0000;10-Jun-2019")</f>
        <v>136057;INF204KA14V7;-;Reliance Fixed Horizon Fund XXX-Series 3- Direct Plan-Dividend Payout Option;10.0000;10-Jun-2019</v>
      </c>
      <c r="B14322" s="1"/>
    </row>
    <row r="14323">
      <c r="A14323" s="1" t="str">
        <f>IFERROR(__xludf.DUMMYFUNCTION("""COMPUTED_VALUE"""),"136058;INF204KA13V9;-;Reliance Fixed Horizon Fund XXX-Series 3- Direct Plan-Growth Option;13.5631;10-Jun-2019")</f>
        <v>136058;INF204KA13V9;-;Reliance Fixed Horizon Fund XXX-Series 3- Direct Plan-Growth Option;13.5631;10-Jun-2019</v>
      </c>
      <c r="B14323" s="1"/>
    </row>
    <row r="14324">
      <c r="A14324" s="1" t="str">
        <f>IFERROR(__xludf.DUMMYFUNCTION("""COMPUTED_VALUE"""),"136059;INF204KA12V1;-;Reliance Fixed Horizon Fund XXX-Series 3- Dividend Payout Option;10.0000;10-Jun-2019")</f>
        <v>136059;INF204KA12V1;-;Reliance Fixed Horizon Fund XXX-Series 3- Dividend Payout Option;10.0000;10-Jun-2019</v>
      </c>
      <c r="B14324" s="1"/>
    </row>
    <row r="14325">
      <c r="A14325" s="1" t="str">
        <f>IFERROR(__xludf.DUMMYFUNCTION("""COMPUTED_VALUE"""),"136056;INF204KA11V3;-;Reliance Fixed Horizon Fund XXX-Series 3- Growth Option;13.3375;10-Jun-2019")</f>
        <v>136056;INF204KA11V3;-;Reliance Fixed Horizon Fund XXX-Series 3- Growth Option;13.3375;10-Jun-2019</v>
      </c>
      <c r="B14325" s="1"/>
    </row>
    <row r="14326">
      <c r="A14326" s="1" t="str">
        <f>IFERROR(__xludf.DUMMYFUNCTION("""COMPUTED_VALUE"""),"136172;INF204KA12W9;-;Reliance Fixed Horizon Fund XXX- Series 5- Direct Plan- Growth Option;12.8444;09-Apr-2019")</f>
        <v>136172;INF204KA12W9;-;Reliance Fixed Horizon Fund XXX- Series 5- Direct Plan- Growth Option;12.8444;09-Apr-2019</v>
      </c>
      <c r="B14326" s="1"/>
    </row>
    <row r="14327">
      <c r="A14327" s="1" t="str">
        <f>IFERROR(__xludf.DUMMYFUNCTION("""COMPUTED_VALUE"""),"136173;INF204KA11W1;-;Reliance Fixed Horizon Fund XXX- Series 5- Direct Plan-Dividend Payout Option;12.7275;09-Apr-2019")</f>
        <v>136173;INF204KA11W1;-;Reliance Fixed Horizon Fund XXX- Series 5- Direct Plan-Dividend Payout Option;12.7275;09-Apr-2019</v>
      </c>
      <c r="B14327" s="1"/>
    </row>
    <row r="14328">
      <c r="A14328" s="1" t="str">
        <f>IFERROR(__xludf.DUMMYFUNCTION("""COMPUTED_VALUE"""),"136171;INF204KA10W3;-;Reliance Fixed Horizon Fund XXX- Series 5- Dividend Payout Option;12.6868;09-Apr-2019")</f>
        <v>136171;INF204KA10W3;-;Reliance Fixed Horizon Fund XXX- Series 5- Dividend Payout Option;12.6868;09-Apr-2019</v>
      </c>
      <c r="B14328" s="1"/>
    </row>
    <row r="14329">
      <c r="A14329" s="1" t="str">
        <f>IFERROR(__xludf.DUMMYFUNCTION("""COMPUTED_VALUE"""),"136170;INF204KA19V6;-;Reliance Fixed Horizon Fund XXX- Series 5- Growth Option;12.7994;09-Apr-2019")</f>
        <v>136170;INF204KA19V6;-;Reliance Fixed Horizon Fund XXX- Series 5- Growth Option;12.7994;09-Apr-2019</v>
      </c>
      <c r="B14329" s="1"/>
    </row>
    <row r="14330">
      <c r="A14330" s="1" t="str">
        <f>IFERROR(__xludf.DUMMYFUNCTION("""COMPUTED_VALUE"""),"136234;INF204KA16W0;-;Reliance Fixed Horizon Fund XXX- Series 6- Direct Plan-Dividend Payout Option;12.7438;15-Apr-2019")</f>
        <v>136234;INF204KA16W0;-;Reliance Fixed Horizon Fund XXX- Series 6- Direct Plan-Dividend Payout Option;12.7438;15-Apr-2019</v>
      </c>
      <c r="B14330" s="1"/>
    </row>
    <row r="14331">
      <c r="A14331" s="1" t="str">
        <f>IFERROR(__xludf.DUMMYFUNCTION("""COMPUTED_VALUE"""),"136233;INF204KA15W2;-;Reliance Fixed Horizon Fund XXX- Series 6- Direct Plan-Growth Option;12.8305;15-Apr-2019")</f>
        <v>136233;INF204KA15W2;-;Reliance Fixed Horizon Fund XXX- Series 6- Direct Plan-Growth Option;12.8305;15-Apr-2019</v>
      </c>
      <c r="B14331" s="1"/>
    </row>
    <row r="14332">
      <c r="A14332" s="1" t="str">
        <f>IFERROR(__xludf.DUMMYFUNCTION("""COMPUTED_VALUE"""),"136235;INF204KA13W7;-;Reliance Fixed Horizon Fund XXX- Series 6- Growth Option;12.7801;15-Apr-2019")</f>
        <v>136235;INF204KA13W7;-;Reliance Fixed Horizon Fund XXX- Series 6- Growth Option;12.7801;15-Apr-2019</v>
      </c>
      <c r="B14332" s="1"/>
    </row>
    <row r="14333">
      <c r="A14333" s="1" t="str">
        <f>IFERROR(__xludf.DUMMYFUNCTION("""COMPUTED_VALUE"""),"136311;INF204KA13X5;-;Reliance Fixed Horizon Fund XXX- Series 7- Direct Plan-Growth Option;12.8299;15-Apr-2019")</f>
        <v>136311;INF204KA13X5;-;Reliance Fixed Horizon Fund XXX- Series 7- Direct Plan-Growth Option;12.8299;15-Apr-2019</v>
      </c>
      <c r="B14333" s="1"/>
    </row>
    <row r="14334">
      <c r="A14334" s="1" t="str">
        <f>IFERROR(__xludf.DUMMYFUNCTION("""COMPUTED_VALUE"""),"136309;INF204KA11X9;-;Reliance Fixed Horizon Fund XXX- Series 7- Growth Option;12.7787;15-Apr-2019")</f>
        <v>136309;INF204KA11X9;-;Reliance Fixed Horizon Fund XXX- Series 7- Growth Option;12.7787;15-Apr-2019</v>
      </c>
      <c r="B14334" s="1"/>
    </row>
    <row r="14335">
      <c r="A14335" s="1" t="str">
        <f>IFERROR(__xludf.DUMMYFUNCTION("""COMPUTED_VALUE"""),"136313;INF204KA18X4;-;Reliance Fixed Horizon Fund XXX- Series 8- Direct Plan- Dividen Payout Option;10.0000;06-Jun-2019")</f>
        <v>136313;INF204KA18X4;-;Reliance Fixed Horizon Fund XXX- Series 8- Direct Plan- Dividen Payout Option;10.0000;06-Jun-2019</v>
      </c>
      <c r="B14335" s="1"/>
    </row>
    <row r="14336">
      <c r="A14336" s="1" t="str">
        <f>IFERROR(__xludf.DUMMYFUNCTION("""COMPUTED_VALUE"""),"136315;INF204KA17X6;-;Reliance Fixed Horizon Fund XXX- Series 8- Direct Plan- Growth Option;12.6914;06-Jun-2019")</f>
        <v>136315;INF204KA17X6;-;Reliance Fixed Horizon Fund XXX- Series 8- Direct Plan- Growth Option;12.6914;06-Jun-2019</v>
      </c>
      <c r="B14336" s="1"/>
    </row>
    <row r="14337">
      <c r="A14337" s="1" t="str">
        <f>IFERROR(__xludf.DUMMYFUNCTION("""COMPUTED_VALUE"""),"136316;INF204KA16X8;-;Reliance Fixed Horizon Fund XXX- Series 8- Dividend Payout Option;10.0000;06-Jun-2019")</f>
        <v>136316;INF204KA16X8;-;Reliance Fixed Horizon Fund XXX- Series 8- Dividend Payout Option;10.0000;06-Jun-2019</v>
      </c>
      <c r="B14337" s="1"/>
    </row>
    <row r="14338">
      <c r="A14338" s="1" t="str">
        <f>IFERROR(__xludf.DUMMYFUNCTION("""COMPUTED_VALUE"""),"136314;INF204KA15X0;-;Reliance Fixed Horizon Fund XXX- Series 8- Growth Option;12.4638;06-Jun-2019")</f>
        <v>136314;INF204KA15X0;-;Reliance Fixed Horizon Fund XXX- Series 8- Growth Option;12.4638;06-Jun-2019</v>
      </c>
      <c r="B14338" s="1"/>
    </row>
    <row r="14339">
      <c r="A14339" s="1" t="str">
        <f>IFERROR(__xludf.DUMMYFUNCTION("""COMPUTED_VALUE"""),"136330;INF204KA12Y5;-;Reliance Fixed Horizon Fund XXX- Series 9- Direct Plan-Dividend Payout Option;10.0000;26-May-2016")</f>
        <v>136330;INF204KA12Y5;-;Reliance Fixed Horizon Fund XXX- Series 9- Direct Plan-Dividend Payout Option;10.0000;26-May-2016</v>
      </c>
      <c r="B14339" s="1"/>
    </row>
    <row r="14340">
      <c r="A14340" s="1" t="str">
        <f>IFERROR(__xludf.DUMMYFUNCTION("""COMPUTED_VALUE"""),"136329;INF204KA11Y7;-;Reliance Fixed Horizon Fund XXX- Series 9- Direct Plan-Growth Option;10.2129;26-May-2016")</f>
        <v>136329;INF204KA11Y7;-;Reliance Fixed Horizon Fund XXX- Series 9- Direct Plan-Growth Option;10.2129;26-May-2016</v>
      </c>
      <c r="B14340" s="1"/>
    </row>
    <row r="14341">
      <c r="A14341" s="1" t="str">
        <f>IFERROR(__xludf.DUMMYFUNCTION("""COMPUTED_VALUE"""),"136328;INF204KA10Y9;-;Reliance Fixed Horizon Fund XXX- Series 9- Dividend Payout Option;10.0000;26-May-2016")</f>
        <v>136328;INF204KA10Y9;-;Reliance Fixed Horizon Fund XXX- Series 9- Dividend Payout Option;10.0000;26-May-2016</v>
      </c>
      <c r="B14341" s="1"/>
    </row>
    <row r="14342">
      <c r="A14342" s="1" t="str">
        <f>IFERROR(__xludf.DUMMYFUNCTION("""COMPUTED_VALUE"""),"136327;INF204KA19X2;-;Reliance Fixed Horizon Fund XXX- Series 9- Growth Option;10.2082;26-May-2016")</f>
        <v>136327;INF204KA19X2;-;Reliance Fixed Horizon Fund XXX- Series 9- Growth Option;10.2082;26-May-2016</v>
      </c>
      <c r="B14342" s="1"/>
    </row>
    <row r="14343">
      <c r="A14343" s="1" t="str">
        <f>IFERROR(__xludf.DUMMYFUNCTION("""COMPUTED_VALUE"""),"139411;INF204KB1635;-;Reliance Fixed Horizon Fund XXXI Series 2 - Direct Plan - Dividend Payout Option;10.0000;15-Jul-2019")</f>
        <v>139411;INF204KB1635;-;Reliance Fixed Horizon Fund XXXI Series 2 - Direct Plan - Dividend Payout Option;10.0000;15-Jul-2019</v>
      </c>
      <c r="B14343" s="1"/>
    </row>
    <row r="14344">
      <c r="A14344" s="1" t="str">
        <f>IFERROR(__xludf.DUMMYFUNCTION("""COMPUTED_VALUE"""),"139413;INF204KB1627;-;Reliance Fixed Horizon Fund XXXI Series 2 - Direct Plan - Growth Option;13.1105;15-Jul-2019")</f>
        <v>139413;INF204KB1627;-;Reliance Fixed Horizon Fund XXXI Series 2 - Direct Plan - Growth Option;13.1105;15-Jul-2019</v>
      </c>
      <c r="B14344" s="1"/>
    </row>
    <row r="14345">
      <c r="A14345" s="1" t="str">
        <f>IFERROR(__xludf.DUMMYFUNCTION("""COMPUTED_VALUE"""),"139410;INF204KB1619;-;Reliance Fixed Horizon Fund XXXI Series 2 - Dividend Payout Option;10.0000;15-Jul-2019")</f>
        <v>139410;INF204KB1619;-;Reliance Fixed Horizon Fund XXXI Series 2 - Dividend Payout Option;10.0000;15-Jul-2019</v>
      </c>
      <c r="B14345" s="1"/>
    </row>
    <row r="14346">
      <c r="A14346" s="1" t="str">
        <f>IFERROR(__xludf.DUMMYFUNCTION("""COMPUTED_VALUE"""),"139412;INF204KB1601;-;Reliance Fixed Horizon Fund XXXI Series 2 - Growth Option;12.9130;15-Jul-2019")</f>
        <v>139412;INF204KB1601;-;Reliance Fixed Horizon Fund XXXI Series 2 - Growth Option;12.9130;15-Jul-2019</v>
      </c>
      <c r="B14346" s="1"/>
    </row>
    <row r="14347">
      <c r="A14347" s="1" t="str">
        <f>IFERROR(__xludf.DUMMYFUNCTION("""COMPUTED_VALUE"""),"139378;INF204KB1593;-;Reliance Fixed Horizon Fund XXXI- Series 1- Direct Plan-Dividend Payout Option;10.0000;24-Jun-2019")</f>
        <v>139378;INF204KB1593;-;Reliance Fixed Horizon Fund XXXI- Series 1- Direct Plan-Dividend Payout Option;10.0000;24-Jun-2019</v>
      </c>
      <c r="B14347" s="1"/>
    </row>
    <row r="14348">
      <c r="A14348" s="1" t="str">
        <f>IFERROR(__xludf.DUMMYFUNCTION("""COMPUTED_VALUE"""),"139379;INF204KB1585;-;Reliance Fixed Horizon Fund XXXI- Series 1- Direct Plan-Growth Option;12.6459;24-Jun-2019")</f>
        <v>139379;INF204KB1585;-;Reliance Fixed Horizon Fund XXXI- Series 1- Direct Plan-Growth Option;12.6459;24-Jun-2019</v>
      </c>
      <c r="B14348" s="1"/>
    </row>
    <row r="14349">
      <c r="A14349" s="1" t="str">
        <f>IFERROR(__xludf.DUMMYFUNCTION("""COMPUTED_VALUE"""),"139376;INF204KB1569;-;Reliance Fixed Horizon Fund XXXI- Series 1- Growth Option;12.4690;24-Jun-2019")</f>
        <v>139376;INF204KB1569;-;Reliance Fixed Horizon Fund XXXI- Series 1- Growth Option;12.4690;24-Jun-2019</v>
      </c>
      <c r="B14349" s="1"/>
    </row>
    <row r="14350">
      <c r="A14350" s="1" t="str">
        <f>IFERROR(__xludf.DUMMYFUNCTION("""COMPUTED_VALUE"""),"139797;INF204KB1CU9;-;Reliance Fixed Horizon Fund XXXI- Series 11- Direct Plan-Dividend Payout Option;10.0000;23-Sep-2019")</f>
        <v>139797;INF204KB1CU9;-;Reliance Fixed Horizon Fund XXXI- Series 11- Direct Plan-Dividend Payout Option;10.0000;23-Sep-2019</v>
      </c>
      <c r="B14350" s="1"/>
    </row>
    <row r="14351">
      <c r="A14351" s="1" t="str">
        <f>IFERROR(__xludf.DUMMYFUNCTION("""COMPUTED_VALUE"""),"139796;INF204KB1CT1;-;Reliance Fixed Horizon Fund XXXI- Series 11- Direct Plan-Growth Option;11.8264;23-Sep-2019")</f>
        <v>139796;INF204KB1CT1;-;Reliance Fixed Horizon Fund XXXI- Series 11- Direct Plan-Growth Option;11.8264;23-Sep-2019</v>
      </c>
      <c r="B14351" s="1"/>
    </row>
    <row r="14352">
      <c r="A14352" s="1" t="str">
        <f>IFERROR(__xludf.DUMMYFUNCTION("""COMPUTED_VALUE"""),"139799;INF204KB1CS3;-;Reliance Fixed Horizon Fund XXXI- Series 11- Dividend Payout Option;10.0000;23-Sep-2019")</f>
        <v>139799;INF204KB1CS3;-;Reliance Fixed Horizon Fund XXXI- Series 11- Dividend Payout Option;10.0000;23-Sep-2019</v>
      </c>
      <c r="B14352" s="1"/>
    </row>
    <row r="14353">
      <c r="A14353" s="1" t="str">
        <f>IFERROR(__xludf.DUMMYFUNCTION("""COMPUTED_VALUE"""),"139798;INF204KB1CR5;-;Reliance Fixed Horizon Fund XXXI- Series 11- Growth Option;11.7298;23-Sep-2019")</f>
        <v>139798;INF204KB1CR5;-;Reliance Fixed Horizon Fund XXXI- Series 11- Growth Option;11.7298;23-Sep-2019</v>
      </c>
      <c r="B14353" s="1"/>
    </row>
    <row r="14354">
      <c r="A14354" s="1" t="str">
        <f>IFERROR(__xludf.DUMMYFUNCTION("""COMPUTED_VALUE"""),"139465;INF204KB1791;-;Reliance Fixed Horizon Fund XXXI- Series 4- Direct Plan-Dividend Payout Option;10.0000;15-Jul-2019")</f>
        <v>139465;INF204KB1791;-;Reliance Fixed Horizon Fund XXXI- Series 4- Direct Plan-Dividend Payout Option;10.0000;15-Jul-2019</v>
      </c>
      <c r="B14354" s="1"/>
    </row>
    <row r="14355">
      <c r="A14355" s="1" t="str">
        <f>IFERROR(__xludf.DUMMYFUNCTION("""COMPUTED_VALUE"""),"139464;INF204KB1783;-;Reliance Fixed Horizon Fund XXXI- Series 4- Direct Plan-Growth Option;13.1174;15-Jul-2019")</f>
        <v>139464;INF204KB1783;-;Reliance Fixed Horizon Fund XXXI- Series 4- Direct Plan-Growth Option;13.1174;15-Jul-2019</v>
      </c>
      <c r="B14355" s="1"/>
    </row>
    <row r="14356">
      <c r="A14356" s="1" t="str">
        <f>IFERROR(__xludf.DUMMYFUNCTION("""COMPUTED_VALUE"""),"139463;INF204KB1775;-;Reliance Fixed Horizon Fund XXXI- Series 4- Dividend Payout Option;10.0000;15-Jul-2019")</f>
        <v>139463;INF204KB1775;-;Reliance Fixed Horizon Fund XXXI- Series 4- Dividend Payout Option;10.0000;15-Jul-2019</v>
      </c>
      <c r="B14356" s="1"/>
    </row>
    <row r="14357">
      <c r="A14357" s="1" t="str">
        <f>IFERROR(__xludf.DUMMYFUNCTION("""COMPUTED_VALUE"""),"139462;INF204KB1767;-;Reliance Fixed Horizon Fund XXXI- Series 4- Growth Option;12.9172;15-Jul-2019")</f>
        <v>139462;INF204KB1767;-;Reliance Fixed Horizon Fund XXXI- Series 4- Growth Option;12.9172;15-Jul-2019</v>
      </c>
      <c r="B14357" s="1"/>
    </row>
    <row r="14358">
      <c r="A14358" s="1" t="str">
        <f>IFERROR(__xludf.DUMMYFUNCTION("""COMPUTED_VALUE"""),"139542;INF204KB1AD9;-;Reliance Fixed Horizon Fund XXXI- Series 5- Direct Plan-Growth Option;12.5318;29-Jul-2019")</f>
        <v>139542;INF204KB1AD9;-;Reliance Fixed Horizon Fund XXXI- Series 5- Direct Plan-Growth Option;12.5318;29-Jul-2019</v>
      </c>
      <c r="B14358" s="1"/>
    </row>
    <row r="14359">
      <c r="A14359" s="1" t="str">
        <f>IFERROR(__xludf.DUMMYFUNCTION("""COMPUTED_VALUE"""),"139545;INF204KB1AC1;-;Reliance Fixed Horizon Fund XXXI- Series 5- Dividend Payout Option;10.0000;29-Jul-2019")</f>
        <v>139545;INF204KB1AC1;-;Reliance Fixed Horizon Fund XXXI- Series 5- Dividend Payout Option;10.0000;29-Jul-2019</v>
      </c>
      <c r="B14359" s="1"/>
    </row>
    <row r="14360">
      <c r="A14360" s="1" t="str">
        <f>IFERROR(__xludf.DUMMYFUNCTION("""COMPUTED_VALUE"""),"139544;INF204KB1AB3;-;Reliance Fixed Horizon Fund XXXI- Series 5- Growth Option;12.3949;29-Jul-2019")</f>
        <v>139544;INF204KB1AB3;-;Reliance Fixed Horizon Fund XXXI- Series 5- Growth Option;12.3949;29-Jul-2019</v>
      </c>
      <c r="B14360" s="1"/>
    </row>
    <row r="14361">
      <c r="A14361" s="1" t="str">
        <f>IFERROR(__xludf.DUMMYFUNCTION("""COMPUTED_VALUE"""),"139576;INF204KB1AI8;-;Reliance Fixed Horizon Fund XXXI- Series 6- Direct Plan-Dividend Payout Option;10.0000;19-Sep-2019")</f>
        <v>139576;INF204KB1AI8;-;Reliance Fixed Horizon Fund XXXI- Series 6- Direct Plan-Dividend Payout Option;10.0000;19-Sep-2019</v>
      </c>
      <c r="B14361" s="1"/>
    </row>
    <row r="14362">
      <c r="A14362" s="1" t="str">
        <f>IFERROR(__xludf.DUMMYFUNCTION("""COMPUTED_VALUE"""),"139575;INF204KB1AH0;-;Reliance Fixed Horizon Fund XXXI- Series 6- Direct Plan-Growth Option;11.9770;19-Sep-2019")</f>
        <v>139575;INF204KB1AH0;-;Reliance Fixed Horizon Fund XXXI- Series 6- Direct Plan-Growth Option;11.9770;19-Sep-2019</v>
      </c>
      <c r="B14362" s="1"/>
    </row>
    <row r="14363">
      <c r="A14363" s="1" t="str">
        <f>IFERROR(__xludf.DUMMYFUNCTION("""COMPUTED_VALUE"""),"139574;INF204KB1AG2;-;Reliance Fixed Horizon Fund XXXI- Series 6- Dividend Payout Option;10.0000;19-Sep-2019")</f>
        <v>139574;INF204KB1AG2;-;Reliance Fixed Horizon Fund XXXI- Series 6- Dividend Payout Option;10.0000;19-Sep-2019</v>
      </c>
      <c r="B14363" s="1"/>
    </row>
    <row r="14364">
      <c r="A14364" s="1" t="str">
        <f>IFERROR(__xludf.DUMMYFUNCTION("""COMPUTED_VALUE"""),"139573;INF204KB1AF4;-;Reliance Fixed Horizon Fund XXXI- Series 6- Growth Option;11.7886;19-Sep-2019")</f>
        <v>139573;INF204KB1AF4;-;Reliance Fixed Horizon Fund XXXI- Series 6- Growth Option;11.7886;19-Sep-2019</v>
      </c>
      <c r="B14364" s="1"/>
    </row>
    <row r="14365">
      <c r="A14365" s="1" t="str">
        <f>IFERROR(__xludf.DUMMYFUNCTION("""COMPUTED_VALUE"""),"139597;INF204KB1AQ1;-;Reliance Fixed Horizon Fund XXXI- Series 7- Direct Plan - Dividend Payout Option;12.4897;31-Jul-2019")</f>
        <v>139597;INF204KB1AQ1;-;Reliance Fixed Horizon Fund XXXI- Series 7- Direct Plan - Dividend Payout Option;12.4897;31-Jul-2019</v>
      </c>
      <c r="B14365" s="1"/>
    </row>
    <row r="14366">
      <c r="A14366" s="1" t="str">
        <f>IFERROR(__xludf.DUMMYFUNCTION("""COMPUTED_VALUE"""),"139596;INF204KB1AP3;-;Reliance Fixed Horizon Fund XXXI- Series 7- Direct Plan-Growth Option;12.4897;31-Jul-2019")</f>
        <v>139596;INF204KB1AP3;-;Reliance Fixed Horizon Fund XXXI- Series 7- Direct Plan-Growth Option;12.4897;31-Jul-2019</v>
      </c>
      <c r="B14366" s="1"/>
    </row>
    <row r="14367">
      <c r="A14367" s="1" t="str">
        <f>IFERROR(__xludf.DUMMYFUNCTION("""COMPUTED_VALUE"""),"139595;INF204KB1AO6;-;Reliance Fixed Horizon Fund XXXI- Series 7- Dividend Payout Option;12.2840;31-Jul-2019")</f>
        <v>139595;INF204KB1AO6;-;Reliance Fixed Horizon Fund XXXI- Series 7- Dividend Payout Option;12.2840;31-Jul-2019</v>
      </c>
      <c r="B14367" s="1"/>
    </row>
    <row r="14368">
      <c r="A14368" s="1" t="str">
        <f>IFERROR(__xludf.DUMMYFUNCTION("""COMPUTED_VALUE"""),"139594;INF204KB1AN8;-;Reliance Fixed Horizon Fund XXXI- Series 7- Growth Option;12.2840;31-Jul-2019")</f>
        <v>139594;INF204KB1AN8;-;Reliance Fixed Horizon Fund XXXI- Series 7- Growth Option;12.2840;31-Jul-2019</v>
      </c>
      <c r="B14368" s="1"/>
    </row>
    <row r="14369">
      <c r="A14369" s="1" t="str">
        <f>IFERROR(__xludf.DUMMYFUNCTION("""COMPUTED_VALUE"""),"145156;INF204KB1L29;-;Reliance Fixed Horizon Fund XXXIX Series 10- Direct Plan- Growth Option;10.3624;27-Mar-2019")</f>
        <v>145156;INF204KB1L29;-;Reliance Fixed Horizon Fund XXXIX Series 10- Direct Plan- Growth Option;10.3624;27-Mar-2019</v>
      </c>
      <c r="B14369" s="1"/>
    </row>
    <row r="14370">
      <c r="A14370" s="1" t="str">
        <f>IFERROR(__xludf.DUMMYFUNCTION("""COMPUTED_VALUE"""),"145158;INF204KB1L37;-;Reliance Fixed Horizon Fund XXXIX- Series 10- Direct Plan- Dividend Option;10.0000;27-Mar-2019")</f>
        <v>145158;INF204KB1L37;-;Reliance Fixed Horizon Fund XXXIX- Series 10- Direct Plan- Dividend Option;10.0000;27-Mar-2019</v>
      </c>
      <c r="B14370" s="1"/>
    </row>
    <row r="14371">
      <c r="A14371" s="1" t="str">
        <f>IFERROR(__xludf.DUMMYFUNCTION("""COMPUTED_VALUE"""),"145155;INF204KB1L11;-;Reliance Fixed Horizon Fund XXXIX- Series 10- Dividend Option;10.0000;27-Mar-2019")</f>
        <v>145155;INF204KB1L11;-;Reliance Fixed Horizon Fund XXXIX- Series 10- Dividend Option;10.0000;27-Mar-2019</v>
      </c>
      <c r="B14371" s="1"/>
    </row>
    <row r="14372">
      <c r="A14372" s="1" t="str">
        <f>IFERROR(__xludf.DUMMYFUNCTION("""COMPUTED_VALUE"""),"145157;INF204KB1L03;-;Reliance Fixed Horizon Fund XXXIX- Series 10- Growth Option;10.3529;27-Mar-2019")</f>
        <v>145157;INF204KB1L03;-;Reliance Fixed Horizon Fund XXXIX- Series 10- Growth Option;10.3529;27-Mar-2019</v>
      </c>
      <c r="B14372" s="1"/>
    </row>
    <row r="14373">
      <c r="A14373" s="1" t="str">
        <f>IFERROR(__xludf.DUMMYFUNCTION("""COMPUTED_VALUE"""),"144776;INF204KB1I16;-;Reliance Fixed Horizon Fund XXXIX- Series 3 - Direct Plan- Dividend Plan;10.0000;14-Mar-2019")</f>
        <v>144776;INF204KB1I16;-;Reliance Fixed Horizon Fund XXXIX- Series 3 - Direct Plan- Dividend Plan;10.0000;14-Mar-2019</v>
      </c>
      <c r="B14373" s="1"/>
    </row>
    <row r="14374">
      <c r="A14374" s="1" t="str">
        <f>IFERROR(__xludf.DUMMYFUNCTION("""COMPUTED_VALUE"""),"144775;INF204KB1I08;-;Reliance Fixed Horizon Fund XXXIX- Series 3- Direct Plan- Growth Option;10.4112;14-Mar-2019")</f>
        <v>144775;INF204KB1I08;-;Reliance Fixed Horizon Fund XXXIX- Series 3- Direct Plan- Growth Option;10.4112;14-Mar-2019</v>
      </c>
      <c r="B14374" s="1"/>
    </row>
    <row r="14375">
      <c r="A14375" s="1" t="str">
        <f>IFERROR(__xludf.DUMMYFUNCTION("""COMPUTED_VALUE"""),"144774;INF204KB1H90;-;Reliance Fixed Horizon Fund XXXIX- Series 3- Dividend Plan;10.0000;14-Mar-2019")</f>
        <v>144774;INF204KB1H90;-;Reliance Fixed Horizon Fund XXXIX- Series 3- Dividend Plan;10.0000;14-Mar-2019</v>
      </c>
      <c r="B14375" s="1"/>
    </row>
    <row r="14376">
      <c r="A14376" s="1" t="str">
        <f>IFERROR(__xludf.DUMMYFUNCTION("""COMPUTED_VALUE"""),"144773;INF204KB1H82;-;Reliance Fixed Horizon Fund XXXIX- Series 3- Growth Option;10.3996;14-Mar-2019")</f>
        <v>144773;INF204KB1H82;-;Reliance Fixed Horizon Fund XXXIX- Series 3- Growth Option;10.3996;14-Mar-2019</v>
      </c>
      <c r="B14376" s="1"/>
    </row>
    <row r="14377">
      <c r="A14377" s="1" t="str">
        <f>IFERROR(__xludf.DUMMYFUNCTION("""COMPUTED_VALUE"""),"144939;INF204KB1K12;-;Reliance Fixed Horizon Fund XXXIX- Series 7- Direct Plan- Dividend Option;10.0000;14-Mar-2019")</f>
        <v>144939;INF204KB1K12;-;Reliance Fixed Horizon Fund XXXIX- Series 7- Direct Plan- Dividend Option;10.0000;14-Mar-2019</v>
      </c>
      <c r="B14377" s="1"/>
    </row>
    <row r="14378">
      <c r="A14378" s="1" t="str">
        <f>IFERROR(__xludf.DUMMYFUNCTION("""COMPUTED_VALUE"""),"144938;INF204KB1K04;-;Reliance Fixed Horizon Fund XXXIX- Series 7- Direct Plan- Growth Option;10.3934;14-Mar-2019")</f>
        <v>144938;INF204KB1K04;-;Reliance Fixed Horizon Fund XXXIX- Series 7- Direct Plan- Growth Option;10.3934;14-Mar-2019</v>
      </c>
      <c r="B14378" s="1"/>
    </row>
    <row r="14379">
      <c r="A14379" s="1" t="str">
        <f>IFERROR(__xludf.DUMMYFUNCTION("""COMPUTED_VALUE"""),"144937;INF204KB1J80;-;Reliance Fixed Horizon Fund XXXIX- Series 7- Growth Option;10.3816;14-Mar-2019")</f>
        <v>144937;INF204KB1J80;-;Reliance Fixed Horizon Fund XXXIX- Series 7- Growth Option;10.3816;14-Mar-2019</v>
      </c>
      <c r="B14379" s="1"/>
    </row>
    <row r="14380">
      <c r="A14380" s="1" t="str">
        <f>IFERROR(__xludf.DUMMYFUNCTION("""COMPUTED_VALUE"""),"142516;INF204KB1UT3;-;Reliance Fixed Horizon Fund XXXVI- Series 4- Direct Plan-Dividend Payout Option;10.0773;02-Jul-2018")</f>
        <v>142516;INF204KB1UT3;-;Reliance Fixed Horizon Fund XXXVI- Series 4- Direct Plan-Dividend Payout Option;10.0773;02-Jul-2018</v>
      </c>
      <c r="B14380" s="1"/>
    </row>
    <row r="14381">
      <c r="A14381" s="1" t="str">
        <f>IFERROR(__xludf.DUMMYFUNCTION("""COMPUTED_VALUE"""),"142514;INF204KB1US5;-;Reliance Fixed Horizon Fund XXXVI- Series 4- Direct Plan-Growth Option;10.2734;02-Jul-2018")</f>
        <v>142514;INF204KB1US5;-;Reliance Fixed Horizon Fund XXXVI- Series 4- Direct Plan-Growth Option;10.2734;02-Jul-2018</v>
      </c>
      <c r="B14381" s="1"/>
    </row>
    <row r="14382">
      <c r="A14382" s="1" t="str">
        <f>IFERROR(__xludf.DUMMYFUNCTION("""COMPUTED_VALUE"""),"142515;INF204KB1UR7;-;Reliance Fixed Horizon Fund XXXVI- Series 4- Dividend Payout Option;10.0000;31-May-2018")</f>
        <v>142515;INF204KB1UR7;-;Reliance Fixed Horizon Fund XXXVI- Series 4- Dividend Payout Option;10.0000;31-May-2018</v>
      </c>
      <c r="B14382" s="1"/>
    </row>
    <row r="14383">
      <c r="A14383" s="1" t="str">
        <f>IFERROR(__xludf.DUMMYFUNCTION("""COMPUTED_VALUE"""),"142513;INF204KB1UQ9;-;Reliance Fixed Horizon Fund XXXVI- Series 4- Growth Option;10.2664;02-Jul-2018")</f>
        <v>142513;INF204KB1UQ9;-;Reliance Fixed Horizon Fund XXXVI- Series 4- Growth Option;10.2664;02-Jul-2018</v>
      </c>
      <c r="B14383" s="1"/>
    </row>
    <row r="14384">
      <c r="A14384" s="1" t="str">
        <f>IFERROR(__xludf.DUMMYFUNCTION("""COMPUTED_VALUE"""),"143530;INF204KB1XV3;-;Reliance Fixed Horizon Fund XXXVII- Series 11- Direct Plan- Dividend Payout Option;10.0000;28-Mar-2019")</f>
        <v>143530;INF204KB1XV3;-;Reliance Fixed Horizon Fund XXXVII- Series 11- Direct Plan- Dividend Payout Option;10.0000;28-Mar-2019</v>
      </c>
      <c r="B14384" s="1"/>
    </row>
    <row r="14385">
      <c r="A14385" s="1" t="str">
        <f>IFERROR(__xludf.DUMMYFUNCTION("""COMPUTED_VALUE"""),"143529;INF204KB1XU5;-;Reliance Fixed Horizon Fund XXXVII- Series 11- Direct Plan- Growth Option;10.6506;28-Mar-2019")</f>
        <v>143529;INF204KB1XU5;-;Reliance Fixed Horizon Fund XXXVII- Series 11- Direct Plan- Growth Option;10.6506;28-Mar-2019</v>
      </c>
      <c r="B14385" s="1"/>
    </row>
    <row r="14386">
      <c r="A14386" s="1" t="str">
        <f>IFERROR(__xludf.DUMMYFUNCTION("""COMPUTED_VALUE"""),"143531;INF204KB1XT7;-;Reliance Fixed Horizon Fund XXXVII- Series 11- Dividend Payout Option;10.0000;28-Mar-2019")</f>
        <v>143531;INF204KB1XT7;-;Reliance Fixed Horizon Fund XXXVII- Series 11- Dividend Payout Option;10.0000;28-Mar-2019</v>
      </c>
      <c r="B14386" s="1"/>
    </row>
    <row r="14387">
      <c r="A14387" s="1" t="str">
        <f>IFERROR(__xludf.DUMMYFUNCTION("""COMPUTED_VALUE"""),"143528;INF204KB1XS9;-;Reliance Fixed Horizon Fund XXXVII- Series 11- Growth Option;10.6320;28-Mar-2019")</f>
        <v>143528;INF204KB1XS9;-;Reliance Fixed Horizon Fund XXXVII- Series 11- Growth Option;10.6320;28-Mar-2019</v>
      </c>
      <c r="B14387" s="1"/>
    </row>
    <row r="14388">
      <c r="A14388" s="1" t="str">
        <f>IFERROR(__xludf.DUMMYFUNCTION("""COMPUTED_VALUE"""),"143647;INF204KB1YD9;-;Reliance Fixed Horizon Fund XXXVII- Series 13- Direct Plan- Dividend Payout Option;10.0000;18-Dec-2018")</f>
        <v>143647;INF204KB1YD9;-;Reliance Fixed Horizon Fund XXXVII- Series 13- Direct Plan- Dividend Payout Option;10.0000;18-Dec-2018</v>
      </c>
      <c r="B14388" s="1"/>
    </row>
    <row r="14389">
      <c r="A14389" s="1" t="str">
        <f>IFERROR(__xludf.DUMMYFUNCTION("""COMPUTED_VALUE"""),"143648;INF204KB1YC1;-;Reliance Fixed Horizon Fund XXXVII- Series 13- Direct Plan- Growth Option;10.3980;18-Dec-2018")</f>
        <v>143648;INF204KB1YC1;-;Reliance Fixed Horizon Fund XXXVII- Series 13- Direct Plan- Growth Option;10.3980;18-Dec-2018</v>
      </c>
      <c r="B14389" s="1"/>
    </row>
    <row r="14390">
      <c r="A14390" s="1" t="str">
        <f>IFERROR(__xludf.DUMMYFUNCTION("""COMPUTED_VALUE"""),"143646;INF204KB1YB3;-;Reliance Fixed Horizon Fund XXXVII- Series 13- Dividend Payout Option;10.0000;18-Dec-2018")</f>
        <v>143646;INF204KB1YB3;-;Reliance Fixed Horizon Fund XXXVII- Series 13- Dividend Payout Option;10.0000;18-Dec-2018</v>
      </c>
      <c r="B14390" s="1"/>
    </row>
    <row r="14391">
      <c r="A14391" s="1" t="str">
        <f>IFERROR(__xludf.DUMMYFUNCTION("""COMPUTED_VALUE"""),"143645;INF204KB1YA5;-;Reliance Fixed Horizon Fund XXXVII- Series 13- Growth Option;10.3870;18-Dec-2018")</f>
        <v>143645;INF204KB1YA5;-;Reliance Fixed Horizon Fund XXXVII- Series 13- Growth Option;10.3870;18-Dec-2018</v>
      </c>
      <c r="B14391" s="1"/>
    </row>
    <row r="14392">
      <c r="A14392" s="1" t="str">
        <f>IFERROR(__xludf.DUMMYFUNCTION("""COMPUTED_VALUE"""),"143292;INF204KB1XF6;-;Reliance Fixed Horizon Fund XXXVII- Series 7- Direct Plan- Dividend Payout Option;10.1118;02-Jul-2018")</f>
        <v>143292;INF204KB1XF6;-;Reliance Fixed Horizon Fund XXXVII- Series 7- Direct Plan- Dividend Payout Option;10.1118;02-Jul-2018</v>
      </c>
      <c r="B14392" s="1"/>
    </row>
    <row r="14393">
      <c r="A14393" s="1" t="str">
        <f>IFERROR(__xludf.DUMMYFUNCTION("""COMPUTED_VALUE"""),"143291;INF204KB1XE9;-;Reliance Fixed Horizon Fund XXXVII- Series 7- Direct Plan- Growth Option;10.1118;02-Jul-2018")</f>
        <v>143291;INF204KB1XE9;-;Reliance Fixed Horizon Fund XXXVII- Series 7- Direct Plan- Growth Option;10.1118;02-Jul-2018</v>
      </c>
      <c r="B14393" s="1"/>
    </row>
    <row r="14394">
      <c r="A14394" s="1" t="str">
        <f>IFERROR(__xludf.DUMMYFUNCTION("""COMPUTED_VALUE"""),"143290;INF204KB1XD1;-;Reliance Fixed Horizon Fund XXXVII- Series 7- Dividend Payout Option;10.1097;02-Jul-2018")</f>
        <v>143290;INF204KB1XD1;-;Reliance Fixed Horizon Fund XXXVII- Series 7- Dividend Payout Option;10.1097;02-Jul-2018</v>
      </c>
      <c r="B14394" s="1"/>
    </row>
    <row r="14395">
      <c r="A14395" s="1" t="str">
        <f>IFERROR(__xludf.DUMMYFUNCTION("""COMPUTED_VALUE"""),"143293;INF204KB1XC3;-;Reliance Fixed Horizon Fund XXXVII- Series 7- Growth Option;10.1097;02-Jul-2018")</f>
        <v>143293;INF204KB1XC3;-;Reliance Fixed Horizon Fund XXXVII- Series 7- Growth Option;10.1097;02-Jul-2018</v>
      </c>
      <c r="B14395" s="1"/>
    </row>
    <row r="14396">
      <c r="A14396" s="1" t="str">
        <f>IFERROR(__xludf.DUMMYFUNCTION("""COMPUTED_VALUE"""),"143347;INF204KB1XJ8;-;Reliance Fixed Horizon Fund XXXVII- Series 8- Direct Plan- Dividend Payout Option;10.0974;02-Jul-2018")</f>
        <v>143347;INF204KB1XJ8;-;Reliance Fixed Horizon Fund XXXVII- Series 8- Direct Plan- Dividend Payout Option;10.0974;02-Jul-2018</v>
      </c>
      <c r="B14396" s="1"/>
    </row>
    <row r="14397">
      <c r="A14397" s="1" t="str">
        <f>IFERROR(__xludf.DUMMYFUNCTION("""COMPUTED_VALUE"""),"143348;INF204KB1XI0;-;Reliance Fixed Horizon Fund XXXVII- Series 8- Direct Plan- Growth Option;10.0974;02-Jul-2018")</f>
        <v>143348;INF204KB1XI0;-;Reliance Fixed Horizon Fund XXXVII- Series 8- Direct Plan- Growth Option;10.0974;02-Jul-2018</v>
      </c>
      <c r="B14397" s="1"/>
    </row>
    <row r="14398">
      <c r="A14398" s="1" t="str">
        <f>IFERROR(__xludf.DUMMYFUNCTION("""COMPUTED_VALUE"""),"143346;INF204KB1XH2;-;Reliance Fixed Horizon Fund XXXVII- Series 8- Dividend Payout Option;10.0952;02-Jul-2018")</f>
        <v>143346;INF204KB1XH2;-;Reliance Fixed Horizon Fund XXXVII- Series 8- Dividend Payout Option;10.0952;02-Jul-2018</v>
      </c>
      <c r="B14398" s="1"/>
    </row>
    <row r="14399">
      <c r="A14399" s="1" t="str">
        <f>IFERROR(__xludf.DUMMYFUNCTION("""COMPUTED_VALUE"""),"143349;INF204KB1XG4;-;Reliance Fixed Horizon Fund XXXVII- Series 8- Growth Option;10.0952;02-Jul-2018")</f>
        <v>143349;INF204KB1XG4;-;Reliance Fixed Horizon Fund XXXVII- Series 8- Growth Option;10.0952;02-Jul-2018</v>
      </c>
      <c r="B14399" s="1"/>
    </row>
    <row r="14400">
      <c r="A14400" s="1" t="str">
        <f>IFERROR(__xludf.DUMMYFUNCTION("""COMPUTED_VALUE"""),"144593;INF204KB1F76;-;Reliance Fixed Horizon Fund XXXVIII- Series 13 - Direct Plan- Dividend Plan;10.0000;14-Mar-2019")</f>
        <v>144593;INF204KB1F76;-;Reliance Fixed Horizon Fund XXXVIII- Series 13 - Direct Plan- Dividend Plan;10.0000;14-Mar-2019</v>
      </c>
      <c r="B14400" s="1"/>
    </row>
    <row r="14401">
      <c r="A14401" s="1" t="str">
        <f>IFERROR(__xludf.DUMMYFUNCTION("""COMPUTED_VALUE"""),"144594;INF204KB1F68;-;Reliance Fixed Horizon Fund XXXVIII- Series 13- Direct Plan- Growth Option;10.4354;14-Mar-2019")</f>
        <v>144594;INF204KB1F68;-;Reliance Fixed Horizon Fund XXXVIII- Series 13- Direct Plan- Growth Option;10.4354;14-Mar-2019</v>
      </c>
      <c r="B14401" s="1"/>
    </row>
    <row r="14402">
      <c r="A14402" s="1" t="str">
        <f>IFERROR(__xludf.DUMMYFUNCTION("""COMPUTED_VALUE"""),"144592;INF204KB1F50;-;Reliance Fixed Horizon Fund XXXVIII- Series 13- Dividend Plan;10.0000;14-Mar-2019")</f>
        <v>144592;INF204KB1F50;-;Reliance Fixed Horizon Fund XXXVIII- Series 13- Dividend Plan;10.0000;14-Mar-2019</v>
      </c>
      <c r="B14402" s="1"/>
    </row>
    <row r="14403">
      <c r="A14403" s="1" t="str">
        <f>IFERROR(__xludf.DUMMYFUNCTION("""COMPUTED_VALUE"""),"144595;INF204KB1F43;-;Reliance Fixed Horizon Fund XXXVIII- Series 13- Growth Option;10.4232;14-Mar-2019")</f>
        <v>144595;INF204KB1F43;-;Reliance Fixed Horizon Fund XXXVIII- Series 13- Growth Option;10.4232;14-Mar-2019</v>
      </c>
      <c r="B14403" s="1"/>
    </row>
    <row r="14404">
      <c r="A14404" s="1" t="str">
        <f>IFERROR(__xludf.DUMMYFUNCTION("""COMPUTED_VALUE"""),"144691;INF204KB1G91;-;Reliance Fixed Horizon Fund XXXVIII- Series 15 - Direct Plan- Dividend Plan;10.0000;03-Dec-2018")</f>
        <v>144691;INF204KB1G91;-;Reliance Fixed Horizon Fund XXXVIII- Series 15 - Direct Plan- Dividend Plan;10.0000;03-Dec-2018</v>
      </c>
      <c r="B14404" s="1"/>
    </row>
    <row r="14405">
      <c r="A14405" s="1" t="str">
        <f>IFERROR(__xludf.DUMMYFUNCTION("""COMPUTED_VALUE"""),"144690;INF204KB1G83;-;Reliance Fixed Horizon Fund XXXVIII- Series 15- Direct Plan- Growth Option;10.1998;03-Dec-2018")</f>
        <v>144690;INF204KB1G83;-;Reliance Fixed Horizon Fund XXXVIII- Series 15- Direct Plan- Growth Option;10.1998;03-Dec-2018</v>
      </c>
      <c r="B14405" s="1"/>
    </row>
    <row r="14406">
      <c r="A14406" s="1" t="str">
        <f>IFERROR(__xludf.DUMMYFUNCTION("""COMPUTED_VALUE"""),"144689;INF204KB1G75;-;Reliance Fixed Horizon Fund XXXVIII- Series 15- Dividend Plan;10.0000;03-Dec-2018")</f>
        <v>144689;INF204KB1G75;-;Reliance Fixed Horizon Fund XXXVIII- Series 15- Dividend Plan;10.0000;03-Dec-2018</v>
      </c>
      <c r="B14406" s="1"/>
    </row>
    <row r="14407">
      <c r="A14407" s="1" t="str">
        <f>IFERROR(__xludf.DUMMYFUNCTION("""COMPUTED_VALUE"""),"144688;INF204KB1G67;-;Reliance Fixed Horizon Fund XXXVIII- Series 15- Growth Option;10.1944;03-Dec-2018")</f>
        <v>144688;INF204KB1G67;-;Reliance Fixed Horizon Fund XXXVIII- Series 15- Growth Option;10.1944;03-Dec-2018</v>
      </c>
      <c r="B14407" s="1"/>
    </row>
    <row r="14408">
      <c r="A14408" s="1" t="str">
        <f>IFERROR(__xludf.DUMMYFUNCTION("""COMPUTED_VALUE"""),"144018;INF204KB1C12;-;Reliance Fixed Horizon Fund XXXVIII- Series 4- Direct Plan- Dividend Plan;10.0000;14-Dec-2018")</f>
        <v>144018;INF204KB1C12;-;Reliance Fixed Horizon Fund XXXVIII- Series 4- Direct Plan- Dividend Plan;10.0000;14-Dec-2018</v>
      </c>
      <c r="B14408" s="1"/>
    </row>
    <row r="14409">
      <c r="A14409" s="1" t="str">
        <f>IFERROR(__xludf.DUMMYFUNCTION("""COMPUTED_VALUE"""),"144017;INF204KB1C04;-;Reliance Fixed Horizon Fund XXXVIII- Series 4- Direct Plan- Growth Option;10.3471;14-Dec-2018")</f>
        <v>144017;INF204KB1C04;-;Reliance Fixed Horizon Fund XXXVIII- Series 4- Direct Plan- Growth Option;10.3471;14-Dec-2018</v>
      </c>
      <c r="B14409" s="1"/>
    </row>
    <row r="14410">
      <c r="A14410" s="1" t="str">
        <f>IFERROR(__xludf.DUMMYFUNCTION("""COMPUTED_VALUE"""),"144019;INF204KB1B88;-;Reliance Fixed Horizon Fund XXXVIII- Series 4- Growth Option;10.3375;14-Dec-2018")</f>
        <v>144019;INF204KB1B88;-;Reliance Fixed Horizon Fund XXXVIII- Series 4- Growth Option;10.3375;14-Dec-2018</v>
      </c>
      <c r="B14410" s="1"/>
    </row>
    <row r="14411">
      <c r="A14411" s="1" t="str">
        <f>IFERROR(__xludf.DUMMYFUNCTION("""COMPUTED_VALUE"""),"144253;INF204KB1D78;-;Reliance Fixed Horizon Fund XXXVIII- Series 8- Direct Plan- Dividend Plan;10.0000;14-Mar-2019")</f>
        <v>144253;INF204KB1D78;-;Reliance Fixed Horizon Fund XXXVIII- Series 8- Direct Plan- Dividend Plan;10.0000;14-Mar-2019</v>
      </c>
      <c r="B14411" s="1"/>
    </row>
    <row r="14412">
      <c r="A14412" s="1" t="str">
        <f>IFERROR(__xludf.DUMMYFUNCTION("""COMPUTED_VALUE"""),"144252;INF204KB1D60;-;Reliance Fixed Horizon Fund XXXVIII- Series 8- Direct Plan- Growth Option;10.5051;14-Mar-2019")</f>
        <v>144252;INF204KB1D60;-;Reliance Fixed Horizon Fund XXXVIII- Series 8- Direct Plan- Growth Option;10.5051;14-Mar-2019</v>
      </c>
      <c r="B14412" s="1"/>
    </row>
    <row r="14413">
      <c r="A14413" s="1" t="str">
        <f>IFERROR(__xludf.DUMMYFUNCTION("""COMPUTED_VALUE"""),"144251;INF204KB1D52;-;Reliance Fixed Horizon Fund XXXVIII- Series 8- Dividend Plan;10.0000;14-Mar-2019")</f>
        <v>144251;INF204KB1D52;-;Reliance Fixed Horizon Fund XXXVIII- Series 8- Dividend Plan;10.0000;14-Mar-2019</v>
      </c>
      <c r="B14413" s="1"/>
    </row>
    <row r="14414">
      <c r="A14414" s="1" t="str">
        <f>IFERROR(__xludf.DUMMYFUNCTION("""COMPUTED_VALUE"""),"144254;INF204KB1D45;-;Reliance Fixed Horizon Fund XXXVIII- Series 8- Growth Option;10.4918;14-Mar-2019")</f>
        <v>144254;INF204KB1D45;-;Reliance Fixed Horizon Fund XXXVIII- Series 8- Growth Option;10.4918;14-Mar-2019</v>
      </c>
      <c r="B14414" s="1"/>
    </row>
    <row r="14415">
      <c r="A14415" s="1" t="str">
        <f>IFERROR(__xludf.DUMMYFUNCTION("""COMPUTED_VALUE"""),"128967;INF204KA1NE1;-;Reliance Fixed Horizon Fund- XXVI- Series 12- Direct Plan - Dividend Payout Option;10.0000;15-Apr-2015")</f>
        <v>128967;INF204KA1NE1;-;Reliance Fixed Horizon Fund- XXVI- Series 12- Direct Plan - Dividend Payout Option;10.0000;15-Apr-2015</v>
      </c>
      <c r="B14415" s="1"/>
    </row>
    <row r="14416">
      <c r="A14416" s="1" t="str">
        <f>IFERROR(__xludf.DUMMYFUNCTION("""COMPUTED_VALUE"""),"128966;INF204KA1ND3;-;Reliance Fixed Horizon Fund- XXVI- Series 12- Direct Plan - Growth Option;12.8106;25-Apr-2017")</f>
        <v>128966;INF204KA1ND3;-;Reliance Fixed Horizon Fund- XXVI- Series 12- Direct Plan - Growth Option;12.8106;25-Apr-2017</v>
      </c>
      <c r="B14416" s="1"/>
    </row>
    <row r="14417">
      <c r="A14417" s="1" t="str">
        <f>IFERROR(__xludf.DUMMYFUNCTION("""COMPUTED_VALUE"""),"128965;INF204KA1NC5;-;Reliance Fixed Horizon Fund- XXVI- Series 12- Dividend payout Option;10.0000;15-Apr-2015")</f>
        <v>128965;INF204KA1NC5;-;Reliance Fixed Horizon Fund- XXVI- Series 12- Dividend payout Option;10.0000;15-Apr-2015</v>
      </c>
      <c r="B14417" s="1"/>
    </row>
    <row r="14418">
      <c r="A14418" s="1" t="str">
        <f>IFERROR(__xludf.DUMMYFUNCTION("""COMPUTED_VALUE"""),"128964;INF204KA1NB7;-;Reliance Fixed Horizon Fund- XXVI- Series 12- Growth Option;12.7518;25-Apr-2017")</f>
        <v>128964;INF204KA1NB7;-;Reliance Fixed Horizon Fund- XXVI- Series 12- Growth Option;12.7518;25-Apr-2017</v>
      </c>
      <c r="B14418" s="1"/>
    </row>
    <row r="14419">
      <c r="A14419" s="1" t="str">
        <f>IFERROR(__xludf.DUMMYFUNCTION("""COMPUTED_VALUE"""),"129021;INF204KA1NI2;-;Reliance Fixed Horizon Fund- XXVI- Series 13- Direct Plan - Dividend Payout Option;10.0000;20-Apr-2015")</f>
        <v>129021;INF204KA1NI2;-;Reliance Fixed Horizon Fund- XXVI- Series 13- Direct Plan - Dividend Payout Option;10.0000;20-Apr-2015</v>
      </c>
      <c r="B14419" s="1"/>
    </row>
    <row r="14420">
      <c r="A14420" s="1" t="str">
        <f>IFERROR(__xludf.DUMMYFUNCTION("""COMPUTED_VALUE"""),"129020;INF204KA1NH4;-;Reliance Fixed Horizon Fund- XXVI- Series 13- Direct Plan - Growth Option;12.8003;25-Apr-2017")</f>
        <v>129020;INF204KA1NH4;-;Reliance Fixed Horizon Fund- XXVI- Series 13- Direct Plan - Growth Option;12.8003;25-Apr-2017</v>
      </c>
      <c r="B14420" s="1"/>
    </row>
    <row r="14421">
      <c r="A14421" s="1" t="str">
        <f>IFERROR(__xludf.DUMMYFUNCTION("""COMPUTED_VALUE"""),"129019;INF204KA1NG6;-;Reliance Fixed Horizon Fund- XXVI- Series 13- Dividend payout Option;10.0000;20-Apr-2015")</f>
        <v>129019;INF204KA1NG6;-;Reliance Fixed Horizon Fund- XXVI- Series 13- Dividend payout Option;10.0000;20-Apr-2015</v>
      </c>
      <c r="B14421" s="1"/>
    </row>
    <row r="14422">
      <c r="A14422" s="1" t="str">
        <f>IFERROR(__xludf.DUMMYFUNCTION("""COMPUTED_VALUE"""),"129018;INF204KA1NF8;-;Reliance Fixed Horizon Fund- XXVI- Series 13- Growth Option;12.7439;25-Apr-2017")</f>
        <v>129018;INF204KA1NF8;-;Reliance Fixed Horizon Fund- XXVI- Series 13- Growth Option;12.7439;25-Apr-2017</v>
      </c>
      <c r="B14422" s="1"/>
    </row>
    <row r="14423">
      <c r="A14423" s="1" t="str">
        <f>IFERROR(__xludf.DUMMYFUNCTION("""COMPUTED_VALUE"""),"129184;INF204KA1NU7;-;Reliance Fixed Horizon Fund- XXVI- Series 16- Direct Plan - Dividend Payout Option;10.0000;27-Apr-2017")</f>
        <v>129184;INF204KA1NU7;-;Reliance Fixed Horizon Fund- XXVI- Series 16- Direct Plan - Dividend Payout Option;10.0000;27-Apr-2017</v>
      </c>
      <c r="B14423" s="1"/>
    </row>
    <row r="14424">
      <c r="A14424" s="1" t="str">
        <f>IFERROR(__xludf.DUMMYFUNCTION("""COMPUTED_VALUE"""),"129186;INF204KA1NT9;-;Reliance Fixed Horizon Fund- XXVI- Series 16- Direct Plan - Growth Option;13.3054;08-May-2017")</f>
        <v>129186;INF204KA1NT9;-;Reliance Fixed Horizon Fund- XXVI- Series 16- Direct Plan - Growth Option;13.3054;08-May-2017</v>
      </c>
      <c r="B14424" s="1"/>
    </row>
    <row r="14425">
      <c r="A14425" s="1" t="str">
        <f>IFERROR(__xludf.DUMMYFUNCTION("""COMPUTED_VALUE"""),"129185;INF204KA1NS1;-;Reliance Fixed Horizon Fund- XXVI- Series 16- Dividend payout Option;10.0000;08-May-2017")</f>
        <v>129185;INF204KA1NS1;-;Reliance Fixed Horizon Fund- XXVI- Series 16- Dividend payout Option;10.0000;08-May-2017</v>
      </c>
      <c r="B14425" s="1"/>
    </row>
    <row r="14426">
      <c r="A14426" s="1" t="str">
        <f>IFERROR(__xludf.DUMMYFUNCTION("""COMPUTED_VALUE"""),"129183;INF204KA1NR3;-;Reliance Fixed Horizon Fund- XXVI- Series 16- Growth Option;13.0883;08-May-2017")</f>
        <v>129183;INF204KA1NR3;-;Reliance Fixed Horizon Fund- XXVI- Series 16- Growth Option;13.0883;08-May-2017</v>
      </c>
      <c r="B14426" s="1"/>
    </row>
    <row r="14427">
      <c r="A14427" s="1" t="str">
        <f>IFERROR(__xludf.DUMMYFUNCTION("""COMPUTED_VALUE"""),"129418;INF204KA1OF6;-;Reliance Fixed Horizon Fund- XXVI- Series 19- Direct Plan- Growth Option;12.8424;24-May-2017")</f>
        <v>129418;INF204KA1OF6;-;Reliance Fixed Horizon Fund- XXVI- Series 19- Direct Plan- Growth Option;12.8424;24-May-2017</v>
      </c>
      <c r="B14427" s="1"/>
    </row>
    <row r="14428">
      <c r="A14428" s="1" t="str">
        <f>IFERROR(__xludf.DUMMYFUNCTION("""COMPUTED_VALUE"""),"129417;INF204KA1OE9;-;Reliance Fixed Horizon Fund- XXVI- Series 19- Dividend Payout Option;10.0000;11-May-2015")</f>
        <v>129417;INF204KA1OE9;-;Reliance Fixed Horizon Fund- XXVI- Series 19- Dividend Payout Option;10.0000;11-May-2015</v>
      </c>
      <c r="B14428" s="1"/>
    </row>
    <row r="14429">
      <c r="A14429" s="1" t="str">
        <f>IFERROR(__xludf.DUMMYFUNCTION("""COMPUTED_VALUE"""),"129420;INF204KA1OD1;-;Reliance Fixed Horizon Fund- XXVI- Series 19- Growth Option;12.8033;24-May-2017")</f>
        <v>129420;INF204KA1OD1;-;Reliance Fixed Horizon Fund- XXVI- Series 19- Growth Option;12.8033;24-May-2017</v>
      </c>
      <c r="B14429" s="1"/>
    </row>
    <row r="14430">
      <c r="A14430" s="1" t="str">
        <f>IFERROR(__xludf.DUMMYFUNCTION("""COMPUTED_VALUE"""),"129521;INF204KA1ON0;-;Reliance Fixed Horizon Fund- XXVI- Series 21- Direct Plan- Growth Option;13.1451;30-May-2017")</f>
        <v>129521;INF204KA1ON0;-;Reliance Fixed Horizon Fund- XXVI- Series 21- Direct Plan- Growth Option;13.1451;30-May-2017</v>
      </c>
      <c r="B14430" s="1"/>
    </row>
    <row r="14431">
      <c r="A14431" s="1" t="str">
        <f>IFERROR(__xludf.DUMMYFUNCTION("""COMPUTED_VALUE"""),"129520;INF204KA1OM2;-;Reliance Fixed Horizon Fund- XXVI- Series 21- Dividend Payout Option;10.0000;30-May-2017")</f>
        <v>129520;INF204KA1OM2;-;Reliance Fixed Horizon Fund- XXVI- Series 21- Dividend Payout Option;10.0000;30-May-2017</v>
      </c>
      <c r="B14431" s="1"/>
    </row>
    <row r="14432">
      <c r="A14432" s="1" t="str">
        <f>IFERROR(__xludf.DUMMYFUNCTION("""COMPUTED_VALUE"""),"129519;INF204KA1OL4;-;Reliance Fixed Horizon Fund- XXVI- Series 21- Growth Option;13.0905;30-May-2017")</f>
        <v>129519;INF204KA1OL4;-;Reliance Fixed Horizon Fund- XXVI- Series 21- Growth Option;13.0905;30-May-2017</v>
      </c>
      <c r="B14432" s="1"/>
    </row>
    <row r="14433">
      <c r="A14433" s="1" t="str">
        <f>IFERROR(__xludf.DUMMYFUNCTION("""COMPUTED_VALUE"""),"129682;INF204KA1OZ4;-;Reliance Fixed Horizon Fund XXVI- Series 23- Direct Plan- Growth Option;14.4627;02-Jul-2018")</f>
        <v>129682;INF204KA1OZ4;-;Reliance Fixed Horizon Fund XXVI- Series 23- Direct Plan- Growth Option;14.4627;02-Jul-2018</v>
      </c>
      <c r="B14433" s="1"/>
    </row>
    <row r="14434">
      <c r="A14434" s="1" t="str">
        <f>IFERROR(__xludf.DUMMYFUNCTION("""COMPUTED_VALUE"""),"129681;INF204KA1PA4;-;Reliance Fixed Horizon Fund- XXVI- Series 23- Direct Plan- Dividend Payout Option;11.8942;02-Jul-2018")</f>
        <v>129681;INF204KA1PA4;-;Reliance Fixed Horizon Fund- XXVI- Series 23- Direct Plan- Dividend Payout Option;11.8942;02-Jul-2018</v>
      </c>
      <c r="B14434" s="1"/>
    </row>
    <row r="14435">
      <c r="A14435" s="1" t="str">
        <f>IFERROR(__xludf.DUMMYFUNCTION("""COMPUTED_VALUE"""),"129679;INF204KA1OY7;-;Reliance Fixed Horizon Fund- XXVI- Series 23- Dividend Payout Opiton;11.7686;02-Jul-2018")</f>
        <v>129679;INF204KA1OY7;-;Reliance Fixed Horizon Fund- XXVI- Series 23- Dividend Payout Opiton;11.7686;02-Jul-2018</v>
      </c>
      <c r="B14435" s="1"/>
    </row>
    <row r="14436">
      <c r="A14436" s="1" t="str">
        <f>IFERROR(__xludf.DUMMYFUNCTION("""COMPUTED_VALUE"""),"129680;INF204KA1OX9;-;Reliance Fixed Horizon Fund- XXVI- Series 23- Growth Option;14.1739;02-Jul-2018")</f>
        <v>129680;INF204KA1OX9;-;Reliance Fixed Horizon Fund- XXVI- Series 23- Growth Option;14.1739;02-Jul-2018</v>
      </c>
      <c r="B14436" s="1"/>
    </row>
    <row r="14437">
      <c r="A14437" s="1" t="str">
        <f>IFERROR(__xludf.DUMMYFUNCTION("""COMPUTED_VALUE"""),"129731;INF204KA11D1;-;Reliance Fixed Horizon Fund XXVI- Series 25- Direct Plan- Dividend Payout Option;10.0000;24-Jul-2017")</f>
        <v>129731;INF204KA11D1;-;Reliance Fixed Horizon Fund XXVI- Series 25- Direct Plan- Dividend Payout Option;10.0000;24-Jul-2017</v>
      </c>
      <c r="B14437" s="1"/>
    </row>
    <row r="14438">
      <c r="A14438" s="1" t="str">
        <f>IFERROR(__xludf.DUMMYFUNCTION("""COMPUTED_VALUE"""),"129730;INF204KA10D3;-;Reliance Fixed Horizon Fund XXVI- Series 25- Direct Plan- Growth Option;12.9394;24-Jul-2017")</f>
        <v>129730;INF204KA10D3;-;Reliance Fixed Horizon Fund XXVI- Series 25- Direct Plan- Growth Option;12.9394;24-Jul-2017</v>
      </c>
      <c r="B14438" s="1"/>
    </row>
    <row r="14439">
      <c r="A14439" s="1" t="str">
        <f>IFERROR(__xludf.DUMMYFUNCTION("""COMPUTED_VALUE"""),"129732;INF204KA19C6;-;Reliance Fixed Horizon Fund XXVI- Series 25- Dividend Payout Option;10.0000;02-Jun-2015")</f>
        <v>129732;INF204KA19C6;-;Reliance Fixed Horizon Fund XXVI- Series 25- Dividend Payout Option;10.0000;02-Jun-2015</v>
      </c>
      <c r="B14439" s="1"/>
    </row>
    <row r="14440">
      <c r="A14440" s="1" t="str">
        <f>IFERROR(__xludf.DUMMYFUNCTION("""COMPUTED_VALUE"""),"129729;INF204KA12D9;-;Reliance Fixed Horizon Fund XXVI- Series 25- Growth Option;12.8986;24-Jul-2017")</f>
        <v>129729;INF204KA12D9;-;Reliance Fixed Horizon Fund XXVI- Series 25- Growth Option;12.8986;24-Jul-2017</v>
      </c>
      <c r="B14440" s="1"/>
    </row>
    <row r="14441">
      <c r="A14441" s="1" t="str">
        <f>IFERROR(__xludf.DUMMYFUNCTION("""COMPUTED_VALUE"""),"128592;INF204KA1LO4;-;Reliance Fixed Horizon Fund - XXVI- Series 5- Direct Plan - Growth Option;10.9566;06-Apr-2015")</f>
        <v>128592;INF204KA1LO4;-;Reliance Fixed Horizon Fund - XXVI- Series 5- Direct Plan - Growth Option;10.9566;06-Apr-2015</v>
      </c>
      <c r="B14441" s="1"/>
    </row>
    <row r="14442">
      <c r="A14442" s="1" t="str">
        <f>IFERROR(__xludf.DUMMYFUNCTION("""COMPUTED_VALUE"""),"128591;INF204KA1LN6;-;Reliance Fixed Horizon Fund - XXVI- Series 5- Dividend payout Option;10.0000;06-Apr-2015")</f>
        <v>128591;INF204KA1LN6;-;Reliance Fixed Horizon Fund - XXVI- Series 5- Dividend payout Option;10.0000;06-Apr-2015</v>
      </c>
      <c r="B14442" s="1"/>
    </row>
    <row r="14443">
      <c r="A14443" s="1" t="str">
        <f>IFERROR(__xludf.DUMMYFUNCTION("""COMPUTED_VALUE"""),"128590;INF204KA1LM8;-;Reliance Fixed Horizon Fund - XXVI- Series 5- Growth Option;10.9078;06-Apr-2015")</f>
        <v>128590;INF204KA1LM8;-;Reliance Fixed Horizon Fund - XXVI- Series 5- Growth Option;10.9078;06-Apr-2015</v>
      </c>
      <c r="B14443" s="1"/>
    </row>
    <row r="14444">
      <c r="A14444" s="1" t="str">
        <f>IFERROR(__xludf.DUMMYFUNCTION("""COMPUTED_VALUE"""),"128635;INF204KA1LQ9;-;Reliance Fixed Horizon Fund- XXVI- Series 6-  Growth Option;13.9461;02-Jul-2018")</f>
        <v>128635;INF204KA1LQ9;-;Reliance Fixed Horizon Fund- XXVI- Series 6-  Growth Option;13.9461;02-Jul-2018</v>
      </c>
      <c r="B14444" s="1"/>
    </row>
    <row r="14445">
      <c r="A14445" s="1" t="str">
        <f>IFERROR(__xludf.DUMMYFUNCTION("""COMPUTED_VALUE"""),"128638;INF204KA1LT3;-;Reliance Fixed Horizon Fund- XXVI- Series 6- Direct Plan - Dividend Payout Option;10.0000;27-Apr-2017")</f>
        <v>128638;INF204KA1LT3;-;Reliance Fixed Horizon Fund- XXVI- Series 6- Direct Plan - Dividend Payout Option;10.0000;27-Apr-2017</v>
      </c>
      <c r="B14445" s="1"/>
    </row>
    <row r="14446">
      <c r="A14446" s="1" t="str">
        <f>IFERROR(__xludf.DUMMYFUNCTION("""COMPUTED_VALUE"""),"128637;INF204KA1LS5;-;Reliance Fixed Horizon Fund- XXVI- Series 6- Direct Plan - Growth Option;13.9835;02-Jul-2018")</f>
        <v>128637;INF204KA1LS5;-;Reliance Fixed Horizon Fund- XXVI- Series 6- Direct Plan - Growth Option;13.9835;02-Jul-2018</v>
      </c>
      <c r="B14446" s="1"/>
    </row>
    <row r="14447">
      <c r="A14447" s="1" t="str">
        <f>IFERROR(__xludf.DUMMYFUNCTION("""COMPUTED_VALUE"""),"128686;INF204KA1LX5;-;Reliance Fixed Horizon Fund- XXVI- Series 7- Direct Plan - Dividend Payout Option;10.0000;19-Apr-2017")</f>
        <v>128686;INF204KA1LX5;-;Reliance Fixed Horizon Fund- XXVI- Series 7- Direct Plan - Dividend Payout Option;10.0000;19-Apr-2017</v>
      </c>
      <c r="B14447" s="1"/>
    </row>
    <row r="14448">
      <c r="A14448" s="1" t="str">
        <f>IFERROR(__xludf.DUMMYFUNCTION("""COMPUTED_VALUE"""),"128688;INF204KA1LW7;-;Reliance Fixed Horizon Fund- XXVI- Series 7- Direct Plan - Growth Option;12.8447;19-Apr-2017")</f>
        <v>128688;INF204KA1LW7;-;Reliance Fixed Horizon Fund- XXVI- Series 7- Direct Plan - Growth Option;12.8447;19-Apr-2017</v>
      </c>
      <c r="B14448" s="1"/>
    </row>
    <row r="14449">
      <c r="A14449" s="1" t="str">
        <f>IFERROR(__xludf.DUMMYFUNCTION("""COMPUTED_VALUE"""),"128685;INF204KA1LV9;-;Reliance Fixed Horizon Fund- XXVI- Series 7- Dividend payout Option;10.0000;19-Apr-2017")</f>
        <v>128685;INF204KA1LV9;-;Reliance Fixed Horizon Fund- XXVI- Series 7- Dividend payout Option;10.0000;19-Apr-2017</v>
      </c>
      <c r="B14449" s="1"/>
    </row>
    <row r="14450">
      <c r="A14450" s="1" t="str">
        <f>IFERROR(__xludf.DUMMYFUNCTION("""COMPUTED_VALUE"""),"128687;INF204KA1LU1;-;Reliance Fixed Horizon Fund- XXVI- Series 7- Growth Option;12.8084;19-Apr-2017")</f>
        <v>128687;INF204KA1LU1;-;Reliance Fixed Horizon Fund- XXVI- Series 7- Growth Option;12.8084;19-Apr-2017</v>
      </c>
      <c r="B14450" s="1"/>
    </row>
    <row r="14451">
      <c r="A14451" s="1" t="str">
        <f>IFERROR(__xludf.DUMMYFUNCTION("""COMPUTED_VALUE"""),"128839;INF204KA1MF0;-;Reliance Fixed Horizon Fund- XXVI- Series 8- Direct Plan - Dividend Payout Option;10.0000;07-Apr-2015")</f>
        <v>128839;INF204KA1MF0;-;Reliance Fixed Horizon Fund- XXVI- Series 8- Direct Plan - Dividend Payout Option;10.0000;07-Apr-2015</v>
      </c>
      <c r="B14451" s="1"/>
    </row>
    <row r="14452">
      <c r="A14452" s="1" t="str">
        <f>IFERROR(__xludf.DUMMYFUNCTION("""COMPUTED_VALUE"""),"128838;INF204KA1ME3;-;Reliance Fixed Horizon Fund- XXVI- Series 8- Direct Plan - Growth Option;10.9364;07-Apr-2015")</f>
        <v>128838;INF204KA1ME3;-;Reliance Fixed Horizon Fund- XXVI- Series 8- Direct Plan - Growth Option;10.9364;07-Apr-2015</v>
      </c>
      <c r="B14452" s="1"/>
    </row>
    <row r="14453">
      <c r="A14453" s="1" t="str">
        <f>IFERROR(__xludf.DUMMYFUNCTION("""COMPUTED_VALUE"""),"128837;INF204KA1MD5;-;Reliance Fixed Horizon Fund- XXVI- Series 8- Dividend payout Option;10.0000;07-Apr-2015")</f>
        <v>128837;INF204KA1MD5;-;Reliance Fixed Horizon Fund- XXVI- Series 8- Dividend payout Option;10.0000;07-Apr-2015</v>
      </c>
      <c r="B14453" s="1"/>
    </row>
    <row r="14454">
      <c r="A14454" s="1" t="str">
        <f>IFERROR(__xludf.DUMMYFUNCTION("""COMPUTED_VALUE"""),"128836;INF204KA1MC7;-;Reliance Fixed Horizon Fund- XXVI- Series 8- Growth Option;10.9233;07-Apr-2015")</f>
        <v>128836;INF204KA1MC7;-;Reliance Fixed Horizon Fund- XXVI- Series 8- Growth Option;10.9233;07-Apr-2015</v>
      </c>
      <c r="B14454" s="1"/>
    </row>
    <row r="14455">
      <c r="A14455" s="1" t="str">
        <f>IFERROR(__xludf.DUMMYFUNCTION("""COMPUTED_VALUE"""),"128841;INF204KA1MI4;-;Reliance Fixed Horizon Fund- XXVI- Series 9- Direct Plan - Growth Option;13.9199;02-Jul-2018")</f>
        <v>128841;INF204KA1MI4;-;Reliance Fixed Horizon Fund- XXVI- Series 9- Direct Plan - Growth Option;13.9199;02-Jul-2018</v>
      </c>
      <c r="B14455" s="1"/>
    </row>
    <row r="14456">
      <c r="A14456" s="1" t="str">
        <f>IFERROR(__xludf.DUMMYFUNCTION("""COMPUTED_VALUE"""),"128840;INF204KA1MH6;-;Reliance Fixed Horizon Fund- XXVI- Series 9- Dividend payout Option;10.0000;07-Apr-2015")</f>
        <v>128840;INF204KA1MH6;-;Reliance Fixed Horizon Fund- XXVI- Series 9- Dividend payout Option;10.0000;07-Apr-2015</v>
      </c>
      <c r="B14456" s="1"/>
    </row>
    <row r="14457">
      <c r="A14457" s="1" t="str">
        <f>IFERROR(__xludf.DUMMYFUNCTION("""COMPUTED_VALUE"""),"128843;INF204KA1MG8;-;Reliance Fixed Horizon Fund- XXVI- Series 9- Growth Option;13.8508;02-Jul-2018")</f>
        <v>128843;INF204KA1MG8;-;Reliance Fixed Horizon Fund- XXVI- Series 9- Growth Option;13.8508;02-Jul-2018</v>
      </c>
      <c r="B14457" s="1"/>
    </row>
    <row r="14458">
      <c r="A14458" s="1" t="str">
        <f>IFERROR(__xludf.DUMMYFUNCTION("""COMPUTED_VALUE"""),"130010;INF204KA1PX6;-;Reliance Fixed Horizon Fund-XXVI-Series 28-Direct Plan-Growth Option;12.8984;24-Jul-2017")</f>
        <v>130010;INF204KA1PX6;-;Reliance Fixed Horizon Fund-XXVI-Series 28-Direct Plan-Growth Option;12.8984;24-Jul-2017</v>
      </c>
      <c r="B14458" s="1"/>
    </row>
    <row r="14459">
      <c r="A14459" s="1" t="str">
        <f>IFERROR(__xludf.DUMMYFUNCTION("""COMPUTED_VALUE"""),"130012;INF204KA1PW8;-;Reliance Fixed Horizon Fund-XXVI-Series 28-Dividend Payout Option;10.0000;24-Jul-2017")</f>
        <v>130012;INF204KA1PW8;-;Reliance Fixed Horizon Fund-XXVI-Series 28-Dividend Payout Option;10.0000;24-Jul-2017</v>
      </c>
      <c r="B14459" s="1"/>
    </row>
    <row r="14460">
      <c r="A14460" s="1" t="str">
        <f>IFERROR(__xludf.DUMMYFUNCTION("""COMPUTED_VALUE"""),"130009;INF204KA1PV0;-;Reliance Fixed Horizon Fund-XXVI-Series 28-Growth Option;12.8386;24-Jul-2017")</f>
        <v>130009;INF204KA1PV0;-;Reliance Fixed Horizon Fund-XXVI-Series 28-Growth Option;12.8386;24-Jul-2017</v>
      </c>
      <c r="B14460" s="1"/>
    </row>
    <row r="14461">
      <c r="A14461" s="1" t="str">
        <f>IFERROR(__xludf.DUMMYFUNCTION("""COMPUTED_VALUE"""),"131379;INF204KA1VD6;-;Reliance Interval Fund III- Series 1- Direct Plan- Growth Option;12.5606;06-Oct-2017")</f>
        <v>131379;INF204KA1VD6;-;Reliance Interval Fund III- Series 1- Direct Plan- Growth Option;12.5606;06-Oct-2017</v>
      </c>
      <c r="B14461" s="1"/>
    </row>
    <row r="14462">
      <c r="A14462" s="1" t="str">
        <f>IFERROR(__xludf.DUMMYFUNCTION("""COMPUTED_VALUE"""),"131381;INF204KA1VB0;-;Reliance Interval Fund III- Series 1- Growth Option;12.5254;06-Oct-2017")</f>
        <v>131381;INF204KA1VB0;-;Reliance Interval Fund III- Series 1- Growth Option;12.5254;06-Oct-2017</v>
      </c>
      <c r="B14462" s="1"/>
    </row>
    <row r="14463">
      <c r="A14463" s="1" t="str">
        <f>IFERROR(__xludf.DUMMYFUNCTION("""COMPUTED_VALUE"""),"121177;INF204K01S33;-;Reliance Yearly Interval Fund - Series 3 - Direct Plan - Growth Plan - Growth Option;14.1912;16-Mar-2017")</f>
        <v>121177;INF204K01S33;-;Reliance Yearly Interval Fund - Series 3 - Direct Plan - Growth Plan - Growth Option;14.1912;16-Mar-2017</v>
      </c>
      <c r="B14463" s="1"/>
    </row>
    <row r="14464">
      <c r="A14464" s="1" t="str">
        <f>IFERROR(__xludf.DUMMYFUNCTION("""COMPUTED_VALUE"""),"121178;INF204K01S17;INF204K01S25;Reliance Yearly Interval Fund - Series 3 - Dividend Plan - Dividend Option;10.0003;16-Mar-2017")</f>
        <v>121178;INF204K01S17;INF204K01S25;Reliance Yearly Interval Fund - Series 3 - Dividend Plan - Dividend Option;10.0003;16-Mar-2017</v>
      </c>
      <c r="B14464" s="1"/>
    </row>
    <row r="14465">
      <c r="A14465" s="1" t="str">
        <f>IFERROR(__xludf.DUMMYFUNCTION("""COMPUTED_VALUE"""),"121180;INF204K01S09;-;Reliance Yearly Interval Fund - Series 3 - Growth Plan - Growth Option;14.1450;16-Mar-2017")</f>
        <v>121180;INF204K01S09;-;Reliance Yearly Interval Fund - Series 3 - Growth Plan - Growth Option;14.1450;16-Mar-2017</v>
      </c>
      <c r="B14465" s="1"/>
    </row>
    <row r="14466">
      <c r="A14466" s="1" t="str">
        <f>IFERROR(__xludf.DUMMYFUNCTION("""COMPUTED_VALUE"""),"122079;INF204K01U21;INF204K01U39;Reliance Yearly Interval Fund - Series 6 - Direct Plan - Dividend Option;10.0000;25-Apr-2017")</f>
        <v>122079;INF204K01U21;INF204K01U39;Reliance Yearly Interval Fund - Series 6 - Direct Plan - Dividend Option;10.0000;25-Apr-2017</v>
      </c>
      <c r="B14466" s="1"/>
    </row>
    <row r="14467">
      <c r="A14467" s="1" t="str">
        <f>IFERROR(__xludf.DUMMYFUNCTION("""COMPUTED_VALUE"""),"122081;INF204K01U13;-;Reliance Yearly Interval Fund - Series 6 - Direct Plan - Growth Option;13.8881;25-Apr-2017")</f>
        <v>122081;INF204K01U13;-;Reliance Yearly Interval Fund - Series 6 - Direct Plan - Growth Option;13.8881;25-Apr-2017</v>
      </c>
      <c r="B14467" s="1"/>
    </row>
    <row r="14468">
      <c r="A14468" s="1" t="str">
        <f>IFERROR(__xludf.DUMMYFUNCTION("""COMPUTED_VALUE"""),"122078;INF204K01T99;INF204K01U05;Reliance Yearly Interval Fund - Series 6 - Dividend Option;10.7650;22-Mar-2016")</f>
        <v>122078;INF204K01T99;INF204K01U05;Reliance Yearly Interval Fund - Series 6 - Dividend Option;10.7650;22-Mar-2016</v>
      </c>
      <c r="B14468" s="1"/>
    </row>
    <row r="14469">
      <c r="A14469" s="1" t="str">
        <f>IFERROR(__xludf.DUMMYFUNCTION("""COMPUTED_VALUE"""),"122080;INF204K01T81;-;Reliance Yearly Interval Fund - Series 6 - Growth Option;13.8380;25-Apr-2017")</f>
        <v>122080;INF204K01T81;-;Reliance Yearly Interval Fund - Series 6 - Growth Option;13.8380;25-Apr-2017</v>
      </c>
      <c r="B14469" s="1"/>
    </row>
    <row r="14470">
      <c r="A14470" s="1" t="str">
        <f>IFERROR(__xludf.DUMMYFUNCTION("""COMPUTED_VALUE"""),"122225;INF204K01U88;INF204K01U96;Reliance Yearly Interval Fund - Series 7 - Direct Plan - Dividend Option;10.0004;12-May-2017")</f>
        <v>122225;INF204K01U88;INF204K01U96;Reliance Yearly Interval Fund - Series 7 - Direct Plan - Dividend Option;10.0004;12-May-2017</v>
      </c>
      <c r="B14470" s="1"/>
    </row>
    <row r="14471">
      <c r="A14471" s="1" t="str">
        <f>IFERROR(__xludf.DUMMYFUNCTION("""COMPUTED_VALUE"""),"122227;INF204K01U70;-;Reliance Yearly Interval Fund - Series 7 - Direct Plan - Growth Option;13.9099;12-May-2017")</f>
        <v>122227;INF204K01U70;-;Reliance Yearly Interval Fund - Series 7 - Direct Plan - Growth Option;13.9099;12-May-2017</v>
      </c>
      <c r="B14471" s="1"/>
    </row>
    <row r="14472">
      <c r="A14472" s="1" t="str">
        <f>IFERROR(__xludf.DUMMYFUNCTION("""COMPUTED_VALUE"""),"122228;INF204K01U54;INF204K01U62;Reliance Yearly Interval Fund - Series 7- Dividend Option;10.0004;12-May-2017")</f>
        <v>122228;INF204K01U54;INF204K01U62;Reliance Yearly Interval Fund - Series 7- Dividend Option;10.0004;12-May-2017</v>
      </c>
      <c r="B14472" s="1"/>
    </row>
    <row r="14473">
      <c r="A14473" s="1" t="str">
        <f>IFERROR(__xludf.DUMMYFUNCTION("""COMPUTED_VALUE"""),"122226;INF204K01U47;-;Reliance Yearly Interval Fund - Series 7- Growth Option;13.8580;12-May-2017")</f>
        <v>122226;INF204K01U47;-;Reliance Yearly Interval Fund - Series 7- Growth Option;13.8580;12-May-2017</v>
      </c>
      <c r="B14473" s="1"/>
    </row>
    <row r="14474">
      <c r="A14474" s="1" t="str">
        <f>IFERROR(__xludf.DUMMYFUNCTION("""COMPUTED_VALUE"""),"121285;INF204K01T08;INF204K01T16;Reliance Yearly Interval Fund - Series 4 - Direct Plan - Dividend Plan - Dividend Option;10.0000;20-Mar-2017")</f>
        <v>121285;INF204K01T08;INF204K01T16;Reliance Yearly Interval Fund - Series 4 - Direct Plan - Dividend Plan - Dividend Option;10.0000;20-Mar-2017</v>
      </c>
      <c r="B14474" s="1"/>
    </row>
    <row r="14475">
      <c r="A14475" s="1" t="str">
        <f>IFERROR(__xludf.DUMMYFUNCTION("""COMPUTED_VALUE"""),"121286;INF204K01S90;-;Reliance Yearly Interval Fund - Series 4 - Direct Plan - Growth Plan - Growth Option;14.0084;20-Mar-2017")</f>
        <v>121286;INF204K01S90;-;Reliance Yearly Interval Fund - Series 4 - Direct Plan - Growth Plan - Growth Option;14.0084;20-Mar-2017</v>
      </c>
      <c r="B14475" s="1"/>
    </row>
    <row r="14476">
      <c r="A14476" s="1" t="str">
        <f>IFERROR(__xludf.DUMMYFUNCTION("""COMPUTED_VALUE"""),"121287;INF204K01S74;INF204K01S82;Reliance Yearly Interval Fund - Series 4 - Dividend Plan - Dividend Option;10.0000;20-Mar-2017")</f>
        <v>121287;INF204K01S74;INF204K01S82;Reliance Yearly Interval Fund - Series 4 - Dividend Plan - Dividend Option;10.0000;20-Mar-2017</v>
      </c>
      <c r="B14476" s="1"/>
    </row>
    <row r="14477">
      <c r="A14477" s="1" t="str">
        <f>IFERROR(__xludf.DUMMYFUNCTION("""COMPUTED_VALUE"""),"121288;INF204K01S66;-;Reliance Yearly Interval Fund - Series 4- Growth Plan - Growth Option;13.9529;20-Mar-2017")</f>
        <v>121288;INF204K01S66;-;Reliance Yearly Interval Fund - Series 4- Growth Plan - Growth Option;13.9529;20-Mar-2017</v>
      </c>
      <c r="B14477" s="1"/>
    </row>
    <row r="14478">
      <c r="A14478" s="1"/>
      <c r="B14478" s="1"/>
    </row>
    <row r="14479">
      <c r="A14479" s="1" t="str">
        <f>IFERROR(__xludf.DUMMYFUNCTION("""COMPUTED_VALUE"""),"SBI Mutual Fund")</f>
        <v>SBI Mutual Fund</v>
      </c>
      <c r="B14479" s="1"/>
    </row>
    <row r="14480">
      <c r="A14480" s="1"/>
      <c r="B14480" s="1"/>
    </row>
    <row r="14481">
      <c r="A14481" s="1" t="str">
        <f>IFERROR(__xludf.DUMMYFUNCTION("""COMPUTED_VALUE"""),"146547;INF200KA1ZR1;-;SBI Capital Protection Oriented Fund - Series A (Plan 1) - Direct Plan - Growth;12.9818;12-Sep-2022")</f>
        <v>146547;INF200KA1ZR1;-;SBI Capital Protection Oriented Fund - Series A (Plan 1) - Direct Plan - Growth;12.9818;12-Sep-2022</v>
      </c>
      <c r="B14481" s="1"/>
    </row>
    <row r="14482">
      <c r="A14482" s="1" t="str">
        <f>IFERROR(__xludf.DUMMYFUNCTION("""COMPUTED_VALUE"""),"146546;INF200KA1ZQ3;-;SBI Capital Protection Oriented Fund - Series A (Plan 1) - Regular Plan - Growth;12.7641;12-Sep-2022")</f>
        <v>146546;INF200KA1ZQ3;-;SBI Capital Protection Oriented Fund - Series A (Plan 1) - Regular Plan - Growth;12.7641;12-Sep-2022</v>
      </c>
      <c r="B14482" s="1"/>
    </row>
    <row r="14483">
      <c r="A14483" s="1" t="str">
        <f>IFERROR(__xludf.DUMMYFUNCTION("""COMPUTED_VALUE"""),"146704;INF200KA1B96;-;SBI Capital Protection Oriented Fund - Series A (Plan 2) - Direct Plan - Growth;12.9659;12-Sep-2022")</f>
        <v>146704;INF200KA1B96;-;SBI Capital Protection Oriented Fund - Series A (Plan 2) - Direct Plan - Growth;12.9659;12-Sep-2022</v>
      </c>
      <c r="B14483" s="1"/>
    </row>
    <row r="14484">
      <c r="A14484" s="1" t="str">
        <f>IFERROR(__xludf.DUMMYFUNCTION("""COMPUTED_VALUE"""),"146705;INF200KA1B88;-;SBI Capital Protection Oriented Fund - Series A (Plan 2) - Regular Plan - Growth;12.7096;12-Sep-2022")</f>
        <v>146705;INF200KA1B88;-;SBI Capital Protection Oriented Fund - Series A (Plan 2) - Regular Plan - Growth;12.7096;12-Sep-2022</v>
      </c>
      <c r="B14484" s="1"/>
    </row>
    <row r="14485">
      <c r="A14485" s="1" t="str">
        <f>IFERROR(__xludf.DUMMYFUNCTION("""COMPUTED_VALUE"""),"147242;INF200KA1E51;-;SBI Capital Protection Oriented Fund - Series A (Plan 3) - Direct Plan - Growth;13.4606;02-May-2023")</f>
        <v>147242;INF200KA1E51;-;SBI Capital Protection Oriented Fund - Series A (Plan 3) - Direct Plan - Growth;13.4606;02-May-2023</v>
      </c>
      <c r="B14485" s="1"/>
    </row>
    <row r="14486">
      <c r="A14486" s="1" t="str">
        <f>IFERROR(__xludf.DUMMYFUNCTION("""COMPUTED_VALUE"""),"147240;INF200KA1E44;-;SBI Capital Protection Oriented Fund - Series A (Plan 3) - Regular Plan - Growth;13.1890;02-May-2023")</f>
        <v>147240;INF200KA1E44;-;SBI Capital Protection Oriented Fund - Series A (Plan 3) - Regular Plan - Growth;13.1890;02-May-2023</v>
      </c>
      <c r="B14486" s="1"/>
    </row>
    <row r="14487">
      <c r="A14487" s="1" t="str">
        <f>IFERROR(__xludf.DUMMYFUNCTION("""COMPUTED_VALUE"""),"147359;INF200KA1G34;-;SBI Capital Protection Oriented Fund - Series A (Plan 4) - Direct Plan - Growth;13.5446;05-Jun-2023")</f>
        <v>147359;INF200KA1G34;-;SBI Capital Protection Oriented Fund - Series A (Plan 4) - Direct Plan - Growth;13.5446;05-Jun-2023</v>
      </c>
      <c r="B14487" s="1"/>
    </row>
    <row r="14488">
      <c r="A14488" s="1" t="str">
        <f>IFERROR(__xludf.DUMMYFUNCTION("""COMPUTED_VALUE"""),"147360;INF200KA1G26;-;SBI Capital Protection Oriented Fund - Series A (Plan 4) - Regular Plan - Growth;13.2749;05-Jun-2023")</f>
        <v>147360;INF200KA1G26;-;SBI Capital Protection Oriented Fund - Series A (Plan 4) - Regular Plan - Growth;13.2749;05-Jun-2023</v>
      </c>
      <c r="B14488" s="1"/>
    </row>
    <row r="14489">
      <c r="A14489" s="1" t="str">
        <f>IFERROR(__xludf.DUMMYFUNCTION("""COMPUTED_VALUE"""),"147631;INF200KA1K12;-;SBI Capital Protection Oriented Fund - Series A (Plan 5) - Direct Plan - Growth;13.2686;24-May-2023")</f>
        <v>147631;INF200KA1K12;-;SBI Capital Protection Oriented Fund - Series A (Plan 5) - Direct Plan - Growth;13.2686;24-May-2023</v>
      </c>
      <c r="B14489" s="1"/>
    </row>
    <row r="14490">
      <c r="A14490" s="1" t="str">
        <f>IFERROR(__xludf.DUMMYFUNCTION("""COMPUTED_VALUE"""),"147632;INF200KA1K04;-;SBI Capital Protection Oriented Fund - Series A (Plan 5) - Regular Plan - Growth;13.0043;24-May-2023")</f>
        <v>147632;INF200KA1K04;-;SBI Capital Protection Oriented Fund - Series A (Plan 5) - Regular Plan - Growth;13.0043;24-May-2023</v>
      </c>
      <c r="B14490" s="1"/>
    </row>
    <row r="14491">
      <c r="A14491" s="1" t="str">
        <f>IFERROR(__xludf.DUMMYFUNCTION("""COMPUTED_VALUE"""),"147644;INF200KA1K87;-;SBI Capital Protection Oriented Fund - Series A (Plan 6) - Direct Plan - Growth;13.1826;14-Jun-2023")</f>
        <v>147644;INF200KA1K87;-;SBI Capital Protection Oriented Fund - Series A (Plan 6) - Direct Plan - Growth;13.1826;14-Jun-2023</v>
      </c>
      <c r="B14491" s="1"/>
    </row>
    <row r="14492">
      <c r="A14492" s="1" t="str">
        <f>IFERROR(__xludf.DUMMYFUNCTION("""COMPUTED_VALUE"""),"147643;INF200KA1K79;-;SBI Capital Protection Oriented Fund - Series A (Plan 6) - Regular Plan - Growth;12.9139;14-Jun-2023")</f>
        <v>147643;INF200KA1K79;-;SBI Capital Protection Oriented Fund - Series A (Plan 6) - Regular Plan - Growth;12.9139;14-Jun-2023</v>
      </c>
      <c r="B14492" s="1"/>
    </row>
    <row r="14493">
      <c r="A14493" s="1" t="str">
        <f>IFERROR(__xludf.DUMMYFUNCTION("""COMPUTED_VALUE"""),"147942;INF200KA1O67;-;SBI Capital Protection Oriented Fund - Series A (Plan 7) - Direct Plan - Growth;12.8269;19-Jul-2023")</f>
        <v>147942;INF200KA1O67;-;SBI Capital Protection Oriented Fund - Series A (Plan 7) - Direct Plan - Growth;12.8269;19-Jul-2023</v>
      </c>
      <c r="B14493" s="1"/>
    </row>
    <row r="14494">
      <c r="A14494" s="1" t="str">
        <f>IFERROR(__xludf.DUMMYFUNCTION("""COMPUTED_VALUE"""),"147941;INF200KA1O59;-;SBI Capital Protection Oriented Fund - Series A (Plan 7) - Regular Plan - Growth;12.5431;19-Jul-2023")</f>
        <v>147941;INF200KA1O59;-;SBI Capital Protection Oriented Fund - Series A (Plan 7) - Regular Plan - Growth;12.5431;19-Jul-2023</v>
      </c>
      <c r="B14494" s="1"/>
    </row>
    <row r="14495">
      <c r="A14495" s="1" t="str">
        <f>IFERROR(__xludf.DUMMYFUNCTION("""COMPUTED_VALUE"""),"148172;INF200KA1P25;-;SBI Capital Protection Oriented Fund - Series A (Plan 8) - Direct Plan - Growth;13.1016;27-Jul-2023")</f>
        <v>148172;INF200KA1P25;-;SBI Capital Protection Oriented Fund - Series A (Plan 8) - Direct Plan - Growth;13.1016;27-Jul-2023</v>
      </c>
      <c r="B14495" s="1"/>
    </row>
    <row r="14496">
      <c r="A14496" s="1" t="str">
        <f>IFERROR(__xludf.DUMMYFUNCTION("""COMPUTED_VALUE"""),"148171;INF200KA1P17;-;SBI Capital Protection Oriented Fund - Series A (Plan 8) - Regular Plan - Growth;12.8155;27-Jul-2023")</f>
        <v>148171;INF200KA1P17;-;SBI Capital Protection Oriented Fund - Series A (Plan 8) - Regular Plan - Growth;12.8155;27-Jul-2023</v>
      </c>
      <c r="B14496" s="1"/>
    </row>
    <row r="14497">
      <c r="A14497" s="1" t="str">
        <f>IFERROR(__xludf.DUMMYFUNCTION("""COMPUTED_VALUE"""),"144843;INF200KA1VL3;-;SBI Debt Fund Series - C - 23 (1100 Days) - Direct Plan - Income Distribution cum Capital Withdrawal Option (IDCW);12.6537;03-Sep-2021")</f>
        <v>144843;INF200KA1VL3;-;SBI Debt Fund Series - C - 23 (1100 Days) - Direct Plan - Income Distribution cum Capital Withdrawal Option (IDCW);12.6537;03-Sep-2021</v>
      </c>
      <c r="B14497" s="1"/>
    </row>
    <row r="14498">
      <c r="A14498" s="1" t="str">
        <f>IFERROR(__xludf.DUMMYFUNCTION("""COMPUTED_VALUE"""),"144841;INF200KA1VJ7;-;SBI Debt Fund Series - C - 23 (1100 Days) - Regular Plan - Income Distribution cum Capital Withdrawal Option (IDCW);12.5235;03-Sep-2021")</f>
        <v>144841;INF200KA1VJ7;-;SBI Debt Fund Series - C - 23 (1100 Days) - Regular Plan - Income Distribution cum Capital Withdrawal Option (IDCW);12.5235;03-Sep-2021</v>
      </c>
      <c r="B14498" s="1"/>
    </row>
    <row r="14499">
      <c r="A14499" s="1" t="str">
        <f>IFERROR(__xludf.DUMMYFUNCTION("""COMPUTED_VALUE"""),"144842;INF200KA1VK5;-;SBI Debt Fund Series C - 23 - (1100 Days) - Direct Plan - Growth;12.6537;03-Sep-2021")</f>
        <v>144842;INF200KA1VK5;-;SBI Debt Fund Series C - 23 - (1100 Days) - Direct Plan - Growth;12.6537;03-Sep-2021</v>
      </c>
      <c r="B14499" s="1"/>
    </row>
    <row r="14500">
      <c r="A14500" s="1" t="str">
        <f>IFERROR(__xludf.DUMMYFUNCTION("""COMPUTED_VALUE"""),"144840;INF200KA1VI9;-;SBI Debt Fund Series C - 23 - (1100 Days) - Regular Plan - Growth;12.5236;03-Sep-2021")</f>
        <v>144840;INF200KA1VI9;-;SBI Debt Fund Series C - 23 - (1100 Days) - Regular Plan - Growth;12.5236;03-Sep-2021</v>
      </c>
      <c r="B14500" s="1"/>
    </row>
    <row r="14501">
      <c r="A14501" s="1" t="str">
        <f>IFERROR(__xludf.DUMMYFUNCTION("""COMPUTED_VALUE"""),"144920;INF200KA1VP4;-;SBI Debt Fund Series - C - 24 (1100 Days) - Direct Plan - Income Distribution cum Capital Withdrawal Option (IDCW);12.7124;14-Sep-2021")</f>
        <v>144920;INF200KA1VP4;-;SBI Debt Fund Series - C - 24 (1100 Days) - Direct Plan - Income Distribution cum Capital Withdrawal Option (IDCW);12.7124;14-Sep-2021</v>
      </c>
      <c r="B14501" s="1"/>
    </row>
    <row r="14502">
      <c r="A14502" s="1" t="str">
        <f>IFERROR(__xludf.DUMMYFUNCTION("""COMPUTED_VALUE"""),"144917;INF200KA1VN9;-;SBI Debt Fund Series - C - 24 (1100 Days) - Regular Plan - Income Distribution cum Capital Withdrawal Option (IDCW);12.5933;14-Sep-2021")</f>
        <v>144917;INF200KA1VN9;-;SBI Debt Fund Series - C - 24 (1100 Days) - Regular Plan - Income Distribution cum Capital Withdrawal Option (IDCW);12.5933;14-Sep-2021</v>
      </c>
      <c r="B14502" s="1"/>
    </row>
    <row r="14503">
      <c r="A14503" s="1" t="str">
        <f>IFERROR(__xludf.DUMMYFUNCTION("""COMPUTED_VALUE"""),"144918;INF200KA1VO7;-;SBI Debt Fund Series C - 24 - (1100 Days) - Direct Plan - Growth;12.7124;14-Sep-2021")</f>
        <v>144918;INF200KA1VO7;-;SBI Debt Fund Series C - 24 - (1100 Days) - Direct Plan - Growth;12.7124;14-Sep-2021</v>
      </c>
      <c r="B14503" s="1"/>
    </row>
    <row r="14504">
      <c r="A14504" s="1" t="str">
        <f>IFERROR(__xludf.DUMMYFUNCTION("""COMPUTED_VALUE"""),"144919;INF200KA1VM1;-;SBI Debt Fund Series C - 24 - (1100 Days) - Regular Plan - Growth;12.5925;14-Sep-2021")</f>
        <v>144919;INF200KA1VM1;-;SBI Debt Fund Series C - 24 - (1100 Days) - Regular Plan - Growth;12.5925;14-Sep-2021</v>
      </c>
      <c r="B14504" s="1"/>
    </row>
    <row r="14505">
      <c r="A14505" s="1" t="str">
        <f>IFERROR(__xludf.DUMMYFUNCTION("""COMPUTED_VALUE"""),"144993;INF200KA1VU4;-;SBI Debt Fund Series - C - 25 (1100 Days) - Direct Plan - Income Distribution cum Capital Withdrawal Option (IDCW);12.8216;27-Sep-2021")</f>
        <v>144993;INF200KA1VU4;-;SBI Debt Fund Series - C - 25 (1100 Days) - Direct Plan - Income Distribution cum Capital Withdrawal Option (IDCW);12.8216;27-Sep-2021</v>
      </c>
      <c r="B14505" s="1"/>
    </row>
    <row r="14506">
      <c r="A14506" s="1" t="str">
        <f>IFERROR(__xludf.DUMMYFUNCTION("""COMPUTED_VALUE"""),"144991;INF200KA1VS8;-;SBI Debt Fund Series - C - 25 (1100 Days) - Regular Plan - Income Distribution cum Capital Withdrawal Option (IDCW);12.6012;27-Sep-2021")</f>
        <v>144991;INF200KA1VS8;-;SBI Debt Fund Series - C - 25 (1100 Days) - Regular Plan - Income Distribution cum Capital Withdrawal Option (IDCW);12.6012;27-Sep-2021</v>
      </c>
      <c r="B14506" s="1"/>
    </row>
    <row r="14507">
      <c r="A14507" s="1" t="str">
        <f>IFERROR(__xludf.DUMMYFUNCTION("""COMPUTED_VALUE"""),"144992;INF200KA1VT6;-;SBI Debt Fund Series C - 25 - (1100 Days) - Direct Plan - Growth;12.8216;27-Sep-2021")</f>
        <v>144992;INF200KA1VT6;-;SBI Debt Fund Series C - 25 - (1100 Days) - Direct Plan - Growth;12.8216;27-Sep-2021</v>
      </c>
      <c r="B14507" s="1"/>
    </row>
    <row r="14508">
      <c r="A14508" s="1" t="str">
        <f>IFERROR(__xludf.DUMMYFUNCTION("""COMPUTED_VALUE"""),"144990;INF200KA1VR0;-;SBI Debt Fund Series C - 25 - (1100 Days) - Regular Plan - Growth;12.6003;27-Sep-2021")</f>
        <v>144990;INF200KA1VR0;-;SBI Debt Fund Series C - 25 - (1100 Days) - Regular Plan - Growth;12.6003;27-Sep-2021</v>
      </c>
      <c r="B14508" s="1"/>
    </row>
    <row r="14509">
      <c r="A14509" s="1" t="str">
        <f>IFERROR(__xludf.DUMMYFUNCTION("""COMPUTED_VALUE"""),"145230;INF200KA1WC0;-;SBI Debt Fund Series - C - 26 (1125 Days) - Direct Plan - Income Distribution cum Capital Withdrawal Option (IDCW);12.8551;02-Nov-2021")</f>
        <v>145230;INF200KA1WC0;-;SBI Debt Fund Series - C - 26 (1125 Days) - Direct Plan - Income Distribution cum Capital Withdrawal Option (IDCW);12.8551;02-Nov-2021</v>
      </c>
      <c r="B14509" s="1"/>
    </row>
    <row r="14510">
      <c r="A14510" s="1" t="str">
        <f>IFERROR(__xludf.DUMMYFUNCTION("""COMPUTED_VALUE"""),"145231;INF200KA1WA4;-;SBI Debt Fund Series - C - 26 (1125 Days) - Regular Plan - Income Distribution cum Capital Withdrawal Option (IDCW);12.7728;02-Nov-2021")</f>
        <v>145231;INF200KA1WA4;-;SBI Debt Fund Series - C - 26 (1125 Days) - Regular Plan - Income Distribution cum Capital Withdrawal Option (IDCW);12.7728;02-Nov-2021</v>
      </c>
      <c r="B14510" s="1"/>
    </row>
    <row r="14511">
      <c r="A14511" s="1" t="str">
        <f>IFERROR(__xludf.DUMMYFUNCTION("""COMPUTED_VALUE"""),"145229;INF200KA1WB2;-;SBI Debt Fund Series C - 26 - (1125 Days) - Direct Plan - Growth;12.8578;02-Nov-2021")</f>
        <v>145229;INF200KA1WB2;-;SBI Debt Fund Series C - 26 - (1125 Days) - Direct Plan - Growth;12.8578;02-Nov-2021</v>
      </c>
      <c r="B14511" s="1"/>
    </row>
    <row r="14512">
      <c r="A14512" s="1" t="str">
        <f>IFERROR(__xludf.DUMMYFUNCTION("""COMPUTED_VALUE"""),"145232;INF200KA1VZ3;-;SBI Debt Fund Series C - 26 - (1125 Days) - Regular Plan - Growth;12.7184;02-Nov-2021")</f>
        <v>145232;INF200KA1VZ3;-;SBI Debt Fund Series C - 26 - (1125 Days) - Regular Plan - Growth;12.7184;02-Nov-2021</v>
      </c>
      <c r="B14512" s="1"/>
    </row>
    <row r="14513">
      <c r="A14513" s="1" t="str">
        <f>IFERROR(__xludf.DUMMYFUNCTION("""COMPUTED_VALUE"""),"145373;INF200KA12G0;-;SBI Debt Fund Series - C - 27 (391 Days) - Direct Plan - Income Distribution cum Capital Withdrawal Option (IDCW);13.2000;06-Apr-2022")</f>
        <v>145373;INF200KA12G0;-;SBI Debt Fund Series - C - 27 (391 Days) - Direct Plan - Income Distribution cum Capital Withdrawal Option (IDCW);13.2000;06-Apr-2022</v>
      </c>
      <c r="B14513" s="1"/>
    </row>
    <row r="14514">
      <c r="A14514" s="1" t="str">
        <f>IFERROR(__xludf.DUMMYFUNCTION("""COMPUTED_VALUE"""),"145374;INF200KA10G4;-;SBI Debt Fund Series - C - 27 (391 Days) - Regular Plan - Income Distribution cum Capital Withdrawal Option (IDCW);13.0686;06-Apr-2022")</f>
        <v>145374;INF200KA10G4;-;SBI Debt Fund Series - C - 27 (391 Days) - Regular Plan - Income Distribution cum Capital Withdrawal Option (IDCW);13.0686;06-Apr-2022</v>
      </c>
      <c r="B14514" s="1"/>
    </row>
    <row r="14515">
      <c r="A14515" s="1" t="str">
        <f>IFERROR(__xludf.DUMMYFUNCTION("""COMPUTED_VALUE"""),"145372;INF200KA11G2;-;SBI Debt Fund Series C - 27 - (391 Days) - Direct Plan - Growth;13.9362;02-May-2023")</f>
        <v>145372;INF200KA11G2;-;SBI Debt Fund Series C - 27 - (391 Days) - Direct Plan - Growth;13.9362;02-May-2023</v>
      </c>
      <c r="B14515" s="1"/>
    </row>
    <row r="14516">
      <c r="A14516" s="1" t="str">
        <f>IFERROR(__xludf.DUMMYFUNCTION("""COMPUTED_VALUE"""),"145371;INF200KA19F7;-;SBI Debt Fund Series C - 27 - (391 Days) - Regular Plan - Growth;13.7534;02-May-2023")</f>
        <v>145371;INF200KA19F7;-;SBI Debt Fund Series C - 27 - (391 Days) - Regular Plan - Growth;13.7534;02-May-2023</v>
      </c>
      <c r="B14516" s="1"/>
    </row>
    <row r="14517">
      <c r="A14517" s="1" t="str">
        <f>IFERROR(__xludf.DUMMYFUNCTION("""COMPUTED_VALUE"""),"145497;INF200KA16G1;-;SBI Debt Fund Series - C - 28 (386 Days) - Direct Plan - Income Distribution cum Capital Withdrawal Option (IDCW);13.7892;02-May-2023")</f>
        <v>145497;INF200KA16G1;-;SBI Debt Fund Series - C - 28 (386 Days) - Direct Plan - Income Distribution cum Capital Withdrawal Option (IDCW);13.7892;02-May-2023</v>
      </c>
      <c r="B14517" s="1"/>
    </row>
    <row r="14518">
      <c r="A14518" s="1" t="str">
        <f>IFERROR(__xludf.DUMMYFUNCTION("""COMPUTED_VALUE"""),"145498;INF200KA14G6;-;SBI Debt Fund Series - C - 28 (386 Days) - Regular Plan - Income Distribution cum Capital Withdrawal Option (IDCW);12.8961;11-Apr-2022")</f>
        <v>145498;INF200KA14G6;-;SBI Debt Fund Series - C - 28 (386 Days) - Regular Plan - Income Distribution cum Capital Withdrawal Option (IDCW);12.8961;11-Apr-2022</v>
      </c>
      <c r="B14518" s="1"/>
    </row>
    <row r="14519">
      <c r="A14519" s="1" t="str">
        <f>IFERROR(__xludf.DUMMYFUNCTION("""COMPUTED_VALUE"""),"145499;INF200KA15G3;-;SBI Debt Fund Series C - 28 - (386 Days) - Direct Plan - Growth;13.7852;02-May-2023")</f>
        <v>145499;INF200KA15G3;-;SBI Debt Fund Series C - 28 - (386 Days) - Direct Plan - Growth;13.7852;02-May-2023</v>
      </c>
      <c r="B14519" s="1"/>
    </row>
    <row r="14520">
      <c r="A14520" s="1" t="str">
        <f>IFERROR(__xludf.DUMMYFUNCTION("""COMPUTED_VALUE"""),"145500;INF200KA13G8;-;SBI Debt Fund Series C - 28 - (386 Days) - Regular Plan - Growth;13.5858;02-May-2023")</f>
        <v>145500;INF200KA13G8;-;SBI Debt Fund Series C - 28 - (386 Days) - Regular Plan - Growth;13.5858;02-May-2023</v>
      </c>
      <c r="B14520" s="1"/>
    </row>
    <row r="14521">
      <c r="A14521" s="1" t="str">
        <f>IFERROR(__xludf.DUMMYFUNCTION("""COMPUTED_VALUE"""),"145645;INF200KA10H2;-;SBI Debt Fund Series - C - 30 (385 Days) - Direct Plan - Income Distribution cum Capital Withdrawal Option (IDCW);13.0545;13-Apr-2022")</f>
        <v>145645;INF200KA10H2;-;SBI Debt Fund Series - C - 30 (385 Days) - Direct Plan - Income Distribution cum Capital Withdrawal Option (IDCW);13.0545;13-Apr-2022</v>
      </c>
      <c r="B14521" s="1"/>
    </row>
    <row r="14522">
      <c r="A14522" s="1" t="str">
        <f>IFERROR(__xludf.DUMMYFUNCTION("""COMPUTED_VALUE"""),"145644;INF200KA18G7;-;SBI Debt Fund Series - C - 30 (385 Days) - Regular Plan - Income Distribution cum Capital Withdrawal Option (IDCW);12.9340;13-Apr-2022")</f>
        <v>145644;INF200KA18G7;-;SBI Debt Fund Series - C - 30 (385 Days) - Regular Plan - Income Distribution cum Capital Withdrawal Option (IDCW);12.9340;13-Apr-2022</v>
      </c>
      <c r="B14522" s="1"/>
    </row>
    <row r="14523">
      <c r="A14523" s="1" t="str">
        <f>IFERROR(__xludf.DUMMYFUNCTION("""COMPUTED_VALUE"""),"145647;INF200KA19G5;-;SBI Debt Fund Series C - 30 - (385 Days) - Direct Plan - Growth;13.7539;02-May-2023")</f>
        <v>145647;INF200KA19G5;-;SBI Debt Fund Series C - 30 - (385 Days) - Direct Plan - Growth;13.7539;02-May-2023</v>
      </c>
      <c r="B14523" s="1"/>
    </row>
    <row r="14524">
      <c r="A14524" s="1" t="str">
        <f>IFERROR(__xludf.DUMMYFUNCTION("""COMPUTED_VALUE"""),"145646;INF200KA17G9;-;SBI Debt Fund Series C - 30 - (385 Days) - Regular Plan - Growth;13.5829;02-May-2023")</f>
        <v>145646;INF200KA17G9;-;SBI Debt Fund Series C - 30 - (385 Days) - Regular Plan - Growth;13.5829;02-May-2023</v>
      </c>
      <c r="B14524" s="1"/>
    </row>
    <row r="14525">
      <c r="A14525" s="1" t="str">
        <f>IFERROR(__xludf.DUMMYFUNCTION("""COMPUTED_VALUE"""),"145744;INF200KA14H4;-;SBI Debt Fund Series - C - 32 (380 Days) - Direct Plan - Income Distribution cum Capital Withdrawal Option (IDCW);13.6968;02-May-2023")</f>
        <v>145744;INF200KA14H4;-;SBI Debt Fund Series - C - 32 (380 Days) - Direct Plan - Income Distribution cum Capital Withdrawal Option (IDCW);13.6968;02-May-2023</v>
      </c>
      <c r="B14525" s="1"/>
    </row>
    <row r="14526">
      <c r="A14526" s="1" t="str">
        <f>IFERROR(__xludf.DUMMYFUNCTION("""COMPUTED_VALUE"""),"145743;INF200KA12H8;-;SBI Debt Fund Series - C - 32 (380 Days) - Regular Plan - Income Distribution cum Capital Withdrawal Option (IDCW);12.8432;18-Apr-2022")</f>
        <v>145743;INF200KA12H8;-;SBI Debt Fund Series - C - 32 (380 Days) - Regular Plan - Income Distribution cum Capital Withdrawal Option (IDCW);12.8432;18-Apr-2022</v>
      </c>
      <c r="B14526" s="1"/>
    </row>
    <row r="14527">
      <c r="A14527" s="1" t="str">
        <f>IFERROR(__xludf.DUMMYFUNCTION("""COMPUTED_VALUE"""),"145746;INF200KA13H6;-;SBI Debt Fund Series C - 32 - (380 Days) - Direct Plan - Growth;13.6942;02-May-2023")</f>
        <v>145746;INF200KA13H6;-;SBI Debt Fund Series C - 32 - (380 Days) - Direct Plan - Growth;13.6942;02-May-2023</v>
      </c>
      <c r="B14527" s="1"/>
    </row>
    <row r="14528">
      <c r="A14528" s="1" t="str">
        <f>IFERROR(__xludf.DUMMYFUNCTION("""COMPUTED_VALUE"""),"145745;INF200KA11H0;-;SBI Debt Fund Series C - 32 - (380 Days) - Regular Plan - Growth;13.5176;02-May-2023")</f>
        <v>145745;INF200KA11H0;-;SBI Debt Fund Series C - 32 - (380 Days) - Regular Plan - Growth;13.5176;02-May-2023</v>
      </c>
      <c r="B14528" s="1"/>
    </row>
    <row r="14529">
      <c r="A14529" s="1" t="str">
        <f>IFERROR(__xludf.DUMMYFUNCTION("""COMPUTED_VALUE"""),"145858;INF200KA1XN5;-;SBI Debt Fund Series - C - 33 (1216 Days) - Direct Plan - Income Distribution cum Capital Withdrawal Option (IDCW);12.9318;19-Apr-2022")</f>
        <v>145858;INF200KA1XN5;-;SBI Debt Fund Series - C - 33 (1216 Days) - Direct Plan - Income Distribution cum Capital Withdrawal Option (IDCW);12.9318;19-Apr-2022</v>
      </c>
      <c r="B14529" s="1"/>
    </row>
    <row r="14530">
      <c r="A14530" s="1" t="str">
        <f>IFERROR(__xludf.DUMMYFUNCTION("""COMPUTED_VALUE"""),"145857;INF200KA1XL9;-;SBI Debt Fund Series - C - 33 (1216 Days) - Regular Plan - Income Distribution cum Capital Withdrawal Option (IDCW);12.8109;19-Apr-2022")</f>
        <v>145857;INF200KA1XL9;-;SBI Debt Fund Series - C - 33 (1216 Days) - Regular Plan - Income Distribution cum Capital Withdrawal Option (IDCW);12.8109;19-Apr-2022</v>
      </c>
      <c r="B14530" s="1"/>
    </row>
    <row r="14531">
      <c r="A14531" s="1" t="str">
        <f>IFERROR(__xludf.DUMMYFUNCTION("""COMPUTED_VALUE"""),"145855;INF200KA1XM7;-;SBI Debt Fund Series C - 33 (1216 Days) - Direct Plan - Growth;12.9318;19-Apr-2022")</f>
        <v>145855;INF200KA1XM7;-;SBI Debt Fund Series C - 33 (1216 Days) - Direct Plan - Growth;12.9318;19-Apr-2022</v>
      </c>
      <c r="B14531" s="1"/>
    </row>
    <row r="14532">
      <c r="A14532" s="1" t="str">
        <f>IFERROR(__xludf.DUMMYFUNCTION("""COMPUTED_VALUE"""),"145856;INF200KA1XK1;-;SBI Debt Fund Series C - 33 (1216 Days) - Regular Plan - Growth;12.8110;19-Apr-2022")</f>
        <v>145856;INF200KA1XK1;-;SBI Debt Fund Series C - 33 (1216 Days) - Regular Plan - Growth;12.8110;19-Apr-2022</v>
      </c>
      <c r="B14532" s="1"/>
    </row>
    <row r="14533">
      <c r="A14533" s="1" t="str">
        <f>IFERROR(__xludf.DUMMYFUNCTION("""COMPUTED_VALUE"""),"145948;INF200KA1XR6;-;SBI Debt Fund Series - C - 34 (1211 Days) - Direct Plan - Income Distribution cum Capital Withdrawal Option (IDCW);12.8817;25-Apr-2022")</f>
        <v>145948;INF200KA1XR6;-;SBI Debt Fund Series - C - 34 (1211 Days) - Direct Plan - Income Distribution cum Capital Withdrawal Option (IDCW);12.8817;25-Apr-2022</v>
      </c>
      <c r="B14533" s="1"/>
    </row>
    <row r="14534">
      <c r="A14534" s="1" t="str">
        <f>IFERROR(__xludf.DUMMYFUNCTION("""COMPUTED_VALUE"""),"145950;INF200KA1XP0;-;SBI Debt Fund Series - C - 34 (1211 Days) - Regular Plan - Income Distribution cum Capital Withdrawal Option (IDCW);12.7542;25-Apr-2022")</f>
        <v>145950;INF200KA1XP0;-;SBI Debt Fund Series - C - 34 (1211 Days) - Regular Plan - Income Distribution cum Capital Withdrawal Option (IDCW);12.7542;25-Apr-2022</v>
      </c>
      <c r="B14534" s="1"/>
    </row>
    <row r="14535">
      <c r="A14535" s="1" t="str">
        <f>IFERROR(__xludf.DUMMYFUNCTION("""COMPUTED_VALUE"""),"145947;INF200KA1XQ8;-;SBI DEBT FUND SERIES C - 34 (1211 DAYS) - DIRECT PLAN - GROWTH;12.8817;25-Apr-2022")</f>
        <v>145947;INF200KA1XQ8;-;SBI DEBT FUND SERIES C - 34 (1211 DAYS) - DIRECT PLAN - GROWTH;12.8817;25-Apr-2022</v>
      </c>
      <c r="B14535" s="1"/>
    </row>
    <row r="14536">
      <c r="A14536" s="1" t="str">
        <f>IFERROR(__xludf.DUMMYFUNCTION("""COMPUTED_VALUE"""),"145949;INF200KA1XO3;-;SBI DEBT FUND SERIES C - 34 (1211 DAYS) - REGULAR PLAN - GROWTH;12.7543;25-Apr-2022")</f>
        <v>145949;INF200KA1XO3;-;SBI DEBT FUND SERIES C - 34 (1211 DAYS) - REGULAR PLAN - GROWTH;12.7543;25-Apr-2022</v>
      </c>
      <c r="B14536" s="1"/>
    </row>
    <row r="14537">
      <c r="A14537" s="1" t="str">
        <f>IFERROR(__xludf.DUMMYFUNCTION("""COMPUTED_VALUE"""),"145988;INF200KA18J1;-;SBI Debt Fund Series - C - 35 (376 Days) - Direct Plan - Income Distribution cum Capital Withdrawal Option (IDCW);13.7022;06-Jun-2023")</f>
        <v>145988;INF200KA18J1;-;SBI Debt Fund Series - C - 35 (376 Days) - Direct Plan - Income Distribution cum Capital Withdrawal Option (IDCW);13.7022;06-Jun-2023</v>
      </c>
      <c r="B14537" s="1"/>
    </row>
    <row r="14538">
      <c r="A14538" s="1" t="str">
        <f>IFERROR(__xludf.DUMMYFUNCTION("""COMPUTED_VALUE"""),"145990;INF200KA16J5;-;SBI Debt Fund Series - C - 35 (376 Days) - Regular Plan - Income Distribution cum Capital Withdrawal Option (IDCW);13.5525;06-Jun-2023")</f>
        <v>145990;INF200KA16J5;-;SBI Debt Fund Series - C - 35 (376 Days) - Regular Plan - Income Distribution cum Capital Withdrawal Option (IDCW);13.5525;06-Jun-2023</v>
      </c>
      <c r="B14538" s="1"/>
    </row>
    <row r="14539">
      <c r="A14539" s="1" t="str">
        <f>IFERROR(__xludf.DUMMYFUNCTION("""COMPUTED_VALUE"""),"145987;INF200KA17J3;-;SBI Debt Fund Series C - 35 (376 Days) - Direct Plan - Growth;13.7009;06-Jun-2023")</f>
        <v>145987;INF200KA17J3;-;SBI Debt Fund Series C - 35 (376 Days) - Direct Plan - Growth;13.7009;06-Jun-2023</v>
      </c>
      <c r="B14539" s="1"/>
    </row>
    <row r="14540">
      <c r="A14540" s="1" t="str">
        <f>IFERROR(__xludf.DUMMYFUNCTION("""COMPUTED_VALUE"""),"145989;INF200KA15J7;-;SBI Debt Fund Series C - 35 (376 Days) - Regular Plan - Growth;13.5511;06-Jun-2023")</f>
        <v>145989;INF200KA15J7;-;SBI Debt Fund Series C - 35 (376 Days) - Regular Plan - Growth;13.5511;06-Jun-2023</v>
      </c>
      <c r="B14540" s="1"/>
    </row>
    <row r="14541">
      <c r="A14541" s="1" t="str">
        <f>IFERROR(__xludf.DUMMYFUNCTION("""COMPUTED_VALUE"""),"146175;INF200KA16K3;-;SBI Debt Fund Series - C - 38 (389 Days) - Direct Plan - Income Distribution cum Capital Withdrawal Option (IDCW);13.6194;23-Jun-2023")</f>
        <v>146175;INF200KA16K3;-;SBI Debt Fund Series - C - 38 (389 Days) - Direct Plan - Income Distribution cum Capital Withdrawal Option (IDCW);13.6194;23-Jun-2023</v>
      </c>
      <c r="B14541" s="1"/>
    </row>
    <row r="14542">
      <c r="A14542" s="1" t="str">
        <f>IFERROR(__xludf.DUMMYFUNCTION("""COMPUTED_VALUE"""),"146176;INF200KA14K8;-;SBI Debt Fund Series - C - 38 (389 Days) - Regular Plan - Income Distribution cum Capital Withdrawal Option (IDCW);13.4662;23-Jun-2023")</f>
        <v>146176;INF200KA14K8;-;SBI Debt Fund Series - C - 38 (389 Days) - Regular Plan - Income Distribution cum Capital Withdrawal Option (IDCW);13.4662;23-Jun-2023</v>
      </c>
      <c r="B14542" s="1"/>
    </row>
    <row r="14543">
      <c r="A14543" s="1" t="str">
        <f>IFERROR(__xludf.DUMMYFUNCTION("""COMPUTED_VALUE"""),"146174;INF200KA15K5;-;SBI Debt Fund Series C - 38 (389 Days) - Direct Plan - Growth;13.6145;23-Jun-2023")</f>
        <v>146174;INF200KA15K5;-;SBI Debt Fund Series C - 38 (389 Days) - Direct Plan - Growth;13.6145;23-Jun-2023</v>
      </c>
      <c r="B14543" s="1"/>
    </row>
    <row r="14544">
      <c r="A14544" s="1" t="str">
        <f>IFERROR(__xludf.DUMMYFUNCTION("""COMPUTED_VALUE"""),"146173;INF200KA13K0;-;SBI Debt Fund Series C - 38 (389 Days) - Regular Plan - Growth;13.4660;23-Jun-2023")</f>
        <v>146173;INF200KA13K0;-;SBI Debt Fund Series C - 38 (389 Days) - Regular Plan - Growth;13.4660;23-Jun-2023</v>
      </c>
      <c r="B14544" s="1"/>
    </row>
    <row r="14545">
      <c r="A14545" s="1" t="str">
        <f>IFERROR(__xludf.DUMMYFUNCTION("""COMPUTED_VALUE"""),"146286;INF200KA1YZ7;-;SBI Debt Fund Series - C - 40 (1177 Days) - Direct Plan - Income Distribution cum Capital Withdrawal Option (IDCW);12.7485;20-Apr-2022")</f>
        <v>146286;INF200KA1YZ7;-;SBI Debt Fund Series - C - 40 (1177 Days) - Direct Plan - Income Distribution cum Capital Withdrawal Option (IDCW);12.7485;20-Apr-2022</v>
      </c>
      <c r="B14545" s="1"/>
    </row>
    <row r="14546">
      <c r="A14546" s="1" t="str">
        <f>IFERROR(__xludf.DUMMYFUNCTION("""COMPUTED_VALUE"""),"146287;INF200KA1YX2;-;SBI Debt Fund Series - C - 40 (1177 Days) - Regular Plan - Income Distribution cum Capital Withdrawal Option (IDCW);12.6463;20-Apr-2022")</f>
        <v>146287;INF200KA1YX2;-;SBI Debt Fund Series - C - 40 (1177 Days) - Regular Plan - Income Distribution cum Capital Withdrawal Option (IDCW);12.6463;20-Apr-2022</v>
      </c>
      <c r="B14546" s="1"/>
    </row>
    <row r="14547">
      <c r="A14547" s="1" t="str">
        <f>IFERROR(__xludf.DUMMYFUNCTION("""COMPUTED_VALUE"""),"146288;INF200KA1YW4;-;SBI Debt Fund Series C - 40 - (1177 Days) - Regular Plan - Growth;12.6463;20-Apr-2022")</f>
        <v>146288;INF200KA1YW4;-;SBI Debt Fund Series C - 40 - (1177 Days) - Regular Plan - Growth;12.6463;20-Apr-2022</v>
      </c>
      <c r="B14547" s="1"/>
    </row>
    <row r="14548">
      <c r="A14548" s="1" t="str">
        <f>IFERROR(__xludf.DUMMYFUNCTION("""COMPUTED_VALUE"""),"146289;INF200KA1YY0;-;SBI Debt Fund Series C - 40- (1177 Days) - Direct Plan - Growth;12.7484;20-Apr-2022")</f>
        <v>146289;INF200KA1YY0;-;SBI Debt Fund Series C - 40- (1177 Days) - Direct Plan - Growth;12.7484;20-Apr-2022</v>
      </c>
      <c r="B14548" s="1"/>
    </row>
    <row r="14549">
      <c r="A14549" s="1" t="str">
        <f>IFERROR(__xludf.DUMMYFUNCTION("""COMPUTED_VALUE"""),"146313;INF200KA1ZD1;-;SBI Debt Fund Series - C - 41 (1178 Days) - Direct Plan - Income Distribution cum Capital Withdrawal Option (IDCW);12.7704;27-Apr-2022")</f>
        <v>146313;INF200KA1ZD1;-;SBI Debt Fund Series - C - 41 (1178 Days) - Direct Plan - Income Distribution cum Capital Withdrawal Option (IDCW);12.7704;27-Apr-2022</v>
      </c>
      <c r="B14549" s="1"/>
    </row>
    <row r="14550">
      <c r="A14550" s="1" t="str">
        <f>IFERROR(__xludf.DUMMYFUNCTION("""COMPUTED_VALUE"""),"146315;INF200KA1ZB5;-;SBI Debt Fund Series - C - 41 (1178 Days) - Regular Plan - Income Distribution cum Capital Withdrawal Option (IDCW);12.6680;27-Apr-2022")</f>
        <v>146315;INF200KA1ZB5;-;SBI Debt Fund Series - C - 41 (1178 Days) - Regular Plan - Income Distribution cum Capital Withdrawal Option (IDCW);12.6680;27-Apr-2022</v>
      </c>
      <c r="B14550" s="1"/>
    </row>
    <row r="14551">
      <c r="A14551" s="1" t="str">
        <f>IFERROR(__xludf.DUMMYFUNCTION("""COMPUTED_VALUE"""),"146312;INF200KA1ZC3;-;SBI Debt Fund Series C - 41 (1178 Days) - Direct Plan - Growth;12.7704;27-Apr-2022")</f>
        <v>146312;INF200KA1ZC3;-;SBI Debt Fund Series C - 41 (1178 Days) - Direct Plan - Growth;12.7704;27-Apr-2022</v>
      </c>
      <c r="B14551" s="1"/>
    </row>
    <row r="14552">
      <c r="A14552" s="1" t="str">
        <f>IFERROR(__xludf.DUMMYFUNCTION("""COMPUTED_VALUE"""),"146314;INF200KA1ZA7;-;SBI Debt Fund Series C - 41 (1178 Days) - Regular Plan - Growth;12.6680;27-Apr-2022")</f>
        <v>146314;INF200KA1ZA7;-;SBI Debt Fund Series C - 41 (1178 Days) - Regular Plan - Growth;12.6680;27-Apr-2022</v>
      </c>
      <c r="B14552" s="1"/>
    </row>
    <row r="14553">
      <c r="A14553" s="1" t="str">
        <f>IFERROR(__xludf.DUMMYFUNCTION("""COMPUTED_VALUE"""),"146368;INF200KA10J8;-;SBI Debt Fund Series - C - 43 (384 Days) - Direct Plan - Income Distribution cum Capital Withdrawal Option (IDCW);13.5652;23-May-2023")</f>
        <v>146368;INF200KA10J8;-;SBI Debt Fund Series - C - 43 (384 Days) - Direct Plan - Income Distribution cum Capital Withdrawal Option (IDCW);13.5652;23-May-2023</v>
      </c>
      <c r="B14553" s="1"/>
    </row>
    <row r="14554">
      <c r="A14554" s="1" t="str">
        <f>IFERROR(__xludf.DUMMYFUNCTION("""COMPUTED_VALUE"""),"146366;INF200KA18I3;-;SBI Debt Fund Series - C - 43 (384 Days) - Regular Plan - Income Distribution cum Capital Withdrawal Option (IDCW);13.4213;23-May-2023")</f>
        <v>146366;INF200KA18I3;-;SBI Debt Fund Series - C - 43 (384 Days) - Regular Plan - Income Distribution cum Capital Withdrawal Option (IDCW);13.4213;23-May-2023</v>
      </c>
      <c r="B14554" s="1"/>
    </row>
    <row r="14555">
      <c r="A14555" s="1" t="str">
        <f>IFERROR(__xludf.DUMMYFUNCTION("""COMPUTED_VALUE"""),"146367;INF200KA19I1;-;SBI Debt Fund Series C - 43 (384 Days) - Direct Plan - Growth;13.5656;23-May-2023")</f>
        <v>146367;INF200KA19I1;-;SBI Debt Fund Series C - 43 (384 Days) - Direct Plan - Growth;13.5656;23-May-2023</v>
      </c>
      <c r="B14555" s="1"/>
    </row>
    <row r="14556">
      <c r="A14556" s="1" t="str">
        <f>IFERROR(__xludf.DUMMYFUNCTION("""COMPUTED_VALUE"""),"146369;INF200KA17I5;-;SBI Debt Fund Series C - 43 (384 Days) - Regular Plan - Growth;13.4214;23-May-2023")</f>
        <v>146369;INF200KA17I5;-;SBI Debt Fund Series C - 43 (384 Days) - Regular Plan - Growth;13.4214;23-May-2023</v>
      </c>
      <c r="B14556" s="1"/>
    </row>
    <row r="14557">
      <c r="A14557" s="1" t="str">
        <f>IFERROR(__xludf.DUMMYFUNCTION("""COMPUTED_VALUE"""),"146494;INF200KA14J0;-;SBI Debt Fund Series - C - 44 (378 Days) - Direct Plan - Income Distribution cum Capital Withdrawal Option (IDCW);13.5692;23-May-2023")</f>
        <v>146494;INF200KA14J0;-;SBI Debt Fund Series - C - 44 (378 Days) - Direct Plan - Income Distribution cum Capital Withdrawal Option (IDCW);13.5692;23-May-2023</v>
      </c>
      <c r="B14557" s="1"/>
    </row>
    <row r="14558">
      <c r="A14558" s="1" t="str">
        <f>IFERROR(__xludf.DUMMYFUNCTION("""COMPUTED_VALUE"""),"146496;INF200KA12J4;-;SBI Debt Fund Series - C - 44 (378 Days) - Regular Plan - Income Distribution cum Capital Withdrawal Option (IDCW);13.4258;23-May-2023")</f>
        <v>146496;INF200KA12J4;-;SBI Debt Fund Series - C - 44 (378 Days) - Regular Plan - Income Distribution cum Capital Withdrawal Option (IDCW);13.4258;23-May-2023</v>
      </c>
      <c r="B14558" s="1"/>
    </row>
    <row r="14559">
      <c r="A14559" s="1" t="str">
        <f>IFERROR(__xludf.DUMMYFUNCTION("""COMPUTED_VALUE"""),"146495;INF200KA13J2;-;SBI Debt Fund Series C - 44 (378 Days) - Direct Plan - Growth;13.5685;23-May-2023")</f>
        <v>146495;INF200KA13J2;-;SBI Debt Fund Series C - 44 (378 Days) - Direct Plan - Growth;13.5685;23-May-2023</v>
      </c>
      <c r="B14559" s="1"/>
    </row>
    <row r="14560">
      <c r="A14560" s="1" t="str">
        <f>IFERROR(__xludf.DUMMYFUNCTION("""COMPUTED_VALUE"""),"146493;INF200KA11J6;-;SBI Debt Fund Series C - 44 (378 Days) - Regular Plan - Growth;13.4259;23-May-2023")</f>
        <v>146493;INF200KA11J6;-;SBI Debt Fund Series C - 44 (378 Days) - Regular Plan - Growth;13.4259;23-May-2023</v>
      </c>
      <c r="B14560" s="1"/>
    </row>
    <row r="14561">
      <c r="A14561" s="1" t="str">
        <f>IFERROR(__xludf.DUMMYFUNCTION("""COMPUTED_VALUE"""),"146591;INF200KA12K2;-;SBI Debt Fund Series - C - 46 (376 Days) - Direct Plan - Income Distribution cum Capital Withdrawal Option (IDCW);13.4550;06-Jun-2023")</f>
        <v>146591;INF200KA12K2;-;SBI Debt Fund Series - C - 46 (376 Days) - Direct Plan - Income Distribution cum Capital Withdrawal Option (IDCW);13.4550;06-Jun-2023</v>
      </c>
      <c r="B14561" s="1"/>
    </row>
    <row r="14562">
      <c r="A14562" s="1" t="str">
        <f>IFERROR(__xludf.DUMMYFUNCTION("""COMPUTED_VALUE"""),"146593;INF200KA10K6;-;SBI Debt Fund Series - C - 46 (376 Days) - Regular Plan - Income Distribution cum Capital Withdrawal Option (IDCW);13.3129;06-Jun-2023")</f>
        <v>146593;INF200KA10K6;-;SBI Debt Fund Series - C - 46 (376 Days) - Regular Plan - Income Distribution cum Capital Withdrawal Option (IDCW);13.3129;06-Jun-2023</v>
      </c>
      <c r="B14562" s="1"/>
    </row>
    <row r="14563">
      <c r="A14563" s="1" t="str">
        <f>IFERROR(__xludf.DUMMYFUNCTION("""COMPUTED_VALUE"""),"146592;INF200KA11K4;-;SBI Debt Fund Series C - 46 (376 Days) - Direct Plan- Growth;13.4568;06-Jun-2023")</f>
        <v>146592;INF200KA11K4;-;SBI Debt Fund Series C - 46 (376 Days) - Direct Plan- Growth;13.4568;06-Jun-2023</v>
      </c>
      <c r="B14563" s="1"/>
    </row>
    <row r="14564">
      <c r="A14564" s="1" t="str">
        <f>IFERROR(__xludf.DUMMYFUNCTION("""COMPUTED_VALUE"""),"146590;INF200KA19J9;-;SBI Debt Fund Series C - 46 (376 Days) - Regular Plan - Growth;13.3128;06-Jun-2023")</f>
        <v>146590;INF200KA19J9;-;SBI Debt Fund Series C - 46 (376 Days) - Regular Plan - Growth;13.3128;06-Jun-2023</v>
      </c>
      <c r="B14564" s="1"/>
    </row>
    <row r="14565">
      <c r="A14565" s="1" t="str">
        <f>IFERROR(__xludf.DUMMYFUNCTION("""COMPUTED_VALUE"""),"146656;INF200KA19K7;-;SBI Debt Fund Series C - 48 (385 Days) - Direct Plan - Growth;13.5228;22-Jun-2023")</f>
        <v>146656;INF200KA19K7;-;SBI Debt Fund Series C - 48 (385 Days) - Direct Plan - Growth;13.5228;22-Jun-2023</v>
      </c>
      <c r="B14565" s="1"/>
    </row>
    <row r="14566">
      <c r="A14566" s="1" t="str">
        <f>IFERROR(__xludf.DUMMYFUNCTION("""COMPUTED_VALUE"""),"146658;INF200KA10L4;-;SBI Debt Fund Series C - 48 (385 Days) - Direct Plan - Income Distribution cum Capital Withdrawal Option (IDCW);13.5240;22-Jun-2023")</f>
        <v>146658;INF200KA10L4;-;SBI Debt Fund Series C - 48 (385 Days) - Direct Plan - Income Distribution cum Capital Withdrawal Option (IDCW);13.5240;22-Jun-2023</v>
      </c>
      <c r="B14566" s="1"/>
    </row>
    <row r="14567">
      <c r="A14567" s="1" t="str">
        <f>IFERROR(__xludf.DUMMYFUNCTION("""COMPUTED_VALUE"""),"146655;INF200KA17K1;-;SBI Debt Fund Series C - 48 (385 Days) - Regular Plan - Growth;13.3782;22-Jun-2023")</f>
        <v>146655;INF200KA17K1;-;SBI Debt Fund Series C - 48 (385 Days) - Regular Plan - Growth;13.3782;22-Jun-2023</v>
      </c>
      <c r="B14567" s="1"/>
    </row>
    <row r="14568">
      <c r="A14568" s="1" t="str">
        <f>IFERROR(__xludf.DUMMYFUNCTION("""COMPUTED_VALUE"""),"146657;INF200KA18K9;-;SBI Debt Fund Series C - 48 (385 Days) - Regular Plan - Income Distribution cum Capital Withdrawal Option (IDCW);13.3782;22-Jun-2023")</f>
        <v>146657;INF200KA18K9;-;SBI Debt Fund Series C - 48 (385 Days) - Regular Plan - Income Distribution cum Capital Withdrawal Option (IDCW);13.3782;22-Jun-2023</v>
      </c>
      <c r="B14568" s="1"/>
    </row>
    <row r="14569">
      <c r="A14569" s="1" t="str">
        <f>IFERROR(__xludf.DUMMYFUNCTION("""COMPUTED_VALUE"""),"146766;INF200KA14L6;-;SBI Debt Fund Series - C - 49 (390 Days) - Direct Plan - Income Distribution cum Capital Withdrawal Option (IDCW);13.4886;04-Jul-2023")</f>
        <v>146766;INF200KA14L6;-;SBI Debt Fund Series - C - 49 (390 Days) - Direct Plan - Income Distribution cum Capital Withdrawal Option (IDCW);13.4886;04-Jul-2023</v>
      </c>
      <c r="B14569" s="1"/>
    </row>
    <row r="14570">
      <c r="A14570" s="1" t="str">
        <f>IFERROR(__xludf.DUMMYFUNCTION("""COMPUTED_VALUE"""),"146767;INF200KA12L0;-;SBI Debt Fund Series - C - 49 (390 Days) - Regular Plan - Income Distribution cum Capital Withdrawal Option (IDCW);13.3400;04-Jul-2023")</f>
        <v>146767;INF200KA12L0;-;SBI Debt Fund Series - C - 49 (390 Days) - Regular Plan - Income Distribution cum Capital Withdrawal Option (IDCW);13.3400;04-Jul-2023</v>
      </c>
      <c r="B14570" s="1"/>
    </row>
    <row r="14571">
      <c r="A14571" s="1" t="str">
        <f>IFERROR(__xludf.DUMMYFUNCTION("""COMPUTED_VALUE"""),"146765;INF200KA13L8;-;SBI Debt Fund Series C - 49 (390 Days) - Direct Plan - Growth;13.4892;04-Jul-2023")</f>
        <v>146765;INF200KA13L8;-;SBI Debt Fund Series C - 49 (390 Days) - Direct Plan - Growth;13.4892;04-Jul-2023</v>
      </c>
      <c r="B14571" s="1"/>
    </row>
    <row r="14572">
      <c r="A14572" s="1" t="str">
        <f>IFERROR(__xludf.DUMMYFUNCTION("""COMPUTED_VALUE"""),"146768;INF200KA11L2;-;SBI Debt Fund Series C - 49 (390 Days) - Regular Plan - Growth;13.3448;04-Jul-2023")</f>
        <v>146768;INF200KA11L2;-;SBI Debt Fund Series C - 49 (390 Days) - Regular Plan - Growth;13.3448;04-Jul-2023</v>
      </c>
      <c r="B14572" s="1"/>
    </row>
    <row r="14573">
      <c r="A14573" s="1" t="str">
        <f>IFERROR(__xludf.DUMMYFUNCTION("""COMPUTED_VALUE"""),"146879;INF200KA18L7;-;SBI Debt Fund Series - C - 50 (383 Days) - Direct Plan - Income Distribution cum Capital Withdrawal Option (IDCW);13.4251;04-Jul-2023")</f>
        <v>146879;INF200KA18L7;-;SBI Debt Fund Series - C - 50 (383 Days) - Direct Plan - Income Distribution cum Capital Withdrawal Option (IDCW);13.4251;04-Jul-2023</v>
      </c>
      <c r="B14573" s="1"/>
    </row>
    <row r="14574">
      <c r="A14574" s="1" t="str">
        <f>IFERROR(__xludf.DUMMYFUNCTION("""COMPUTED_VALUE"""),"146880;INF200KA16L1;-;SBI Debt Fund Series - C - 50 (383 Days) - Regular Plan - Income Distribution cum Capital Withdrawal Option (IDCW);13.2798;04-Jul-2023")</f>
        <v>146880;INF200KA16L1;-;SBI Debt Fund Series - C - 50 (383 Days) - Regular Plan - Income Distribution cum Capital Withdrawal Option (IDCW);13.2798;04-Jul-2023</v>
      </c>
      <c r="B14574" s="1"/>
    </row>
    <row r="14575">
      <c r="A14575" s="1" t="str">
        <f>IFERROR(__xludf.DUMMYFUNCTION("""COMPUTED_VALUE"""),"146878;INF200KA17L9;-;SBI Debt Fund Series C - 50 (383 Days) - Direct Plan - Growth;13.4227;04-Jul-2023")</f>
        <v>146878;INF200KA17L9;-;SBI Debt Fund Series C - 50 (383 Days) - Direct Plan - Growth;13.4227;04-Jul-2023</v>
      </c>
      <c r="B14575" s="1"/>
    </row>
    <row r="14576">
      <c r="A14576" s="1" t="str">
        <f>IFERROR(__xludf.DUMMYFUNCTION("""COMPUTED_VALUE"""),"146877;INF200KA15L3;-;SBI Debt Fund Series C - 50 (383 Days) - Regular Plan - Growth;13.2799;04-Jul-2023")</f>
        <v>146877;INF200KA15L3;-;SBI Debt Fund Series C - 50 (383 Days) - Regular Plan - Growth;13.2799;04-Jul-2023</v>
      </c>
      <c r="B14576" s="1"/>
    </row>
    <row r="14577">
      <c r="A14577" s="1" t="str">
        <f>IFERROR(__xludf.DUMMYFUNCTION("""COMPUTED_VALUE"""),"145160;INF200KA1VY6;-;SBI Dual Advantage Fund - Series XXX - Direct Plan - Income Distribution cum Capital Withdrawal Option (IDCW);13.4198;27-Dec-2021")</f>
        <v>145160;INF200KA1VY6;-;SBI Dual Advantage Fund - Series XXX - Direct Plan - Income Distribution cum Capital Withdrawal Option (IDCW);13.4198;27-Dec-2021</v>
      </c>
      <c r="B14577" s="1"/>
    </row>
    <row r="14578">
      <c r="A14578" s="1" t="str">
        <f>IFERROR(__xludf.DUMMYFUNCTION("""COMPUTED_VALUE"""),"145159;INF200KA1VW0;-;SBI Dual Advantage Fund - Series XXX - Regular Plan - Income Distribution cum Capital Withdrawal Option (IDCW);13.2033;27-Dec-2021")</f>
        <v>145159;INF200KA1VW0;-;SBI Dual Advantage Fund - Series XXX - Regular Plan - Income Distribution cum Capital Withdrawal Option (IDCW);13.2033;27-Dec-2021</v>
      </c>
      <c r="B14578" s="1"/>
    </row>
    <row r="14579">
      <c r="A14579" s="1" t="str">
        <f>IFERROR(__xludf.DUMMYFUNCTION("""COMPUTED_VALUE"""),"145161;INF200KA1VX8;-;SBI Dual Advantage Fund Series XXX - Direct Plan - Growth;13.4198;27-Dec-2021")</f>
        <v>145161;INF200KA1VX8;-;SBI Dual Advantage Fund Series XXX - Direct Plan - Growth;13.4198;27-Dec-2021</v>
      </c>
      <c r="B14579" s="1"/>
    </row>
    <row r="14580">
      <c r="A14580" s="1" t="str">
        <f>IFERROR(__xludf.DUMMYFUNCTION("""COMPUTED_VALUE"""),"145162;INF200KA1VV2;-;SBI Dual Advantage Fund Series XXX - Regular Plan - Growth;13.2033;27-Dec-2021")</f>
        <v>145162;INF200KA1VV2;-;SBI Dual Advantage Fund Series XXX - Regular Plan - Growth;13.2033;27-Dec-2021</v>
      </c>
      <c r="B14580" s="1"/>
    </row>
    <row r="14581">
      <c r="A14581" s="1" t="str">
        <f>IFERROR(__xludf.DUMMYFUNCTION("""COMPUTED_VALUE"""),"146974;INF200KA1D03;-;SBI Fixed Maturity Plan (FMP) - Series 1 (3668 Days) - Direct Plan - Growth;14.1828;25-Aug-2023")</f>
        <v>146974;INF200KA1D03;-;SBI Fixed Maturity Plan (FMP) - Series 1 (3668 Days) - Direct Plan - Growth;14.1828;25-Aug-2023</v>
      </c>
      <c r="B14581" s="1"/>
    </row>
    <row r="14582">
      <c r="A14582" s="1" t="str">
        <f>IFERROR(__xludf.DUMMYFUNCTION("""COMPUTED_VALUE"""),"146975;INF200KA1D11;-;SBI Fixed Maturity Plan (FMP) - Series 1 (3668 Days) - Direct Plan - Income Distribution cum Capital Withdrawal Option (IDCW);14.1862;25-Aug-2023")</f>
        <v>146975;INF200KA1D11;-;SBI Fixed Maturity Plan (FMP) - Series 1 (3668 Days) - Direct Plan - Income Distribution cum Capital Withdrawal Option (IDCW);14.1862;25-Aug-2023</v>
      </c>
      <c r="B14582" s="1"/>
    </row>
    <row r="14583">
      <c r="A14583" s="1" t="str">
        <f>IFERROR(__xludf.DUMMYFUNCTION("""COMPUTED_VALUE"""),"146976;INF200KA1C87;-;SBI Fixed Maturity Plan (FMP) - Series 1 (3668 Days) - Regular Plan - Growth;14.0311;25-Aug-2023")</f>
        <v>146976;INF200KA1C87;-;SBI Fixed Maturity Plan (FMP) - Series 1 (3668 Days) - Regular Plan - Growth;14.0311;25-Aug-2023</v>
      </c>
      <c r="B14583" s="1"/>
    </row>
    <row r="14584">
      <c r="A14584" s="1" t="str">
        <f>IFERROR(__xludf.DUMMYFUNCTION("""COMPUTED_VALUE"""),"146973;INF200KA1C95;-;SBI Fixed Maturity Plan (FMP) - Series 1 (3668 Days) - Regular Plan - Income Distribution cum Capital Withdrawal Option (IDCW);14.0309;25-Aug-2023")</f>
        <v>146973;INF200KA1C95;-;SBI Fixed Maturity Plan (FMP) - Series 1 (3668 Days) - Regular Plan - Income Distribution cum Capital Withdrawal Option (IDCW);14.0309;25-Aug-2023</v>
      </c>
      <c r="B14584" s="1"/>
    </row>
    <row r="14585">
      <c r="A14585" s="1" t="str">
        <f>IFERROR(__xludf.DUMMYFUNCTION("""COMPUTED_VALUE"""),"147467;INF200KA1H09;-;SBI Fixed Maturity Plan (FMP) - Series 10 (1178 Days) - Direct Plan - Growth;12.5189;21-Sep-2022")</f>
        <v>147467;INF200KA1H09;-;SBI Fixed Maturity Plan (FMP) - Series 10 (1178 Days) - Direct Plan - Growth;12.5189;21-Sep-2022</v>
      </c>
      <c r="B14585" s="1"/>
    </row>
    <row r="14586">
      <c r="A14586" s="1" t="str">
        <f>IFERROR(__xludf.DUMMYFUNCTION("""COMPUTED_VALUE"""),"147464;INF200KA1H17;-;SBI Fixed Maturity Plan (FMP) - Series 10 (1178 Days) - Direct Plan - Income Distribution cum Capital Withdrawal Option (IDCW);12.5189;21-Sep-2022")</f>
        <v>147464;INF200KA1H17;-;SBI Fixed Maturity Plan (FMP) - Series 10 (1178 Days) - Direct Plan - Income Distribution cum Capital Withdrawal Option (IDCW);12.5189;21-Sep-2022</v>
      </c>
      <c r="B14586" s="1"/>
    </row>
    <row r="14587">
      <c r="A14587" s="1" t="str">
        <f>IFERROR(__xludf.DUMMYFUNCTION("""COMPUTED_VALUE"""),"147465;INF200KA1G83;-;SBI Fixed Maturity Plan (FMP) - Series 10 (1178 Days) - Regular Plan - Growth;12.4183;21-Sep-2022")</f>
        <v>147465;INF200KA1G83;-;SBI Fixed Maturity Plan (FMP) - Series 10 (1178 Days) - Regular Plan - Growth;12.4183;21-Sep-2022</v>
      </c>
      <c r="B14587" s="1"/>
    </row>
    <row r="14588">
      <c r="A14588" s="1" t="str">
        <f>IFERROR(__xludf.DUMMYFUNCTION("""COMPUTED_VALUE"""),"147466;INF200KA1G91;-;SBI Fixed Maturity Plan (FMP) - Series 10 (1178 Days) - Regular Plan - Income Distribution cum Capital Withdrawal Option (IDCW);12.4183;21-Sep-2022")</f>
        <v>147466;INF200KA1G91;-;SBI Fixed Maturity Plan (FMP) - Series 10 (1178 Days) - Regular Plan - Income Distribution cum Capital Withdrawal Option (IDCW);12.4183;21-Sep-2022</v>
      </c>
      <c r="B14588" s="1"/>
    </row>
    <row r="14589">
      <c r="A14589" s="1" t="str">
        <f>IFERROR(__xludf.DUMMYFUNCTION("""COMPUTED_VALUE"""),"147486;INF200KA1H41;-;SBI Fixed Maturity Plan (FMP) - Series 11 (1178 Days) - Direct Plan - Growth;12.4972;28-Sep-2022")</f>
        <v>147486;INF200KA1H41;-;SBI Fixed Maturity Plan (FMP) - Series 11 (1178 Days) - Direct Plan - Growth;12.4972;28-Sep-2022</v>
      </c>
      <c r="B14589" s="1"/>
    </row>
    <row r="14590">
      <c r="A14590" s="1" t="str">
        <f>IFERROR(__xludf.DUMMYFUNCTION("""COMPUTED_VALUE"""),"147487;INF200KA1H58;-;SBI Fixed Maturity Plan (FMP) - Series 11 (1178 Days) - Direct Plan - Income Distribution cum Capital Withdrawal Option (IDCW);12.4971;28-Sep-2022")</f>
        <v>147487;INF200KA1H58;-;SBI Fixed Maturity Plan (FMP) - Series 11 (1178 Days) - Direct Plan - Income Distribution cum Capital Withdrawal Option (IDCW);12.4971;28-Sep-2022</v>
      </c>
      <c r="B14590" s="1"/>
    </row>
    <row r="14591">
      <c r="A14591" s="1" t="str">
        <f>IFERROR(__xludf.DUMMYFUNCTION("""COMPUTED_VALUE"""),"147484;INF200KA1H25;-;SBI Fixed Maturity Plan (FMP) - Series 11 (1178 Days) - Regular Plan - Growth;12.3969;28-Sep-2022")</f>
        <v>147484;INF200KA1H25;-;SBI Fixed Maturity Plan (FMP) - Series 11 (1178 Days) - Regular Plan - Growth;12.3969;28-Sep-2022</v>
      </c>
      <c r="B14591" s="1"/>
    </row>
    <row r="14592">
      <c r="A14592" s="1" t="str">
        <f>IFERROR(__xludf.DUMMYFUNCTION("""COMPUTED_VALUE"""),"147485;INF200KA1H33;-;SBI Fixed Maturity Plan (FMP) - Series 11 (1178 Days) - Regular Plan - Income Distribution cum Capital Withdrawal Option (IDCW);12.3969;28-Sep-2022")</f>
        <v>147485;INF200KA1H33;-;SBI Fixed Maturity Plan (FMP) - Series 11 (1178 Days) - Regular Plan - Income Distribution cum Capital Withdrawal Option (IDCW);12.3969;28-Sep-2022</v>
      </c>
      <c r="B14592" s="1"/>
    </row>
    <row r="14593">
      <c r="A14593" s="1" t="str">
        <f>IFERROR(__xludf.DUMMYFUNCTION("""COMPUTED_VALUE"""),"147560;INF200KA13N4;-;SBI Fixed Maturity Plan (FMP) - Series 14 (384 Days) - Direct Plan - Growth;13.0558;23-Aug-2023")</f>
        <v>147560;INF200KA13N4;-;SBI Fixed Maturity Plan (FMP) - Series 14 (384 Days) - Direct Plan - Growth;13.0558;23-Aug-2023</v>
      </c>
      <c r="B14593" s="1"/>
    </row>
    <row r="14594">
      <c r="A14594" s="1" t="str">
        <f>IFERROR(__xludf.DUMMYFUNCTION("""COMPUTED_VALUE"""),"147561;INF200KA14N2;-;SBI Fixed Maturity Plan (FMP) - Series 14 (384 Days) - Direct Plan - Income Distribution cum Capital Withdrawal Option (IDCW);13.0589;23-Aug-2023")</f>
        <v>147561;INF200KA14N2;-;SBI Fixed Maturity Plan (FMP) - Series 14 (384 Days) - Direct Plan - Income Distribution cum Capital Withdrawal Option (IDCW);13.0589;23-Aug-2023</v>
      </c>
      <c r="B14594" s="1"/>
    </row>
    <row r="14595">
      <c r="A14595" s="1" t="str">
        <f>IFERROR(__xludf.DUMMYFUNCTION("""COMPUTED_VALUE"""),"147559;INF200KA11N8;-;SBI Fixed Maturity Plan (FMP) - Series 14 (384 Days) - Regular Plan - Growth;12.9240;23-Aug-2023")</f>
        <v>147559;INF200KA11N8;-;SBI Fixed Maturity Plan (FMP) - Series 14 (384 Days) - Regular Plan - Growth;12.9240;23-Aug-2023</v>
      </c>
      <c r="B14595" s="1"/>
    </row>
    <row r="14596">
      <c r="A14596" s="1" t="str">
        <f>IFERROR(__xludf.DUMMYFUNCTION("""COMPUTED_VALUE"""),"147562;INF200KA12N6;-;SBI Fixed Maturity Plan (FMP) - Series 14 (384 Days) - Regular Plan - Income Distribution cum Capital Withdrawal Option (IDCW);12.9413;23-Aug-2023")</f>
        <v>147562;INF200KA12N6;-;SBI Fixed Maturity Plan (FMP) - Series 14 (384 Days) - Regular Plan - Income Distribution cum Capital Withdrawal Option (IDCW);12.9413;23-Aug-2023</v>
      </c>
      <c r="B14596" s="1"/>
    </row>
    <row r="14597">
      <c r="A14597" s="1" t="str">
        <f>IFERROR(__xludf.DUMMYFUNCTION("""COMPUTED_VALUE"""),"147582;INF200KA1J07;-;SBI Fixed Maturity Plan (FMP) - Series 15 (1123 Days) - Direct Plan - Growth;12.3053;01-Sep-2022")</f>
        <v>147582;INF200KA1J07;-;SBI Fixed Maturity Plan (FMP) - Series 15 (1123 Days) - Direct Plan - Growth;12.3053;01-Sep-2022</v>
      </c>
      <c r="B14597" s="1"/>
    </row>
    <row r="14598">
      <c r="A14598" s="1" t="str">
        <f>IFERROR(__xludf.DUMMYFUNCTION("""COMPUTED_VALUE"""),"147583;INF200KA1J15;-;SBI Fixed Maturity Plan (FMP) - Series 15 (1123 Days) - Direct Plan - Income Distribution cum Capital Withdrawal Option (IDCW);12.3053;01-Sep-2022")</f>
        <v>147583;INF200KA1J15;-;SBI Fixed Maturity Plan (FMP) - Series 15 (1123 Days) - Direct Plan - Income Distribution cum Capital Withdrawal Option (IDCW);12.3053;01-Sep-2022</v>
      </c>
      <c r="B14598" s="1"/>
    </row>
    <row r="14599">
      <c r="A14599" s="1" t="str">
        <f>IFERROR(__xludf.DUMMYFUNCTION("""COMPUTED_VALUE"""),"147580;INF200KA1I81;-;SBI Fixed Maturity Plan (FMP) - Series 15 (1123 Days) - Regular Plan - Growth;12.2111;01-Sep-2022")</f>
        <v>147580;INF200KA1I81;-;SBI Fixed Maturity Plan (FMP) - Series 15 (1123 Days) - Regular Plan - Growth;12.2111;01-Sep-2022</v>
      </c>
      <c r="B14599" s="1"/>
    </row>
    <row r="14600">
      <c r="A14600" s="1" t="str">
        <f>IFERROR(__xludf.DUMMYFUNCTION("""COMPUTED_VALUE"""),"147581;INF200KA1I99;-;SBI Fixed Maturity Plan (FMP) - Series 15 (1123 Days) - Regular Plan - Income Distribution cum Capital Withdrawal Option (IDCW);12.2111;01-Sep-2022")</f>
        <v>147581;INF200KA1I99;-;SBI Fixed Maturity Plan (FMP) - Series 15 (1123 Days) - Regular Plan - Income Distribution cum Capital Withdrawal Option (IDCW);12.2111;01-Sep-2022</v>
      </c>
      <c r="B14600" s="1"/>
    </row>
    <row r="14601">
      <c r="A14601" s="1" t="str">
        <f>IFERROR(__xludf.DUMMYFUNCTION("""COMPUTED_VALUE"""),"147612;INF200KA1J49;-;SBI Fixed Maturity Plan (FMP) - Series 16 (1116 Days) - Direct Plan - Growth;12.2772;08-Sep-2022")</f>
        <v>147612;INF200KA1J49;-;SBI Fixed Maturity Plan (FMP) - Series 16 (1116 Days) - Direct Plan - Growth;12.2772;08-Sep-2022</v>
      </c>
      <c r="B14601" s="1"/>
    </row>
    <row r="14602">
      <c r="A14602" s="1" t="str">
        <f>IFERROR(__xludf.DUMMYFUNCTION("""COMPUTED_VALUE"""),"147613;INF200KA1J56;-;SBI Fixed Maturity Plan (FMP) - Series 16 (1116 Days) - Direct Plan - Income Distribution cum Capital Withdrawal Option (IDCW);12.2772;08-Sep-2022")</f>
        <v>147613;INF200KA1J56;-;SBI Fixed Maturity Plan (FMP) - Series 16 (1116 Days) - Direct Plan - Income Distribution cum Capital Withdrawal Option (IDCW);12.2772;08-Sep-2022</v>
      </c>
      <c r="B14602" s="1"/>
    </row>
    <row r="14603">
      <c r="A14603" s="1" t="str">
        <f>IFERROR(__xludf.DUMMYFUNCTION("""COMPUTED_VALUE"""),"147611;INF200KA1J23;-;SBI Fixed Maturity Plan (FMP) - Series 16 (1116 Days) - Regular Plan - Growth;12.1837;08-Sep-2022")</f>
        <v>147611;INF200KA1J23;-;SBI Fixed Maturity Plan (FMP) - Series 16 (1116 Days) - Regular Plan - Growth;12.1837;08-Sep-2022</v>
      </c>
      <c r="B14603" s="1"/>
    </row>
    <row r="14604">
      <c r="A14604" s="1" t="str">
        <f>IFERROR(__xludf.DUMMYFUNCTION("""COMPUTED_VALUE"""),"147610;INF200KA1J31;-;SBI Fixed Maturity Plan (FMP) - Series 16 (1116 Days) - Regular Plan - Income Distribution cum Capital Withdrawal Option (IDCW);12.1837;08-Sep-2022")</f>
        <v>147610;INF200KA1J31;-;SBI Fixed Maturity Plan (FMP) - Series 16 (1116 Days) - Regular Plan - Income Distribution cum Capital Withdrawal Option (IDCW);12.1837;08-Sep-2022</v>
      </c>
      <c r="B14604" s="1"/>
    </row>
    <row r="14605">
      <c r="A14605" s="1" t="str">
        <f>IFERROR(__xludf.DUMMYFUNCTION("""COMPUTED_VALUE"""),"147627;INF200KA1J80;-;SBI Fixed Maturity Plan (FMP) - Series 17 (1116 Days) - Direct Plan - Growth;12.2376;15-Sep-2022")</f>
        <v>147627;INF200KA1J80;-;SBI Fixed Maturity Plan (FMP) - Series 17 (1116 Days) - Direct Plan - Growth;12.2376;15-Sep-2022</v>
      </c>
      <c r="B14605" s="1"/>
    </row>
    <row r="14606">
      <c r="A14606" s="1" t="str">
        <f>IFERROR(__xludf.DUMMYFUNCTION("""COMPUTED_VALUE"""),"147628;INF200KA1J98;-;SBI Fixed Maturity Plan (FMP) - Series 17 (1116 Days) - Direct Plan - Income Distribution cum Capital Withdrawal Option (IDCW);12.2376;15-Sep-2022")</f>
        <v>147628;INF200KA1J98;-;SBI Fixed Maturity Plan (FMP) - Series 17 (1116 Days) - Direct Plan - Income Distribution cum Capital Withdrawal Option (IDCW);12.2376;15-Sep-2022</v>
      </c>
      <c r="B14606" s="1"/>
    </row>
    <row r="14607">
      <c r="A14607" s="1" t="str">
        <f>IFERROR(__xludf.DUMMYFUNCTION("""COMPUTED_VALUE"""),"147629;INF200KA1J64;-;SBI Fixed Maturity Plan (FMP) - Series 17 (1116 Days) - Regular Plan - Growth;12.1444;15-Sep-2022")</f>
        <v>147629;INF200KA1J64;-;SBI Fixed Maturity Plan (FMP) - Series 17 (1116 Days) - Regular Plan - Growth;12.1444;15-Sep-2022</v>
      </c>
      <c r="B14607" s="1"/>
    </row>
    <row r="14608">
      <c r="A14608" s="1" t="str">
        <f>IFERROR(__xludf.DUMMYFUNCTION("""COMPUTED_VALUE"""),"147630;INF200KA1J72;-;SBI Fixed Maturity Plan (FMP) - Series 17 (1116 Days) - Regular Plan - Income Distribution cum Capital Withdrawal Option (IDCW);12.1445;15-Sep-2022")</f>
        <v>147630;INF200KA1J72;-;SBI Fixed Maturity Plan (FMP) - Series 17 (1116 Days) - Regular Plan - Income Distribution cum Capital Withdrawal Option (IDCW);12.1445;15-Sep-2022</v>
      </c>
      <c r="B14608" s="1"/>
    </row>
    <row r="14609">
      <c r="A14609" s="1" t="str">
        <f>IFERROR(__xludf.DUMMYFUNCTION("""COMPUTED_VALUE"""),"147641;INF200KA1K53;-;SBI Fixed Maturity Plan (FMP) - Series 18 (1108 Days) - Direct Plan - Growth;12.2187;28-Sep-2022")</f>
        <v>147641;INF200KA1K53;-;SBI Fixed Maturity Plan (FMP) - Series 18 (1108 Days) - Direct Plan - Growth;12.2187;28-Sep-2022</v>
      </c>
      <c r="B14609" s="1"/>
    </row>
    <row r="14610">
      <c r="A14610" s="1" t="str">
        <f>IFERROR(__xludf.DUMMYFUNCTION("""COMPUTED_VALUE"""),"147642;INF200KA1K61;-;SBI Fixed Maturity Plan (FMP) - Series 18 (1108 Days) - Direct Plan - Income Distribution cum Capital Withdrawal Option (IDCW);12.2187;28-Sep-2022")</f>
        <v>147642;INF200KA1K61;-;SBI Fixed Maturity Plan (FMP) - Series 18 (1108 Days) - Direct Plan - Income Distribution cum Capital Withdrawal Option (IDCW);12.2187;28-Sep-2022</v>
      </c>
      <c r="B14610" s="1"/>
    </row>
    <row r="14611">
      <c r="A14611" s="1" t="str">
        <f>IFERROR(__xludf.DUMMYFUNCTION("""COMPUTED_VALUE"""),"147639;INF200KA1K38;-;SBI Fixed Maturity Plan (FMP) - Series 18 (1108 Days) - Regular Plan - Growth;12.1263;28-Sep-2022")</f>
        <v>147639;INF200KA1K38;-;SBI Fixed Maturity Plan (FMP) - Series 18 (1108 Days) - Regular Plan - Growth;12.1263;28-Sep-2022</v>
      </c>
      <c r="B14611" s="1"/>
    </row>
    <row r="14612">
      <c r="A14612" s="1" t="str">
        <f>IFERROR(__xludf.DUMMYFUNCTION("""COMPUTED_VALUE"""),"147640;INF200KA1K46;-;SBI Fixed Maturity Plan (FMP) - Series 18 (1108 Days) - Regular Plan - Income Distribution cum Capital Withdrawal Option (IDCW);12.1263;28-Sep-2022")</f>
        <v>147640;INF200KA1K46;-;SBI Fixed Maturity Plan (FMP) - Series 18 (1108 Days) - Regular Plan - Income Distribution cum Capital Withdrawal Option (IDCW);12.1263;28-Sep-2022</v>
      </c>
      <c r="B14612" s="1"/>
    </row>
    <row r="14613">
      <c r="A14613" s="1" t="str">
        <f>IFERROR(__xludf.DUMMYFUNCTION("""COMPUTED_VALUE"""),"147672;INF200KA1L11;-;SBI Fixed Maturity Plan (FMP) - Series 19 (1115 Days) - Direct  Plan - Growth;12.2184;27-Oct-2022")</f>
        <v>147672;INF200KA1L11;-;SBI Fixed Maturity Plan (FMP) - Series 19 (1115 Days) - Direct  Plan - Growth;12.2184;27-Oct-2022</v>
      </c>
      <c r="B14613" s="1"/>
    </row>
    <row r="14614">
      <c r="A14614" s="1" t="str">
        <f>IFERROR(__xludf.DUMMYFUNCTION("""COMPUTED_VALUE"""),"147669;INF200KA1L29;-;SBI Fixed Maturity Plan (FMP) - Series 19 (1115 Days) - Direct Plan - Income Distribution cum Capital Withdrawal Option (IDCW);12.2184;27-Oct-2022")</f>
        <v>147669;INF200KA1L29;-;SBI Fixed Maturity Plan (FMP) - Series 19 (1115 Days) - Direct Plan - Income Distribution cum Capital Withdrawal Option (IDCW);12.2184;27-Oct-2022</v>
      </c>
      <c r="B14614" s="1"/>
    </row>
    <row r="14615">
      <c r="A14615" s="1" t="str">
        <f>IFERROR(__xludf.DUMMYFUNCTION("""COMPUTED_VALUE"""),"147670;INF200KA1K95;-;SBI Fixed Maturity Plan (FMP) - Series 19 (1115 Days) - Regular Plan - Growth;12.1255;27-Oct-2022")</f>
        <v>147670;INF200KA1K95;-;SBI Fixed Maturity Plan (FMP) - Series 19 (1115 Days) - Regular Plan - Growth;12.1255;27-Oct-2022</v>
      </c>
      <c r="B14615" s="1"/>
    </row>
    <row r="14616">
      <c r="A14616" s="1" t="str">
        <f>IFERROR(__xludf.DUMMYFUNCTION("""COMPUTED_VALUE"""),"147671;INF200KA1L03;-;SBI Fixed Maturity Plan (FMP) - Series 19 (1115 Days) - Regular Plan - Income Distribution cum Capital Withdrawal Option (IDCW);12.1255;27-Oct-2022")</f>
        <v>147671;INF200KA1L03;-;SBI Fixed Maturity Plan (FMP) - Series 19 (1115 Days) - Regular Plan - Income Distribution cum Capital Withdrawal Option (IDCW);12.1255;27-Oct-2022</v>
      </c>
      <c r="B14616" s="1"/>
    </row>
    <row r="14617">
      <c r="A14617" s="1" t="str">
        <f>IFERROR(__xludf.DUMMYFUNCTION("""COMPUTED_VALUE"""),"147104;INF200KA1D45;-;SBI Fixed Maturity Plan (FMP) - Series 2 (1178 Days) - Direct Plan - Growth;12.6275;06-Jul-2022")</f>
        <v>147104;INF200KA1D45;-;SBI Fixed Maturity Plan (FMP) - Series 2 (1178 Days) - Direct Plan - Growth;12.6275;06-Jul-2022</v>
      </c>
      <c r="B14617" s="1"/>
    </row>
    <row r="14618">
      <c r="A14618" s="1" t="str">
        <f>IFERROR(__xludf.DUMMYFUNCTION("""COMPUTED_VALUE"""),"147105;INF200KA1D52;-;SBI Fixed Maturity Plan (FMP) - Series 2 (1178 Days) - Direct Plan - Income Distribution cum Capital Withdrawal Option (IDCW);12.6275;06-Jul-2022")</f>
        <v>147105;INF200KA1D52;-;SBI Fixed Maturity Plan (FMP) - Series 2 (1178 Days) - Direct Plan - Income Distribution cum Capital Withdrawal Option (IDCW);12.6275;06-Jul-2022</v>
      </c>
      <c r="B14618" s="1"/>
    </row>
    <row r="14619">
      <c r="A14619" s="1" t="str">
        <f>IFERROR(__xludf.DUMMYFUNCTION("""COMPUTED_VALUE"""),"147103;INF200KA1D29;-;SBI Fixed Maturity Plan (FMP) - Series 2 (1178 Days) - Regular Plan - Growth;12.5261;06-Jul-2022")</f>
        <v>147103;INF200KA1D29;-;SBI Fixed Maturity Plan (FMP) - Series 2 (1178 Days) - Regular Plan - Growth;12.5261;06-Jul-2022</v>
      </c>
      <c r="B14619" s="1"/>
    </row>
    <row r="14620">
      <c r="A14620" s="1" t="str">
        <f>IFERROR(__xludf.DUMMYFUNCTION("""COMPUTED_VALUE"""),"147106;INF200KA1D37;-;SBI Fixed Maturity Plan (FMP) - Series 2 (1178 Days) - Regular Plan - Income Distribution cum Capital Withdrawal Option (IDCW);12.5261;06-Jul-2022")</f>
        <v>147106;INF200KA1D37;-;SBI Fixed Maturity Plan (FMP) - Series 2 (1178 Days) - Regular Plan - Income Distribution cum Capital Withdrawal Option (IDCW);12.5261;06-Jul-2022</v>
      </c>
      <c r="B14620" s="1"/>
    </row>
    <row r="14621">
      <c r="A14621" s="1" t="str">
        <f>IFERROR(__xludf.DUMMYFUNCTION("""COMPUTED_VALUE"""),"147720;INF200KA1L52;-;SBI Fixed Maturity Plan (FMP) - Series 20 (1109 Days) - Direct Plan - Growth;12.2109;27-Oct-2022")</f>
        <v>147720;INF200KA1L52;-;SBI Fixed Maturity Plan (FMP) - Series 20 (1109 Days) - Direct Plan - Growth;12.2109;27-Oct-2022</v>
      </c>
      <c r="B14621" s="1"/>
    </row>
    <row r="14622">
      <c r="A14622" s="1" t="str">
        <f>IFERROR(__xludf.DUMMYFUNCTION("""COMPUTED_VALUE"""),"147721;INF200KA1L37;-;SBI Fixed Maturity Plan (FMP) - Series 20 (1109 Days) - Regular Plan - Growth;12.1186;27-Oct-2022")</f>
        <v>147721;INF200KA1L37;-;SBI Fixed Maturity Plan (FMP) - Series 20 (1109 Days) - Regular Plan - Growth;12.1186;27-Oct-2022</v>
      </c>
      <c r="B14622" s="1"/>
    </row>
    <row r="14623">
      <c r="A14623" s="1" t="str">
        <f>IFERROR(__xludf.DUMMYFUNCTION("""COMPUTED_VALUE"""),"147722;INF200KA1L60;-;SBI Fixed Maturity Plan (FMP) - Series 20(1109 Days) - Direct Plan - Income Distribution cum Capital Withdrawal Option (IDCW);12.2109;27-Oct-2022")</f>
        <v>147722;INF200KA1L60;-;SBI Fixed Maturity Plan (FMP) - Series 20(1109 Days) - Direct Plan - Income Distribution cum Capital Withdrawal Option (IDCW);12.2109;27-Oct-2022</v>
      </c>
      <c r="B14623" s="1"/>
    </row>
    <row r="14624">
      <c r="A14624" s="1" t="str">
        <f>IFERROR(__xludf.DUMMYFUNCTION("""COMPUTED_VALUE"""),"147719;INF200KA1L45;-;SBI Fixed Maturity Plan (FMP) - Series 20(1109 Days) - Regular Plan - Income Distribution cum Capital Withdrawal Option (IDCW);12.1186;27-Oct-2022")</f>
        <v>147719;INF200KA1L45;-;SBI Fixed Maturity Plan (FMP) - Series 20(1109 Days) - Regular Plan - Income Distribution cum Capital Withdrawal Option (IDCW);12.1186;27-Oct-2022</v>
      </c>
      <c r="B14624" s="1"/>
    </row>
    <row r="14625">
      <c r="A14625" s="1" t="str">
        <f>IFERROR(__xludf.DUMMYFUNCTION("""COMPUTED_VALUE"""),"147744;INF200KA1L94;-;SBI Fixed Maturity Plan (FMP) - Series 21 (1109 Days) - Direct Plan - Growth;12.1831;04-Nov-2022")</f>
        <v>147744;INF200KA1L94;-;SBI Fixed Maturity Plan (FMP) - Series 21 (1109 Days) - Direct Plan - Growth;12.1831;04-Nov-2022</v>
      </c>
      <c r="B14625" s="1"/>
    </row>
    <row r="14626">
      <c r="A14626" s="1" t="str">
        <f>IFERROR(__xludf.DUMMYFUNCTION("""COMPUTED_VALUE"""),"147746;INF200KA1M02;-;SBI Fixed Maturity Plan (FMP) - Series 21 (1109 Days) - Direct Plan - Income Distribution cum Capital Withdrawal Option (IDCW);12.1798;04-Nov-2022")</f>
        <v>147746;INF200KA1M02;-;SBI Fixed Maturity Plan (FMP) - Series 21 (1109 Days) - Direct Plan - Income Distribution cum Capital Withdrawal Option (IDCW);12.1798;04-Nov-2022</v>
      </c>
      <c r="B14626" s="1"/>
    </row>
    <row r="14627">
      <c r="A14627" s="1" t="str">
        <f>IFERROR(__xludf.DUMMYFUNCTION("""COMPUTED_VALUE"""),"147745;INF200KA1L78;-;SBI Fixed Maturity Plan (FMP) - Series 21 (1109 Days) - Regular Plan - Growth;12.0910;04-Nov-2022")</f>
        <v>147745;INF200KA1L78;-;SBI Fixed Maturity Plan (FMP) - Series 21 (1109 Days) - Regular Plan - Growth;12.0910;04-Nov-2022</v>
      </c>
      <c r="B14627" s="1"/>
    </row>
    <row r="14628">
      <c r="A14628" s="1" t="str">
        <f>IFERROR(__xludf.DUMMYFUNCTION("""COMPUTED_VALUE"""),"147747;INF200KA1L86;-;SBI Fixed Maturity Plan (FMP) - Series 21 (1109 Days) - Regular Plan - Income Distribution cum Capital Withdrawal Option (IDCW);12.0910;04-Nov-2022")</f>
        <v>147747;INF200KA1L86;-;SBI Fixed Maturity Plan (FMP) - Series 21 (1109 Days) - Regular Plan - Income Distribution cum Capital Withdrawal Option (IDCW);12.0910;04-Nov-2022</v>
      </c>
      <c r="B14628" s="1"/>
    </row>
    <row r="14629">
      <c r="A14629" s="1" t="str">
        <f>IFERROR(__xludf.DUMMYFUNCTION("""COMPUTED_VALUE"""),"147754;INF200KA1M36;-;SBI Fixed Maturity Plan (FMP) - Series 22 (1106 Days) - Direct Plan - Growth;12.1411;14-Nov-2022")</f>
        <v>147754;INF200KA1M36;-;SBI Fixed Maturity Plan (FMP) - Series 22 (1106 Days) - Direct Plan - Growth;12.1411;14-Nov-2022</v>
      </c>
      <c r="B14629" s="1"/>
    </row>
    <row r="14630">
      <c r="A14630" s="1" t="str">
        <f>IFERROR(__xludf.DUMMYFUNCTION("""COMPUTED_VALUE"""),"147755;INF200KA1M44;-;SBI Fixed Maturity Plan (FMP) - Series 22 (1106 Days) - Direct Plan - Income Distribution cum Capital Withdrawal Option (IDCW);12.1411;14-Nov-2022")</f>
        <v>147755;INF200KA1M44;-;SBI Fixed Maturity Plan (FMP) - Series 22 (1106 Days) - Direct Plan - Income Distribution cum Capital Withdrawal Option (IDCW);12.1411;14-Nov-2022</v>
      </c>
      <c r="B14630" s="1"/>
    </row>
    <row r="14631">
      <c r="A14631" s="1" t="str">
        <f>IFERROR(__xludf.DUMMYFUNCTION("""COMPUTED_VALUE"""),"147752;INF200KA1M10;-;SBI Fixed Maturity Plan (FMP) - Series 22 (1106 Days) - Regular Plan - Growth;12.0496;14-Nov-2022")</f>
        <v>147752;INF200KA1M10;-;SBI Fixed Maturity Plan (FMP) - Series 22 (1106 Days) - Regular Plan - Growth;12.0496;14-Nov-2022</v>
      </c>
      <c r="B14631" s="1"/>
    </row>
    <row r="14632">
      <c r="A14632" s="1" t="str">
        <f>IFERROR(__xludf.DUMMYFUNCTION("""COMPUTED_VALUE"""),"147753;INF200KA1M28;-;SBI Fixed Maturity Plan (FMP) - Series 22 (1106 Days) - Regular Plan - Income Distribution cum Capital Withdrawal Option (IDCW);12.0496;14-Nov-2022")</f>
        <v>147753;INF200KA1M28;-;SBI Fixed Maturity Plan (FMP) - Series 22 (1106 Days) - Regular Plan - Income Distribution cum Capital Withdrawal Option (IDCW);12.0496;14-Nov-2022</v>
      </c>
      <c r="B14632" s="1"/>
    </row>
    <row r="14633">
      <c r="A14633" s="1" t="str">
        <f>IFERROR(__xludf.DUMMYFUNCTION("""COMPUTED_VALUE"""),"147776;INF200KA1N27;-;SBI Fixed Maturity Plan (FMP) - Series 24 (1107 Days) - Direct Plan - Income Distribution cum Capital Withdrawal Option (IDCW);12.1444;01-Dec-2022")</f>
        <v>147776;INF200KA1N27;-;SBI Fixed Maturity Plan (FMP) - Series 24 (1107 Days) - Direct Plan - Income Distribution cum Capital Withdrawal Option (IDCW);12.1444;01-Dec-2022</v>
      </c>
      <c r="B14633" s="1"/>
    </row>
    <row r="14634">
      <c r="A14634" s="1" t="str">
        <f>IFERROR(__xludf.DUMMYFUNCTION("""COMPUTED_VALUE"""),"147775;INF200KA1N01;-;SBI Fixed Maturity Plan (FMP) - Series 24 (1107 Days) - Regular Plan - Income Distribution cum Capital Withdrawal Option (IDCW);12.0527;01-Dec-2022")</f>
        <v>147775;INF200KA1N01;-;SBI Fixed Maturity Plan (FMP) - Series 24 (1107 Days) - Regular Plan - Income Distribution cum Capital Withdrawal Option (IDCW);12.0527;01-Dec-2022</v>
      </c>
      <c r="B14634" s="1"/>
    </row>
    <row r="14635">
      <c r="A14635" s="1" t="str">
        <f>IFERROR(__xludf.DUMMYFUNCTION("""COMPUTED_VALUE"""),"147777;INF200KA1N19;-;SBI Fixed Maturity Plan (FMP) - Series 24 (1107) - Direct Plan - Growth;12.1444;01-Dec-2022")</f>
        <v>147777;INF200KA1N19;-;SBI Fixed Maturity Plan (FMP) - Series 24 (1107) - Direct Plan - Growth;12.1444;01-Dec-2022</v>
      </c>
      <c r="B14635" s="1"/>
    </row>
    <row r="14636">
      <c r="A14636" s="1" t="str">
        <f>IFERROR(__xludf.DUMMYFUNCTION("""COMPUTED_VALUE"""),"147774;INF200KA1M93;-;SBI Fixed Maturity Plan (FMP) - Series 24 (1107) - Regular Plan - Growth;12.0527;01-Dec-2022")</f>
        <v>147774;INF200KA1M93;-;SBI Fixed Maturity Plan (FMP) - Series 24 (1107) - Regular Plan - Growth;12.0527;01-Dec-2022</v>
      </c>
      <c r="B14636" s="1"/>
    </row>
    <row r="14637">
      <c r="A14637" s="1" t="str">
        <f>IFERROR(__xludf.DUMMYFUNCTION("""COMPUTED_VALUE"""),"147783;INF200KA1N50;-;SBI Fixed Maturity Plan (FMP) - Series 25 (1120 Days) - Direct Plan - Growth;12.1211;20-Dec-2022")</f>
        <v>147783;INF200KA1N50;-;SBI Fixed Maturity Plan (FMP) - Series 25 (1120 Days) - Direct Plan - Growth;12.1211;20-Dec-2022</v>
      </c>
      <c r="B14637" s="1"/>
    </row>
    <row r="14638">
      <c r="A14638" s="1" t="str">
        <f>IFERROR(__xludf.DUMMYFUNCTION("""COMPUTED_VALUE"""),"147784;INF200KA1N68;-;SBI Fixed Maturity Plan (FMP) - Series 25 (1120 Days) - Direct Plan - Income Distribution cum Capital Withdrawal Option (IDCW);12.1211;20-Dec-2022")</f>
        <v>147784;INF200KA1N68;-;SBI Fixed Maturity Plan (FMP) - Series 25 (1120 Days) - Direct Plan - Income Distribution cum Capital Withdrawal Option (IDCW);12.1211;20-Dec-2022</v>
      </c>
      <c r="B14638" s="1"/>
    </row>
    <row r="14639">
      <c r="A14639" s="1" t="str">
        <f>IFERROR(__xludf.DUMMYFUNCTION("""COMPUTED_VALUE"""),"147785;INF200KA1N35;-;SBI Fixed Maturity Plan (FMP) - Series 25 (1120 Days) - Regular Plan - Growth;12.0285;20-Dec-2022")</f>
        <v>147785;INF200KA1N35;-;SBI Fixed Maturity Plan (FMP) - Series 25 (1120 Days) - Regular Plan - Growth;12.0285;20-Dec-2022</v>
      </c>
      <c r="B14639" s="1"/>
    </row>
    <row r="14640">
      <c r="A14640" s="1" t="str">
        <f>IFERROR(__xludf.DUMMYFUNCTION("""COMPUTED_VALUE"""),"147782;INF200KA1N43;-;SBI Fixed Maturity Plan (FMP) - Series 25 (1120 Days) - Regular Plan - Income Distribution cum Capital Withdrawal Option (IDCW);12.0285;20-Dec-2022")</f>
        <v>147782;INF200KA1N43;-;SBI Fixed Maturity Plan (FMP) - Series 25 (1120 Days) - Regular Plan - Income Distribution cum Capital Withdrawal Option (IDCW);12.0285;20-Dec-2022</v>
      </c>
      <c r="B14640" s="1"/>
    </row>
    <row r="14641">
      <c r="A14641" s="1" t="str">
        <f>IFERROR(__xludf.DUMMYFUNCTION("""COMPUTED_VALUE"""),"147792;INF200KA1N92;-;SBI Fixed Maturity Plan (FMP) - Series 26 (1112 Days) - Direct Plan - Growth;12.1486;19-Dec-2022")</f>
        <v>147792;INF200KA1N92;-;SBI Fixed Maturity Plan (FMP) - Series 26 (1112 Days) - Direct Plan - Growth;12.1486;19-Dec-2022</v>
      </c>
      <c r="B14641" s="1"/>
    </row>
    <row r="14642">
      <c r="A14642" s="1" t="str">
        <f>IFERROR(__xludf.DUMMYFUNCTION("""COMPUTED_VALUE"""),"147793;INF200KA1O00;-;SBI Fixed Maturity Plan (FMP) - Series 26 (1112 Days) - Direct Plan - Income Distribution cum Capital Withdrawal Option (IDCW);12.1485;19-Dec-2022")</f>
        <v>147793;INF200KA1O00;-;SBI Fixed Maturity Plan (FMP) - Series 26 (1112 Days) - Direct Plan - Income Distribution cum Capital Withdrawal Option (IDCW);12.1485;19-Dec-2022</v>
      </c>
      <c r="B14642" s="1"/>
    </row>
    <row r="14643">
      <c r="A14643" s="1" t="str">
        <f>IFERROR(__xludf.DUMMYFUNCTION("""COMPUTED_VALUE"""),"147790;INF200KA1N76;-;SBI Fixed Maturity Plan (FMP) - Series 26 (1112 Days) - Regular Plan - Growth;12.0565;19-Dec-2022")</f>
        <v>147790;INF200KA1N76;-;SBI Fixed Maturity Plan (FMP) - Series 26 (1112 Days) - Regular Plan - Growth;12.0565;19-Dec-2022</v>
      </c>
      <c r="B14643" s="1"/>
    </row>
    <row r="14644">
      <c r="A14644" s="1" t="str">
        <f>IFERROR(__xludf.DUMMYFUNCTION("""COMPUTED_VALUE"""),"147791;INF200KA1N84;-;SBI Fixed Maturity Plan (FMP) - Series 26 (1112 Days) - Regular Plan - Income Distribution cum Capital Withdrawal Option (IDCW);12.0565;19-Dec-2022")</f>
        <v>147791;INF200KA1N84;-;SBI Fixed Maturity Plan (FMP) - Series 26 (1112 Days) - Regular Plan - Income Distribution cum Capital Withdrawal Option (IDCW);12.0565;19-Dec-2022</v>
      </c>
      <c r="B14644" s="1"/>
    </row>
    <row r="14645">
      <c r="A14645" s="1" t="str">
        <f>IFERROR(__xludf.DUMMYFUNCTION("""COMPUTED_VALUE"""),"147873;INF200KA1O34;-;SBI Fixed Maturity Plan (FMP) - Series 27 (1203 Days) - Direct Plan - Growth;12.3847;25-Apr-2023")</f>
        <v>147873;INF200KA1O34;-;SBI Fixed Maturity Plan (FMP) - Series 27 (1203 Days) - Direct Plan - Growth;12.3847;25-Apr-2023</v>
      </c>
      <c r="B14645" s="1"/>
    </row>
    <row r="14646">
      <c r="A14646" s="1" t="str">
        <f>IFERROR(__xludf.DUMMYFUNCTION("""COMPUTED_VALUE"""),"147871;INF200KA1O42;-;SBI Fixed Maturity Plan (FMP) - Series 27 (1203 Days) - Direct Plan - Income Distribution cum Capital Withdrawal Option (IDCW);12.3847;25-Apr-2023")</f>
        <v>147871;INF200KA1O42;-;SBI Fixed Maturity Plan (FMP) - Series 27 (1203 Days) - Direct Plan - Income Distribution cum Capital Withdrawal Option (IDCW);12.3847;25-Apr-2023</v>
      </c>
      <c r="B14646" s="1"/>
    </row>
    <row r="14647">
      <c r="A14647" s="1" t="str">
        <f>IFERROR(__xludf.DUMMYFUNCTION("""COMPUTED_VALUE"""),"147872;INF200KA1O18;-;SBI Fixed Maturity Plan (FMP) - Series 27 (1203 Days) - Regular Plan - Growth;12.2831;25-Apr-2023")</f>
        <v>147872;INF200KA1O18;-;SBI Fixed Maturity Plan (FMP) - Series 27 (1203 Days) - Regular Plan - Growth;12.2831;25-Apr-2023</v>
      </c>
      <c r="B14647" s="1"/>
    </row>
    <row r="14648">
      <c r="A14648" s="1" t="str">
        <f>IFERROR(__xludf.DUMMYFUNCTION("""COMPUTED_VALUE"""),"147870;INF200KA1O26;-;SBI Fixed Maturity Plan (FMP) - Series 27 (1203 Days) - Regular Plan - Income Distribution cum Capital Withdrawal Option (IDCW);12.2831;25-Apr-2023")</f>
        <v>147870;INF200KA1O26;-;SBI Fixed Maturity Plan (FMP) - Series 27 (1203 Days) - Regular Plan - Income Distribution cum Capital Withdrawal Option (IDCW);12.2831;25-Apr-2023</v>
      </c>
      <c r="B14648" s="1"/>
    </row>
    <row r="14649">
      <c r="A14649" s="1" t="str">
        <f>IFERROR(__xludf.DUMMYFUNCTION("""COMPUTED_VALUE"""),"148056;INF200KA1O91;-;SBI Fixed Maturity Plan (FMP) - Series 28 (1163 Days) - Direct Plan - Growth;12.1787;25-Apr-2023")</f>
        <v>148056;INF200KA1O91;-;SBI Fixed Maturity Plan (FMP) - Series 28 (1163 Days) - Direct Plan - Growth;12.1787;25-Apr-2023</v>
      </c>
      <c r="B14649" s="1"/>
    </row>
    <row r="14650">
      <c r="A14650" s="1" t="str">
        <f>IFERROR(__xludf.DUMMYFUNCTION("""COMPUTED_VALUE"""),"148058;INF200KA1P09;-;SBI Fixed Maturity Plan (FMP) - Series 28 (1163 Days) - Direct Plan - Income Distribution cum Capital Withdrawal Option (IDCW);12.1787;25-Apr-2023")</f>
        <v>148058;INF200KA1P09;-;SBI Fixed Maturity Plan (FMP) - Series 28 (1163 Days) - Direct Plan - Income Distribution cum Capital Withdrawal Option (IDCW);12.1787;25-Apr-2023</v>
      </c>
      <c r="B14650" s="1"/>
    </row>
    <row r="14651">
      <c r="A14651" s="1" t="str">
        <f>IFERROR(__xludf.DUMMYFUNCTION("""COMPUTED_VALUE"""),"148057;INF200KA1O75;-;SBI Fixed Maturity Plan (FMP) - Series 28 (1163 Days) - Regular Plan - Growth;12.0837;25-Apr-2023")</f>
        <v>148057;INF200KA1O75;-;SBI Fixed Maturity Plan (FMP) - Series 28 (1163 Days) - Regular Plan - Growth;12.0837;25-Apr-2023</v>
      </c>
      <c r="B14651" s="1"/>
    </row>
    <row r="14652">
      <c r="A14652" s="1" t="str">
        <f>IFERROR(__xludf.DUMMYFUNCTION("""COMPUTED_VALUE"""),"148055;INF200KA1O83;-;SBI Fixed Maturity Plan (FMP) - Series 28 (1163 Days) - Regular Plan - Income Distribution cum Capital Withdrawal Option (IDCW);12.0837;25-Apr-2023")</f>
        <v>148055;INF200KA1O83;-;SBI Fixed Maturity Plan (FMP) - Series 28 (1163 Days) - Regular Plan - Income Distribution cum Capital Withdrawal Option (IDCW);12.0837;25-Apr-2023</v>
      </c>
      <c r="B14652" s="1"/>
    </row>
    <row r="14653">
      <c r="A14653" s="1" t="str">
        <f>IFERROR(__xludf.DUMMYFUNCTION("""COMPUTED_VALUE"""),"147135;INF200KA1D86;-;SBI Fixed Maturity Plan (FMP) - Series 3 (1179 Days) - Direct Plan - Growth;12.6642;14-Jul-2022")</f>
        <v>147135;INF200KA1D86;-;SBI Fixed Maturity Plan (FMP) - Series 3 (1179 Days) - Direct Plan - Growth;12.6642;14-Jul-2022</v>
      </c>
      <c r="B14653" s="1"/>
    </row>
    <row r="14654">
      <c r="A14654" s="1" t="str">
        <f>IFERROR(__xludf.DUMMYFUNCTION("""COMPUTED_VALUE"""),"147136;INF200KA1D94;-;SBI Fixed Maturity Plan (FMP) - Series 3 (1179 Days) - Direct Plan - Income Distribution cum Capital Withdrawal Option (IDCW);12.6642;14-Jul-2022")</f>
        <v>147136;INF200KA1D94;-;SBI Fixed Maturity Plan (FMP) - Series 3 (1179 Days) - Direct Plan - Income Distribution cum Capital Withdrawal Option (IDCW);12.6642;14-Jul-2022</v>
      </c>
      <c r="B14654" s="1"/>
    </row>
    <row r="14655">
      <c r="A14655" s="1" t="str">
        <f>IFERROR(__xludf.DUMMYFUNCTION("""COMPUTED_VALUE"""),"147133;INF200KA1D60;-;SBI Fixed Maturity Plan (FMP) - Series 3 (1179 Days) - Regular Plan - Growth;12.5624;14-Jul-2022")</f>
        <v>147133;INF200KA1D60;-;SBI Fixed Maturity Plan (FMP) - Series 3 (1179 Days) - Regular Plan - Growth;12.5624;14-Jul-2022</v>
      </c>
      <c r="B14655" s="1"/>
    </row>
    <row r="14656">
      <c r="A14656" s="1" t="str">
        <f>IFERROR(__xludf.DUMMYFUNCTION("""COMPUTED_VALUE"""),"147134;INF200KA1D78;-;SBI Fixed Maturity Plan (FMP) - Series 3 (1179 Days) - Regular Plan - Income Distribution cum Capital Withdrawal Option (IDCW);12.5624;14-Jul-2022")</f>
        <v>147134;INF200KA1D78;-;SBI Fixed Maturity Plan (FMP) - Series 3 (1179 Days) - Regular Plan - Income Distribution cum Capital Withdrawal Option (IDCW);12.5624;14-Jul-2022</v>
      </c>
      <c r="B14656" s="1"/>
    </row>
    <row r="14657">
      <c r="A14657" s="1" t="str">
        <f>IFERROR(__xludf.DUMMYFUNCTION("""COMPUTED_VALUE"""),"148193;INF200KA1P58;-;SBI Fixed Maturity Plan (FMP) - Series 31 (1160 Days) - Direct Plan - Growth;12.3138;19-May-2023")</f>
        <v>148193;INF200KA1P58;-;SBI Fixed Maturity Plan (FMP) - Series 31 (1160 Days) - Direct Plan - Growth;12.3138;19-May-2023</v>
      </c>
      <c r="B14657" s="1"/>
    </row>
    <row r="14658">
      <c r="A14658" s="1" t="str">
        <f>IFERROR(__xludf.DUMMYFUNCTION("""COMPUTED_VALUE"""),"148194;INF200KA1P66;-;SBI Fixed Maturity Plan (FMP) - Series 31 (1160 Days) - Direct Plan - Income Distribution cum Capital Withdrawal Option (IDCW);12.3138;19-May-2023")</f>
        <v>148194;INF200KA1P66;-;SBI Fixed Maturity Plan (FMP) - Series 31 (1160 Days) - Direct Plan - Income Distribution cum Capital Withdrawal Option (IDCW);12.3138;19-May-2023</v>
      </c>
      <c r="B14658" s="1"/>
    </row>
    <row r="14659">
      <c r="A14659" s="1" t="str">
        <f>IFERROR(__xludf.DUMMYFUNCTION("""COMPUTED_VALUE"""),"148195;INF200KA1P33;-;SBI Fixed Maturity Plan (FMP) - Series 31 (1160 Days) - Regular Plan - Growth;12.2164;19-May-2023")</f>
        <v>148195;INF200KA1P33;-;SBI Fixed Maturity Plan (FMP) - Series 31 (1160 Days) - Regular Plan - Growth;12.2164;19-May-2023</v>
      </c>
      <c r="B14659" s="1"/>
    </row>
    <row r="14660">
      <c r="A14660" s="1" t="str">
        <f>IFERROR(__xludf.DUMMYFUNCTION("""COMPUTED_VALUE"""),"148192;INF200KA1P41;-;SBI Fixed Maturity Plan (FMP) - Series 31 (1160 Days) - Regular Plan - Income Distribution cum Capital Withdrawal Option (IDCW);12.2164;19-May-2023")</f>
        <v>148192;INF200KA1P41;-;SBI Fixed Maturity Plan (FMP) - Series 31 (1160 Days) - Regular Plan - Income Distribution cum Capital Withdrawal Option (IDCW);12.2164;19-May-2023</v>
      </c>
      <c r="B14660" s="1"/>
    </row>
    <row r="14661">
      <c r="A14661" s="1" t="str">
        <f>IFERROR(__xludf.DUMMYFUNCTION("""COMPUTED_VALUE"""),"148369;INF200KA1P90;-;SBI Fixed Maturity Plan (FMP) - Series 32 (1140 Days) - Direct Plan - Growth;11.8992;31-May-2023")</f>
        <v>148369;INF200KA1P90;-;SBI Fixed Maturity Plan (FMP) - Series 32 (1140 Days) - Direct Plan - Growth;11.8992;31-May-2023</v>
      </c>
      <c r="B14661" s="1"/>
    </row>
    <row r="14662">
      <c r="A14662" s="1" t="str">
        <f>IFERROR(__xludf.DUMMYFUNCTION("""COMPUTED_VALUE"""),"148368;INF200KA1Q08;-;SBI Fixed Maturity Plan (FMP) - Series 32 (1140 Days) - Direct Plan - Income Distribution cum Capital Withdrawal Option (IDCW);11.8992;31-May-2023")</f>
        <v>148368;INF200KA1Q08;-;SBI Fixed Maturity Plan (FMP) - Series 32 (1140 Days) - Direct Plan - Income Distribution cum Capital Withdrawal Option (IDCW);11.8992;31-May-2023</v>
      </c>
      <c r="B14662" s="1"/>
    </row>
    <row r="14663">
      <c r="A14663" s="1" t="str">
        <f>IFERROR(__xludf.DUMMYFUNCTION("""COMPUTED_VALUE"""),"148367;INF200KA1P74;-;SBI Fixed Maturity Plan (FMP) - Series 32 (1140 Days) - Regular Plan - Growth;11.8068;31-May-2023")</f>
        <v>148367;INF200KA1P74;-;SBI Fixed Maturity Plan (FMP) - Series 32 (1140 Days) - Regular Plan - Growth;11.8068;31-May-2023</v>
      </c>
      <c r="B14663" s="1"/>
    </row>
    <row r="14664">
      <c r="A14664" s="1" t="str">
        <f>IFERROR(__xludf.DUMMYFUNCTION("""COMPUTED_VALUE"""),"148370;INF200KA1P82;-;SBI Fixed Maturity Plan (FMP) - Series 32 (1140 Days) - Regular Plan - Income Distribution cum Capital Withdrawal Option (IDCW);11.8068;31-May-2023")</f>
        <v>148370;INF200KA1P82;-;SBI Fixed Maturity Plan (FMP) - Series 32 (1140 Days) - Regular Plan - Income Distribution cum Capital Withdrawal Option (IDCW);11.8068;31-May-2023</v>
      </c>
      <c r="B14664" s="1"/>
    </row>
    <row r="14665">
      <c r="A14665" s="1" t="str">
        <f>IFERROR(__xludf.DUMMYFUNCTION("""COMPUTED_VALUE"""),"148385;INF200KA1Q32;-;SBI Fixed Maturity Plan (FMP) - Series 33 (1128 Days) - Direct Plan - Growth;11.7526;30-May-2023")</f>
        <v>148385;INF200KA1Q32;-;SBI Fixed Maturity Plan (FMP) - Series 33 (1128 Days) - Direct Plan - Growth;11.7526;30-May-2023</v>
      </c>
      <c r="B14665" s="1"/>
    </row>
    <row r="14666">
      <c r="A14666" s="1" t="str">
        <f>IFERROR(__xludf.DUMMYFUNCTION("""COMPUTED_VALUE"""),"148386;INF200KA1Q40;-;SBI Fixed Maturity Plan (FMP) - Series 33 (1128 Days) - Direct Plan - Income Distribution cum Capital Withdrawal Option (IDCW);11.7515;30-May-2023")</f>
        <v>148386;INF200KA1Q40;-;SBI Fixed Maturity Plan (FMP) - Series 33 (1128 Days) - Direct Plan - Income Distribution cum Capital Withdrawal Option (IDCW);11.7515;30-May-2023</v>
      </c>
      <c r="B14666" s="1"/>
    </row>
    <row r="14667">
      <c r="A14667" s="1" t="str">
        <f>IFERROR(__xludf.DUMMYFUNCTION("""COMPUTED_VALUE"""),"148383;INF200KA1Q16;-;SBI Fixed Maturity Plan (FMP) - Series 33 (1128 Days) - Regular Plan - Growth;11.6622;30-May-2023")</f>
        <v>148383;INF200KA1Q16;-;SBI Fixed Maturity Plan (FMP) - Series 33 (1128 Days) - Regular Plan - Growth;11.6622;30-May-2023</v>
      </c>
      <c r="B14667" s="1"/>
    </row>
    <row r="14668">
      <c r="A14668" s="1" t="str">
        <f>IFERROR(__xludf.DUMMYFUNCTION("""COMPUTED_VALUE"""),"148384;INF200KA1Q24;-;SBI Fixed Maturity Plan (FMP) - Series 33 (1128 Days) - Regular Plan - Income Distribution cum Capital Withdrawal Option (IDCW);11.6622;30-May-2023")</f>
        <v>148384;INF200KA1Q24;-;SBI Fixed Maturity Plan (FMP) - Series 33 (1128 Days) - Regular Plan - Income Distribution cum Capital Withdrawal Option (IDCW);11.6622;30-May-2023</v>
      </c>
      <c r="B14668" s="1"/>
    </row>
    <row r="14669">
      <c r="A14669" s="1" t="str">
        <f>IFERROR(__xludf.DUMMYFUNCTION("""COMPUTED_VALUE"""),"148387;INF200KA1Q73;-;SBI Fixed Maturity Plan (FMP) - Series 34 (3682 Days) - Direct Plan - Growth;11.9456;25-Aug-2023")</f>
        <v>148387;INF200KA1Q73;-;SBI Fixed Maturity Plan (FMP) - Series 34 (3682 Days) - Direct Plan - Growth;11.9456;25-Aug-2023</v>
      </c>
      <c r="B14669" s="1"/>
    </row>
    <row r="14670">
      <c r="A14670" s="1" t="str">
        <f>IFERROR(__xludf.DUMMYFUNCTION("""COMPUTED_VALUE"""),"148388;INF200KA1Q81;-;SBI Fixed Maturity Plan (FMP) - Series 34 (3682 Days) - Direct Plan - Income Distribution cum Capital Withdrawal Option (IDCW);11.9456;25-Aug-2023")</f>
        <v>148388;INF200KA1Q81;-;SBI Fixed Maturity Plan (FMP) - Series 34 (3682 Days) - Direct Plan - Income Distribution cum Capital Withdrawal Option (IDCW);11.9456;25-Aug-2023</v>
      </c>
      <c r="B14670" s="1"/>
    </row>
    <row r="14671">
      <c r="A14671" s="1" t="str">
        <f>IFERROR(__xludf.DUMMYFUNCTION("""COMPUTED_VALUE"""),"148389;INF200KA1Q57;-;SBI Fixed Maturity Plan (FMP) - Series 34 (3682 Days) - Regular Plan - Growth;11.8472;25-Aug-2023")</f>
        <v>148389;INF200KA1Q57;-;SBI Fixed Maturity Plan (FMP) - Series 34 (3682 Days) - Regular Plan - Growth;11.8472;25-Aug-2023</v>
      </c>
      <c r="B14671" s="1"/>
    </row>
    <row r="14672">
      <c r="A14672" s="1" t="str">
        <f>IFERROR(__xludf.DUMMYFUNCTION("""COMPUTED_VALUE"""),"148390;INF200KA1Q65;-;SBI Fixed Maturity Plan (FMP) - Series 34 (3682 Days) - Regular Plan - Income Distribution cum Capital Withdrawal Option (IDCW);11.8472;25-Aug-2023")</f>
        <v>148390;INF200KA1Q65;-;SBI Fixed Maturity Plan (FMP) - Series 34 (3682 Days) - Regular Plan - Income Distribution cum Capital Withdrawal Option (IDCW);11.8472;25-Aug-2023</v>
      </c>
      <c r="B14672" s="1"/>
    </row>
    <row r="14673">
      <c r="A14673" s="1" t="str">
        <f>IFERROR(__xludf.DUMMYFUNCTION("""COMPUTED_VALUE"""),"148827;INF200KA1U77;-;SBI Fixed Maturity Plan (FMP) - Series 41 (1498 Days) - Direct Plan - Growth;11.2537;25-Aug-2023")</f>
        <v>148827;INF200KA1U77;-;SBI Fixed Maturity Plan (FMP) - Series 41 (1498 Days) - Direct Plan - Growth;11.2537;25-Aug-2023</v>
      </c>
      <c r="B14673" s="1"/>
    </row>
    <row r="14674">
      <c r="A14674" s="1" t="str">
        <f>IFERROR(__xludf.DUMMYFUNCTION("""COMPUTED_VALUE"""),"148825;INF200KA1U51;-;SBI Fixed Maturity Plan (FMP) - Series 41 (1498 Days) - Regular Plan - Growth;11.2021;25-Aug-2023")</f>
        <v>148825;INF200KA1U51;-;SBI Fixed Maturity Plan (FMP) - Series 41 (1498 Days) - Regular Plan - Growth;11.2021;25-Aug-2023</v>
      </c>
      <c r="B14674" s="1"/>
    </row>
    <row r="14675">
      <c r="A14675" s="1" t="str">
        <f>IFERROR(__xludf.DUMMYFUNCTION("""COMPUTED_VALUE"""),"148828;INF200KA1U85;-;SBI Fixed Maturity Plan (FMP) - Series 41 (1498 Days) Direct Plan - Income Distribution cum Capital Withdrawal Option (IDCW);11.2537;25-Aug-2023")</f>
        <v>148828;INF200KA1U85;-;SBI Fixed Maturity Plan (FMP) - Series 41 (1498 Days) Direct Plan - Income Distribution cum Capital Withdrawal Option (IDCW);11.2537;25-Aug-2023</v>
      </c>
      <c r="B14675" s="1"/>
    </row>
    <row r="14676">
      <c r="A14676" s="1" t="str">
        <f>IFERROR(__xludf.DUMMYFUNCTION("""COMPUTED_VALUE"""),"148826;INF200KA1U69;-;SBI Fixed Maturity Plan (FMP) - Series 41 (1498 Days) Regular Plan - Income Distribution cum Capital Withdrawal Option (IDCW);11.2021;25-Aug-2023")</f>
        <v>148826;INF200KA1U69;-;SBI Fixed Maturity Plan (FMP) - Series 41 (1498 Days) Regular Plan - Income Distribution cum Capital Withdrawal Option (IDCW);11.2021;25-Aug-2023</v>
      </c>
      <c r="B14676" s="1"/>
    </row>
    <row r="14677">
      <c r="A14677" s="1" t="str">
        <f>IFERROR(__xludf.DUMMYFUNCTION("""COMPUTED_VALUE"""),"149043;INF200KA1X41;-;SBI Fixed Maturity Plan (FMP) - Series 46 (1850 Days) - Direct Plan - Growth;11.1096;25-Aug-2023")</f>
        <v>149043;INF200KA1X41;-;SBI Fixed Maturity Plan (FMP) - Series 46 (1850 Days) - Direct Plan - Growth;11.1096;25-Aug-2023</v>
      </c>
      <c r="B14677" s="1"/>
    </row>
    <row r="14678">
      <c r="A14678" s="1" t="str">
        <f>IFERROR(__xludf.DUMMYFUNCTION("""COMPUTED_VALUE"""),"149044;INF200KA1X58;-;SBI Fixed Maturity Plan (FMP) - Series 46 (1850 Days) - Direct Plan - Income Distribution cum Capital Withdrawal Option (IDCW);11.1096;25-Aug-2023")</f>
        <v>149044;INF200KA1X58;-;SBI Fixed Maturity Plan (FMP) - Series 46 (1850 Days) - Direct Plan - Income Distribution cum Capital Withdrawal Option (IDCW);11.1096;25-Aug-2023</v>
      </c>
      <c r="B14678" s="1"/>
    </row>
    <row r="14679">
      <c r="A14679" s="1" t="str">
        <f>IFERROR(__xludf.DUMMYFUNCTION("""COMPUTED_VALUE"""),"149045;INF200KA1X25;-;SBI Fixed Maturity Plan (FMP) - Series 46 (1850 Days) - Regular Plan - Growth;11.0693;25-Aug-2023")</f>
        <v>149045;INF200KA1X25;-;SBI Fixed Maturity Plan (FMP) - Series 46 (1850 Days) - Regular Plan - Growth;11.0693;25-Aug-2023</v>
      </c>
      <c r="B14679" s="1"/>
    </row>
    <row r="14680">
      <c r="A14680" s="1" t="str">
        <f>IFERROR(__xludf.DUMMYFUNCTION("""COMPUTED_VALUE"""),"149042;INF200KA1X33;-;SBI Fixed Maturity Plan (FMP) - Series 46 (1850 Days) - Regular Plan - Income Distribution cum Capital Withdrawal Option (IDCW);11.0693;25-Aug-2023")</f>
        <v>149042;INF200KA1X33;-;SBI Fixed Maturity Plan (FMP) - Series 46 (1850 Days) - Regular Plan - Income Distribution cum Capital Withdrawal Option (IDCW);11.0693;25-Aug-2023</v>
      </c>
      <c r="B14680" s="1"/>
    </row>
    <row r="14681">
      <c r="A14681" s="1" t="str">
        <f>IFERROR(__xludf.DUMMYFUNCTION("""COMPUTED_VALUE"""),"149082;INF200KA1X82;-;SBI Fixed Maturity Plan (FMP) Series 47 (1434 Days) - Direct Plan - Growth;11.0030;25-Aug-2023")</f>
        <v>149082;INF200KA1X82;-;SBI Fixed Maturity Plan (FMP) Series 47 (1434 Days) - Direct Plan - Growth;11.0030;25-Aug-2023</v>
      </c>
      <c r="B14681" s="1"/>
    </row>
    <row r="14682">
      <c r="A14682" s="1" t="str">
        <f>IFERROR(__xludf.DUMMYFUNCTION("""COMPUTED_VALUE"""),"149081;INF200KA1X90;-;SBI Fixed Maturity Plan (FMP) Series 47 (1434 Days) - Direct Plan - Income Distribution cum Capital Withdrawal Option (IDCW);11.0030;25-Aug-2023")</f>
        <v>149081;INF200KA1X90;-;SBI Fixed Maturity Plan (FMP) Series 47 (1434 Days) - Direct Plan - Income Distribution cum Capital Withdrawal Option (IDCW);11.0030;25-Aug-2023</v>
      </c>
      <c r="B14682" s="1"/>
    </row>
    <row r="14683">
      <c r="A14683" s="1" t="str">
        <f>IFERROR(__xludf.DUMMYFUNCTION("""COMPUTED_VALUE"""),"149083;INF200KA1X66;-;SBI Fixed Maturity Plan (FMP) Series 47 (1434 Days) - Regular Plan - Growth;10.9641;25-Aug-2023")</f>
        <v>149083;INF200KA1X66;-;SBI Fixed Maturity Plan (FMP) Series 47 (1434 Days) - Regular Plan - Growth;10.9641;25-Aug-2023</v>
      </c>
      <c r="B14683" s="1"/>
    </row>
    <row r="14684">
      <c r="A14684" s="1" t="str">
        <f>IFERROR(__xludf.DUMMYFUNCTION("""COMPUTED_VALUE"""),"149084;INF200KA1X74;-;SBI Fixed Maturity Plan (FMP) Series 47 (1434 Days) - Regular Plan - Income Distribution cum Capital Withdrawal Option (IDCW);10.9641;25-Aug-2023")</f>
        <v>149084;INF200KA1X74;-;SBI Fixed Maturity Plan (FMP) Series 47 (1434 Days) - Regular Plan - Income Distribution cum Capital Withdrawal Option (IDCW);10.9641;25-Aug-2023</v>
      </c>
      <c r="B14684" s="1"/>
    </row>
    <row r="14685">
      <c r="A14685" s="1" t="str">
        <f>IFERROR(__xludf.DUMMYFUNCTION("""COMPUTED_VALUE"""),"149111;INF200KA1Y24;-;SBI Fixed Maturity Plan (FMP) - Series 48 (1458 Days) - Direct Plan - Growth;10.9760;25-Aug-2023")</f>
        <v>149111;INF200KA1Y24;-;SBI Fixed Maturity Plan (FMP) - Series 48 (1458 Days) - Direct Plan - Growth;10.9760;25-Aug-2023</v>
      </c>
      <c r="B14685" s="1"/>
    </row>
    <row r="14686">
      <c r="A14686" s="1" t="str">
        <f>IFERROR(__xludf.DUMMYFUNCTION("""COMPUTED_VALUE"""),"149108;INF200KA1Y32;-;SBI Fixed Maturity Plan (FMP) - Series 48 (1458 Days) - Direct Plan - Income Distribution cum Capital Withdrawal Option (IDCW);10.9760;25-Aug-2023")</f>
        <v>149108;INF200KA1Y32;-;SBI Fixed Maturity Plan (FMP) - Series 48 (1458 Days) - Direct Plan - Income Distribution cum Capital Withdrawal Option (IDCW);10.9760;25-Aug-2023</v>
      </c>
      <c r="B14686" s="1"/>
    </row>
    <row r="14687">
      <c r="A14687" s="1" t="str">
        <f>IFERROR(__xludf.DUMMYFUNCTION("""COMPUTED_VALUE"""),"149109;INF200KA1Y08;-;SBI Fixed Maturity Plan (FMP) - Series 48 (1458 Days) - Regular Plan - Growth;10.9354;25-Aug-2023")</f>
        <v>149109;INF200KA1Y08;-;SBI Fixed Maturity Plan (FMP) - Series 48 (1458 Days) - Regular Plan - Growth;10.9354;25-Aug-2023</v>
      </c>
      <c r="B14687" s="1"/>
    </row>
    <row r="14688">
      <c r="A14688" s="1" t="str">
        <f>IFERROR(__xludf.DUMMYFUNCTION("""COMPUTED_VALUE"""),"149110;INF200KA1Y16;-;SBI Fixed Maturity Plan (FMP) - Series 48 (1458 Days) - Regular Plan - Income Distribution cum Capital Withdrawal Option (IDCW);10.9354;25-Aug-2023")</f>
        <v>149110;INF200KA1Y16;-;SBI Fixed Maturity Plan (FMP) - Series 48 (1458 Days) - Regular Plan - Income Distribution cum Capital Withdrawal Option (IDCW);10.9354;25-Aug-2023</v>
      </c>
      <c r="B14688" s="1"/>
    </row>
    <row r="14689">
      <c r="A14689" s="1" t="str">
        <f>IFERROR(__xludf.DUMMYFUNCTION("""COMPUTED_VALUE"""),"149147;INF200KA1Z23;-;SBI Fixed Maturity Plan (FMP) - Series 49 (1823 Days) - Direct Plan - Growth;10.9578;25-Aug-2023")</f>
        <v>149147;INF200KA1Z23;-;SBI Fixed Maturity Plan (FMP) - Series 49 (1823 Days) - Direct Plan - Growth;10.9578;25-Aug-2023</v>
      </c>
      <c r="B14689" s="1"/>
    </row>
    <row r="14690">
      <c r="A14690" s="1" t="str">
        <f>IFERROR(__xludf.DUMMYFUNCTION("""COMPUTED_VALUE"""),"149144;INF200KA1Z31;-;SBI Fixed Maturity Plan (FMP) - Series 49 (1823 Days) - Direct Plan - Income Distribution cum Capital Withdrawal Option (IDCW);10.9578;25-Aug-2023")</f>
        <v>149144;INF200KA1Z31;-;SBI Fixed Maturity Plan (FMP) - Series 49 (1823 Days) - Direct Plan - Income Distribution cum Capital Withdrawal Option (IDCW);10.9578;25-Aug-2023</v>
      </c>
      <c r="B14690" s="1"/>
    </row>
    <row r="14691">
      <c r="A14691" s="1" t="str">
        <f>IFERROR(__xludf.DUMMYFUNCTION("""COMPUTED_VALUE"""),"149145;INF200KA1Z07;-;SBI Fixed Maturity Plan (FMP) - Series 49 (1823 Days) - Regular Plan - Growth;10.9183;25-Aug-2023")</f>
        <v>149145;INF200KA1Z07;-;SBI Fixed Maturity Plan (FMP) - Series 49 (1823 Days) - Regular Plan - Growth;10.9183;25-Aug-2023</v>
      </c>
      <c r="B14691" s="1"/>
    </row>
    <row r="14692">
      <c r="A14692" s="1" t="str">
        <f>IFERROR(__xludf.DUMMYFUNCTION("""COMPUTED_VALUE"""),"149146;INF200KA1Z15;-;SBI Fixed Maturity Plan (FMP) - Series 49 (1823 Days) - Regular Plan - Income Distribution cum Capital Withdrawal Option (IDCW);10.9183;25-Aug-2023")</f>
        <v>149146;INF200KA1Z15;-;SBI Fixed Maturity Plan (FMP) - Series 49 (1823 Days) - Regular Plan - Income Distribution cum Capital Withdrawal Option (IDCW);10.9183;25-Aug-2023</v>
      </c>
      <c r="B14692" s="1"/>
    </row>
    <row r="14693">
      <c r="A14693" s="1" t="str">
        <f>IFERROR(__xludf.DUMMYFUNCTION("""COMPUTED_VALUE"""),"149174;INF200KA1Z64;-;SBI Fixed Maturity Plan (FMP) - Series 50 (1843 Days) - Direct Plan - Growth;10.8439;25-Aug-2023")</f>
        <v>149174;INF200KA1Z64;-;SBI Fixed Maturity Plan (FMP) - Series 50 (1843 Days) - Direct Plan - Growth;10.8439;25-Aug-2023</v>
      </c>
      <c r="B14693" s="1"/>
    </row>
    <row r="14694">
      <c r="A14694" s="1" t="str">
        <f>IFERROR(__xludf.DUMMYFUNCTION("""COMPUTED_VALUE"""),"149175;INF200KA1Z72;-;SBI Fixed Maturity Plan (FMP) - Series 50 (1843 Days) - Direct Plan - Income Distribution Capital Withdrawal Option (IDCW);10.8439;25-Aug-2023")</f>
        <v>149175;INF200KA1Z72;-;SBI Fixed Maturity Plan (FMP) - Series 50 (1843 Days) - Direct Plan - Income Distribution Capital Withdrawal Option (IDCW);10.8439;25-Aug-2023</v>
      </c>
      <c r="B14694" s="1"/>
    </row>
    <row r="14695">
      <c r="A14695" s="1" t="str">
        <f>IFERROR(__xludf.DUMMYFUNCTION("""COMPUTED_VALUE"""),"149172;INF200KA1Z49;-;SBI Fixed Maturity Plan (FMP) - Series 50 (1843 Days) - Regular Plan - Growth;10.8035;25-Aug-2023")</f>
        <v>149172;INF200KA1Z49;-;SBI Fixed Maturity Plan (FMP) - Series 50 (1843 Days) - Regular Plan - Growth;10.8035;25-Aug-2023</v>
      </c>
      <c r="B14695" s="1"/>
    </row>
    <row r="14696">
      <c r="A14696" s="1" t="str">
        <f>IFERROR(__xludf.DUMMYFUNCTION("""COMPUTED_VALUE"""),"149173;INF200KA1Z56;-;SBI Fixed Maturity Plan (FMP) - Series 50 (1843 Days) - Regular Plan -Income Distribution Capital Withdrawal Option (IDCW);10.8034;25-Aug-2023")</f>
        <v>149173;INF200KA1Z56;-;SBI Fixed Maturity Plan (FMP) - Series 50 (1843 Days) - Regular Plan -Income Distribution Capital Withdrawal Option (IDCW);10.8034;25-Aug-2023</v>
      </c>
      <c r="B14696" s="1"/>
    </row>
    <row r="14697">
      <c r="A14697" s="1" t="str">
        <f>IFERROR(__xludf.DUMMYFUNCTION("""COMPUTED_VALUE"""),"149195;INF200KA10A7;-;SBI Fixed Maturity Plan (FMP) - Series 51 (1846 Days) - Direct Plan - Growth;10.8277;25-Aug-2023")</f>
        <v>149195;INF200KA10A7;-;SBI Fixed Maturity Plan (FMP) - Series 51 (1846 Days) - Direct Plan - Growth;10.8277;25-Aug-2023</v>
      </c>
      <c r="B14697" s="1"/>
    </row>
    <row r="14698">
      <c r="A14698" s="1" t="str">
        <f>IFERROR(__xludf.DUMMYFUNCTION("""COMPUTED_VALUE"""),"149194;INF200KA11A5;-;SBI Fixed Maturity Plan (FMP) - Series 51 (1846 Days) - Direct Plan - Income Distribution Capital Withdrawal Option (IDCW);10.8282;25-Aug-2023")</f>
        <v>149194;INF200KA11A5;-;SBI Fixed Maturity Plan (FMP) - Series 51 (1846 Days) - Direct Plan - Income Distribution Capital Withdrawal Option (IDCW);10.8282;25-Aug-2023</v>
      </c>
      <c r="B14698" s="1"/>
    </row>
    <row r="14699">
      <c r="A14699" s="1" t="str">
        <f>IFERROR(__xludf.DUMMYFUNCTION("""COMPUTED_VALUE"""),"149197;INF200KA1Z80;-;SBI Fixed Maturity Plan (FMP) - Series 51 (1846 Days) - Regular Plan - Growth;10.7920;25-Aug-2023")</f>
        <v>149197;INF200KA1Z80;-;SBI Fixed Maturity Plan (FMP) - Series 51 (1846 Days) - Regular Plan - Growth;10.7920;25-Aug-2023</v>
      </c>
      <c r="B14699" s="1"/>
    </row>
    <row r="14700">
      <c r="A14700" s="1" t="str">
        <f>IFERROR(__xludf.DUMMYFUNCTION("""COMPUTED_VALUE"""),"149196;INF200KA1Z98;-;SBI Fixed Maturity Plan (FMP) - Series 51 (1846 Days) - Regular Plan - Income Distribution Capital Withdrawal Option (IDCW);10.7921;25-Aug-2023")</f>
        <v>149196;INF200KA1Z98;-;SBI Fixed Maturity Plan (FMP) - Series 51 (1846 Days) - Regular Plan - Income Distribution Capital Withdrawal Option (IDCW);10.7921;25-Aug-2023</v>
      </c>
      <c r="B14700" s="1"/>
    </row>
    <row r="14701">
      <c r="A14701" s="1" t="str">
        <f>IFERROR(__xludf.DUMMYFUNCTION("""COMPUTED_VALUE"""),"149232;INF200KA14A9;-;SBI Fixed Maturity Plan (FMP) - Series 52 (1848 Days) - Direct Plan - Growth;10.8157;25-Aug-2023")</f>
        <v>149232;INF200KA14A9;-;SBI Fixed Maturity Plan (FMP) - Series 52 (1848 Days) - Direct Plan - Growth;10.8157;25-Aug-2023</v>
      </c>
      <c r="B14701" s="1"/>
    </row>
    <row r="14702">
      <c r="A14702" s="1" t="str">
        <f>IFERROR(__xludf.DUMMYFUNCTION("""COMPUTED_VALUE"""),"149234;INF200KA15A6;-;SBI Fixed Maturity Plan (FMP) - Series 52 (1848 Days) - Direct Plan - Income Distribution Cum Withdrawal (IDCW);10.8157;25-Aug-2023")</f>
        <v>149234;INF200KA15A6;-;SBI Fixed Maturity Plan (FMP) - Series 52 (1848 Days) - Direct Plan - Income Distribution Cum Withdrawal (IDCW);10.8157;25-Aug-2023</v>
      </c>
      <c r="B14702" s="1"/>
    </row>
    <row r="14703">
      <c r="A14703" s="1" t="str">
        <f>IFERROR(__xludf.DUMMYFUNCTION("""COMPUTED_VALUE"""),"149235;INF200KA12A3;-;SBI Fixed Maturity Plan (FMP) - Series 52 (1848 Days) - Regular Plan - Growth;10.7827;25-Aug-2023")</f>
        <v>149235;INF200KA12A3;-;SBI Fixed Maturity Plan (FMP) - Series 52 (1848 Days) - Regular Plan - Growth;10.7827;25-Aug-2023</v>
      </c>
      <c r="B14703" s="1"/>
    </row>
    <row r="14704">
      <c r="A14704" s="1" t="str">
        <f>IFERROR(__xludf.DUMMYFUNCTION("""COMPUTED_VALUE"""),"149233;INF200KA13A1;-;SBI Fixed Maturity Plan (FMP) - Series 52 (1848 Days) - Regular Plan - Income Distribution Cum Withdrawal (IDCW);10.7827;25-Aug-2023")</f>
        <v>149233;INF200KA13A1;-;SBI Fixed Maturity Plan (FMP) - Series 52 (1848 Days) - Regular Plan - Income Distribution Cum Withdrawal (IDCW);10.7827;25-Aug-2023</v>
      </c>
      <c r="B14704" s="1"/>
    </row>
    <row r="14705">
      <c r="A14705" s="1" t="str">
        <f>IFERROR(__xludf.DUMMYFUNCTION("""COMPUTED_VALUE"""),"149279;INF200KA18A0;-;SBI Fixed Maturity Plan (FMP) - Series 53 (1839 Days) - Direct Plan - Growth;10.8134;25-Aug-2023")</f>
        <v>149279;INF200KA18A0;-;SBI Fixed Maturity Plan (FMP) - Series 53 (1839 Days) - Direct Plan - Growth;10.8134;25-Aug-2023</v>
      </c>
      <c r="B14705" s="1"/>
    </row>
    <row r="14706">
      <c r="A14706" s="1" t="str">
        <f>IFERROR(__xludf.DUMMYFUNCTION("""COMPUTED_VALUE"""),"149277;INF200KA19A8;-;SBI Fixed Maturity Plan (FMP) - Series 53 (1839 Days) - Direct Plan - Income Distribution Cum Withdrawal Option (IDCW);10.8134;25-Aug-2023")</f>
        <v>149277;INF200KA19A8;-;SBI Fixed Maturity Plan (FMP) - Series 53 (1839 Days) - Direct Plan - Income Distribution Cum Withdrawal Option (IDCW);10.8134;25-Aug-2023</v>
      </c>
      <c r="B14706" s="1"/>
    </row>
    <row r="14707">
      <c r="A14707" s="1" t="str">
        <f>IFERROR(__xludf.DUMMYFUNCTION("""COMPUTED_VALUE"""),"149278;INF200KA16A4;-;SBI Fixed Maturity Plan (FMP) - Series 53 (1839 Days) - Regular Plan - Growth;10.7837;25-Aug-2023")</f>
        <v>149278;INF200KA16A4;-;SBI Fixed Maturity Plan (FMP) - Series 53 (1839 Days) - Regular Plan - Growth;10.7837;25-Aug-2023</v>
      </c>
      <c r="B14707" s="1"/>
    </row>
    <row r="14708">
      <c r="A14708" s="1" t="str">
        <f>IFERROR(__xludf.DUMMYFUNCTION("""COMPUTED_VALUE"""),"149280;INF200KA17A2;-;SBI Fixed Maturity Plan (FMP) - Series 53 (1839 Days) - Regular Plan - Income  Distribution Cum Withdrawal Option (IDCW);10.7837;25-Aug-2023")</f>
        <v>149280;INF200KA17A2;-;SBI Fixed Maturity Plan (FMP) - Series 53 (1839 Days) - Regular Plan - Income  Distribution Cum Withdrawal Option (IDCW);10.7837;25-Aug-2023</v>
      </c>
      <c r="B14708" s="1"/>
    </row>
    <row r="14709">
      <c r="A14709" s="1" t="str">
        <f>IFERROR(__xludf.DUMMYFUNCTION("""COMPUTED_VALUE"""),"149307;INF200KA12B1;-;SBI Fixed Maturity Plan (FMP) - Series 54 (1842 Days) - Direct Plan - Growth;10.7927;25-Aug-2023")</f>
        <v>149307;INF200KA12B1;-;SBI Fixed Maturity Plan (FMP) - Series 54 (1842 Days) - Direct Plan - Growth;10.7927;25-Aug-2023</v>
      </c>
      <c r="B14709" s="1"/>
    </row>
    <row r="14710">
      <c r="A14710" s="1" t="str">
        <f>IFERROR(__xludf.DUMMYFUNCTION("""COMPUTED_VALUE"""),"149309;INF200KA13B9;-;SBI Fixed Maturity Plan (FMP) - Series 54 (1842 Days) - Direct Plan - Income Distribution Cum Withdrawal Option (IDCW);10.7931;25-Aug-2023")</f>
        <v>149309;INF200KA13B9;-;SBI Fixed Maturity Plan (FMP) - Series 54 (1842 Days) - Direct Plan - Income Distribution Cum Withdrawal Option (IDCW);10.7931;25-Aug-2023</v>
      </c>
      <c r="B14710" s="1"/>
    </row>
    <row r="14711">
      <c r="A14711" s="1" t="str">
        <f>IFERROR(__xludf.DUMMYFUNCTION("""COMPUTED_VALUE"""),"149308;INF200KA10B5;-;SBI Fixed Maturity Plan (FMP) - Series 54 (1842 Days) - Regular Plan - Growth;10.7637;25-Aug-2023")</f>
        <v>149308;INF200KA10B5;-;SBI Fixed Maturity Plan (FMP) - Series 54 (1842 Days) - Regular Plan - Growth;10.7637;25-Aug-2023</v>
      </c>
      <c r="B14711" s="1"/>
    </row>
    <row r="14712">
      <c r="A14712" s="1" t="str">
        <f>IFERROR(__xludf.DUMMYFUNCTION("""COMPUTED_VALUE"""),"149306;INF200KA11B3;-;SBI Fixed Maturity Plan (FMP) - Series 54 (1842 Days) - Regular Plan - Income Distribution Cum Capital Withdrawal Option (IDCW);10.7636;25-Aug-2023")</f>
        <v>149306;INF200KA11B3;-;SBI Fixed Maturity Plan (FMP) - Series 54 (1842 Days) - Regular Plan - Income Distribution Cum Capital Withdrawal Option (IDCW);10.7636;25-Aug-2023</v>
      </c>
      <c r="B14712" s="1"/>
    </row>
    <row r="14713">
      <c r="A14713" s="1" t="str">
        <f>IFERROR(__xludf.DUMMYFUNCTION("""COMPUTED_VALUE"""),"149345;INF200KA16B2;-;SBI Fixed Maturity Plan (FMP) - Series 55 (1849 Days) - Direct Plan - Growth;10.7729;25-Aug-2023")</f>
        <v>149345;INF200KA16B2;-;SBI Fixed Maturity Plan (FMP) - Series 55 (1849 Days) - Direct Plan - Growth;10.7729;25-Aug-2023</v>
      </c>
      <c r="B14713" s="1"/>
    </row>
    <row r="14714">
      <c r="A14714" s="1" t="str">
        <f>IFERROR(__xludf.DUMMYFUNCTION("""COMPUTED_VALUE"""),"149348;INF200KA17B0;-;SBI Fixed Maturity Plan (FMP) - Series 55 (1849 Days) - Direct Plan - Income Distribution cum Capital Withdrawal Option (IDCW);10.7730;25-Aug-2023")</f>
        <v>149348;INF200KA17B0;-;SBI Fixed Maturity Plan (FMP) - Series 55 (1849 Days) - Direct Plan - Income Distribution cum Capital Withdrawal Option (IDCW);10.7730;25-Aug-2023</v>
      </c>
      <c r="B14714" s="1"/>
    </row>
    <row r="14715">
      <c r="A14715" s="1" t="str">
        <f>IFERROR(__xludf.DUMMYFUNCTION("""COMPUTED_VALUE"""),"149347;INF200KA14B7;-;SBI Fixed Maturity Plan (FMP) - Series 55 (1849 Days) - Regular Plan - Growth;10.7446;25-Aug-2023")</f>
        <v>149347;INF200KA14B7;-;SBI Fixed Maturity Plan (FMP) - Series 55 (1849 Days) - Regular Plan - Growth;10.7446;25-Aug-2023</v>
      </c>
      <c r="B14715" s="1"/>
    </row>
    <row r="14716">
      <c r="A14716" s="1" t="str">
        <f>IFERROR(__xludf.DUMMYFUNCTION("""COMPUTED_VALUE"""),"149346;INF200KA15B4;-;SBI Fixed Maturity Plan (FMP) - Series 55 (1849 Days) - Regular Plan - Income Distribution Cum Capital Withdrawal Option (IDCW);10.7446;25-Aug-2023")</f>
        <v>149346;INF200KA15B4;-;SBI Fixed Maturity Plan (FMP) - Series 55 (1849 Days) - Regular Plan - Income Distribution Cum Capital Withdrawal Option (IDCW);10.7446;25-Aug-2023</v>
      </c>
      <c r="B14716" s="1"/>
    </row>
    <row r="14717">
      <c r="A14717" s="1" t="str">
        <f>IFERROR(__xludf.DUMMYFUNCTION("""COMPUTED_VALUE"""),"149420;INF200KA10C3;-;SBI Fixed Maturity Plan (FMP) - Series 56 (1232 Days) - Direct Plan - Growth;10.7177;25-Aug-2023")</f>
        <v>149420;INF200KA10C3;-;SBI Fixed Maturity Plan (FMP) - Series 56 (1232 Days) - Direct Plan - Growth;10.7177;25-Aug-2023</v>
      </c>
      <c r="B14717" s="1"/>
    </row>
    <row r="14718">
      <c r="A14718" s="1" t="str">
        <f>IFERROR(__xludf.DUMMYFUNCTION("""COMPUTED_VALUE"""),"149423;INF200KA11C1;-;SBI Fixed Maturity Plan (FMP) - Series 56 (1232 Days) - Direct Plan - Income Distribution cum Capital Withdrawal Option (IDCW);10.7177;25-Aug-2023")</f>
        <v>149423;INF200KA11C1;-;SBI Fixed Maturity Plan (FMP) - Series 56 (1232 Days) - Direct Plan - Income Distribution cum Capital Withdrawal Option (IDCW);10.7177;25-Aug-2023</v>
      </c>
      <c r="B14718" s="1"/>
    </row>
    <row r="14719">
      <c r="A14719" s="1" t="str">
        <f>IFERROR(__xludf.DUMMYFUNCTION("""COMPUTED_VALUE"""),"149422;INF200KA18B8;-;SBI Fixed Maturity Plan (FMP) - Series 56 (1232 Days) - Regular Plan - Growth;10.6905;25-Aug-2023")</f>
        <v>149422;INF200KA18B8;-;SBI Fixed Maturity Plan (FMP) - Series 56 (1232 Days) - Regular Plan - Growth;10.6905;25-Aug-2023</v>
      </c>
      <c r="B14719" s="1"/>
    </row>
    <row r="14720">
      <c r="A14720" s="1" t="str">
        <f>IFERROR(__xludf.DUMMYFUNCTION("""COMPUTED_VALUE"""),"149421;INF200KA19B6;-;SBI Fixed Maturity Plan (FMP) - Series 56 (1232 Days) - Regular Plan - Income Distribution cum Capital Withdrawal Option (IDCW);10.6905;25-Aug-2023")</f>
        <v>149421;INF200KA19B6;-;SBI Fixed Maturity Plan (FMP) - Series 56 (1232 Days) - Regular Plan - Income Distribution cum Capital Withdrawal Option (IDCW);10.6905;25-Aug-2023</v>
      </c>
      <c r="B14720" s="1"/>
    </row>
    <row r="14721">
      <c r="A14721" s="1" t="str">
        <f>IFERROR(__xludf.DUMMYFUNCTION("""COMPUTED_VALUE"""),"149431;INF200KA14C5;-;SBI Fixed Maturity Plan (FMP) - Series 57 (1835 Days) - Direct Plan - Growth;10.6905;25-Aug-2023")</f>
        <v>149431;INF200KA14C5;-;SBI Fixed Maturity Plan (FMP) - Series 57 (1835 Days) - Direct Plan - Growth;10.6905;25-Aug-2023</v>
      </c>
      <c r="B14721" s="1"/>
    </row>
    <row r="14722">
      <c r="A14722" s="1" t="str">
        <f>IFERROR(__xludf.DUMMYFUNCTION("""COMPUTED_VALUE"""),"149430;INF200KA15C2;-;SBI Fixed Maturity Plan (FMP) - Series 57 (1835 Days) - Direct Plan - Income Distribution cum Capital Withdrawal Option (IDCW);10.6904;25-Aug-2023")</f>
        <v>149430;INF200KA15C2;-;SBI Fixed Maturity Plan (FMP) - Series 57 (1835 Days) - Direct Plan - Income Distribution cum Capital Withdrawal Option (IDCW);10.6904;25-Aug-2023</v>
      </c>
      <c r="B14722" s="1"/>
    </row>
    <row r="14723">
      <c r="A14723" s="1" t="str">
        <f>IFERROR(__xludf.DUMMYFUNCTION("""COMPUTED_VALUE"""),"149432;INF200KA12C9;-;SBI Fixed Maturity Plan (FMP) - Series 57 (1835 Days) - Regular Plan - Growth;10.6633;25-Aug-2023")</f>
        <v>149432;INF200KA12C9;-;SBI Fixed Maturity Plan (FMP) - Series 57 (1835 Days) - Regular Plan - Growth;10.6633;25-Aug-2023</v>
      </c>
      <c r="B14723" s="1"/>
    </row>
    <row r="14724">
      <c r="A14724" s="1" t="str">
        <f>IFERROR(__xludf.DUMMYFUNCTION("""COMPUTED_VALUE"""),"149433;INF200KA13C7;-;SBI Fixed Maturity Plan (FMP) - Series 57 (1835 Days) - Regular Plan - Income Distribution cum Capital Withdrawal Option (IDCW);10.6634;25-Aug-2023")</f>
        <v>149433;INF200KA13C7;-;SBI Fixed Maturity Plan (FMP) - Series 57 (1835 Days) - Regular Plan - Income Distribution cum Capital Withdrawal Option (IDCW);10.6634;25-Aug-2023</v>
      </c>
      <c r="B14724" s="1"/>
    </row>
    <row r="14725">
      <c r="A14725" s="1" t="str">
        <f>IFERROR(__xludf.DUMMYFUNCTION("""COMPUTED_VALUE"""),"149460;INF200KA18C6;-;SBI Fixed Maturity Plan (FMP) - Series 58 (1842 Days) - Direct Plan - Growth;10.7893;25-Aug-2023")</f>
        <v>149460;INF200KA18C6;-;SBI Fixed Maturity Plan (FMP) - Series 58 (1842 Days) - Direct Plan - Growth;10.7893;25-Aug-2023</v>
      </c>
      <c r="B14725" s="1"/>
    </row>
    <row r="14726">
      <c r="A14726" s="1" t="str">
        <f>IFERROR(__xludf.DUMMYFUNCTION("""COMPUTED_VALUE"""),"149461;INF200KA19C4;-;SBI Fixed Maturity Plan (FMP) - Series 58 (1842 Days) - Direct Plan - Income Distribution cum Capital withdrawal option (IDCW);10.7893;25-Aug-2023")</f>
        <v>149461;INF200KA19C4;-;SBI Fixed Maturity Plan (FMP) - Series 58 (1842 Days) - Direct Plan - Income Distribution cum Capital withdrawal option (IDCW);10.7893;25-Aug-2023</v>
      </c>
      <c r="B14726" s="1"/>
    </row>
    <row r="14727">
      <c r="A14727" s="1" t="str">
        <f>IFERROR(__xludf.DUMMYFUNCTION("""COMPUTED_VALUE"""),"149459;INF200KA16C0;-;SBI Fixed Maturity Plan (FMP) - Series 58 (1842 Days) - Regular Plan - Growth;10.7628;25-Aug-2023")</f>
        <v>149459;INF200KA16C0;-;SBI Fixed Maturity Plan (FMP) - Series 58 (1842 Days) - Regular Plan - Growth;10.7628;25-Aug-2023</v>
      </c>
      <c r="B14727" s="1"/>
    </row>
    <row r="14728">
      <c r="A14728" s="1" t="str">
        <f>IFERROR(__xludf.DUMMYFUNCTION("""COMPUTED_VALUE"""),"149462;INF200KA17C8;-;SBI Fixed Maturity Plan (FMP) - Series 58 (1842 Days) - Regular Plan - Income Distribution cum Capital withdrawal option (IDCW);10.7628;25-Aug-2023")</f>
        <v>149462;INF200KA17C8;-;SBI Fixed Maturity Plan (FMP) - Series 58 (1842 Days) - Regular Plan - Income Distribution cum Capital withdrawal option (IDCW);10.7628;25-Aug-2023</v>
      </c>
      <c r="B14728" s="1"/>
    </row>
    <row r="14729">
      <c r="A14729" s="1" t="str">
        <f>IFERROR(__xludf.DUMMYFUNCTION("""COMPUTED_VALUE"""),"149822;INF200KA19D2;-;SBI Fixed Maturity Plan (FMP) - Series 59 (1618 Days) - Direct Plan - Growth;10.7151;25-Aug-2023")</f>
        <v>149822;INF200KA19D2;-;SBI Fixed Maturity Plan (FMP) - Series 59 (1618 Days) - Direct Plan - Growth;10.7151;25-Aug-2023</v>
      </c>
      <c r="B14729" s="1"/>
    </row>
    <row r="14730">
      <c r="A14730" s="1" t="str">
        <f>IFERROR(__xludf.DUMMYFUNCTION("""COMPUTED_VALUE"""),"149823;INF200KA10E9;-;SBI Fixed Maturity Plan (FMP) - Series 59 (1618 Days) - Direct Plan - Income Distribution cum Capital Withdrawal Option (IDCW);10.7138;25-Aug-2023")</f>
        <v>149823;INF200KA10E9;-;SBI Fixed Maturity Plan (FMP) - Series 59 (1618 Days) - Direct Plan - Income Distribution cum Capital Withdrawal Option (IDCW);10.7138;25-Aug-2023</v>
      </c>
      <c r="B14730" s="1"/>
    </row>
    <row r="14731">
      <c r="A14731" s="1" t="str">
        <f>IFERROR(__xludf.DUMMYFUNCTION("""COMPUTED_VALUE"""),"149825;INF200KA17D6;-;SBI Fixed Maturity Plan (FMP) - Series 59 (1618 Days) - Regular Plan - Growth;10.6900;25-Aug-2023")</f>
        <v>149825;INF200KA17D6;-;SBI Fixed Maturity Plan (FMP) - Series 59 (1618 Days) - Regular Plan - Growth;10.6900;25-Aug-2023</v>
      </c>
      <c r="B14731" s="1"/>
    </row>
    <row r="14732">
      <c r="A14732" s="1" t="str">
        <f>IFERROR(__xludf.DUMMYFUNCTION("""COMPUTED_VALUE"""),"149824;INF200KA18D4;-;SBI Fixed Maturity Plan (FMP) - Series 59 (1618 Days) - Regular Plan - Income Distribution cum Capital Withdrawal Option (IDCW);10.6900;25-Aug-2023")</f>
        <v>149824;INF200KA18D4;-;SBI Fixed Maturity Plan (FMP) - Series 59 (1618 Days) - Regular Plan - Income Distribution cum Capital Withdrawal Option (IDCW);10.6900;25-Aug-2023</v>
      </c>
      <c r="B14732" s="1"/>
    </row>
    <row r="14733">
      <c r="A14733" s="1" t="str">
        <f>IFERROR(__xludf.DUMMYFUNCTION("""COMPUTED_VALUE"""),"147248;INF200KA1F27;-;SBI Fixed Maturity Plan (FMP) - Series 6 (3668 Days) - Direct Plan - Growth;13.8321;25-Aug-2023")</f>
        <v>147248;INF200KA1F27;-;SBI Fixed Maturity Plan (FMP) - Series 6 (3668 Days) - Direct Plan - Growth;13.8321;25-Aug-2023</v>
      </c>
      <c r="B14733" s="1"/>
    </row>
    <row r="14734">
      <c r="A14734" s="1" t="str">
        <f>IFERROR(__xludf.DUMMYFUNCTION("""COMPUTED_VALUE"""),"147249;INF200KA1F35;-;SBI Fixed Maturity Plan (FMP) - Series 6 (3668 Days) - Direct Plan - Income Distribution cum Capital Withdrawal Option (IDCW);13.8322;25-Aug-2023")</f>
        <v>147249;INF200KA1F35;-;SBI Fixed Maturity Plan (FMP) - Series 6 (3668 Days) - Direct Plan - Income Distribution cum Capital Withdrawal Option (IDCW);13.8322;25-Aug-2023</v>
      </c>
      <c r="B14734" s="1"/>
    </row>
    <row r="14735">
      <c r="A14735" s="1" t="str">
        <f>IFERROR(__xludf.DUMMYFUNCTION("""COMPUTED_VALUE"""),"147247;INF200KA1F01;-;SBI Fixed Maturity Plan (FMP) - Series 6 (3668 Days) - Regular Plan - Growth;13.6849;25-Aug-2023")</f>
        <v>147247;INF200KA1F01;-;SBI Fixed Maturity Plan (FMP) - Series 6 (3668 Days) - Regular Plan - Growth;13.6849;25-Aug-2023</v>
      </c>
      <c r="B14735" s="1"/>
    </row>
    <row r="14736">
      <c r="A14736" s="1" t="str">
        <f>IFERROR(__xludf.DUMMYFUNCTION("""COMPUTED_VALUE"""),"147250;INF200KA1F19;-;SBI Fixed Maturity Plan (FMP) - Series 6 (3668 Days) - Regular Plan - Income Distribution cum Capital Withdrawal Option (IDCW);13.6873;25-Aug-2023")</f>
        <v>147250;INF200KA1F19;-;SBI Fixed Maturity Plan (FMP) - Series 6 (3668 Days) - Regular Plan - Income Distribution cum Capital Withdrawal Option (IDCW);13.6873;25-Aug-2023</v>
      </c>
      <c r="B14736" s="1"/>
    </row>
    <row r="14737">
      <c r="A14737" s="1" t="str">
        <f>IFERROR(__xludf.DUMMYFUNCTION("""COMPUTED_VALUE"""),"149878;INF200KA13E3;-;SBI Fixed Maturity Plan (FMP) - Series 60 (1878 Days) - Direct Plan - Growth;10.6873;25-Aug-2023")</f>
        <v>149878;INF200KA13E3;-;SBI Fixed Maturity Plan (FMP) - Series 60 (1878 Days) - Direct Plan - Growth;10.6873;25-Aug-2023</v>
      </c>
      <c r="B14737" s="1"/>
    </row>
    <row r="14738">
      <c r="A14738" s="1" t="str">
        <f>IFERROR(__xludf.DUMMYFUNCTION("""COMPUTED_VALUE"""),"149879;INF200KA14E1;-;SBI Fixed Maturity Plan (FMP) - Series 60 (1878 Days) - Direct Plan - Income Distribution cum Capital Withdrwal Option (IDCW);10.6879;25-Aug-2023")</f>
        <v>149879;INF200KA14E1;-;SBI Fixed Maturity Plan (FMP) - Series 60 (1878 Days) - Direct Plan - Income Distribution cum Capital Withdrwal Option (IDCW);10.6879;25-Aug-2023</v>
      </c>
      <c r="B14738" s="1"/>
    </row>
    <row r="14739">
      <c r="A14739" s="1" t="str">
        <f>IFERROR(__xludf.DUMMYFUNCTION("""COMPUTED_VALUE"""),"149876;INF200KA11E7;-;SBI Fixed Maturity Plan (FMP) - Series 60 (1878 Days) - Regular Plan - Growth;10.6629;25-Aug-2023")</f>
        <v>149876;INF200KA11E7;-;SBI Fixed Maturity Plan (FMP) - Series 60 (1878 Days) - Regular Plan - Growth;10.6629;25-Aug-2023</v>
      </c>
      <c r="B14739" s="1"/>
    </row>
    <row r="14740">
      <c r="A14740" s="1" t="str">
        <f>IFERROR(__xludf.DUMMYFUNCTION("""COMPUTED_VALUE"""),"149877;INF200KA12E5;-;SBI Fixed Maturity Plan (FMP) - Series 60 (1878 Days) - Regular Plan - Income Distribution cum Capital Withdrawal Option (IDCW);10.6630;25-Aug-2023")</f>
        <v>149877;INF200KA12E5;-;SBI Fixed Maturity Plan (FMP) - Series 60 (1878 Days) - Regular Plan - Income Distribution cum Capital Withdrawal Option (IDCW);10.6630;25-Aug-2023</v>
      </c>
      <c r="B14740" s="1"/>
    </row>
    <row r="14741">
      <c r="A14741" s="1" t="str">
        <f>IFERROR(__xludf.DUMMYFUNCTION("""COMPUTED_VALUE"""),"149993;INF200KA13F0;-;SBI Fixed Maturity Plan (FMP)- Series 61 (1927 Days)- Direct Plan- Growth option;10.7162;25-Aug-2023")</f>
        <v>149993;INF200KA13F0;-;SBI Fixed Maturity Plan (FMP)- Series 61 (1927 Days)- Direct Plan- Growth option;10.7162;25-Aug-2023</v>
      </c>
      <c r="B14741" s="1"/>
    </row>
    <row r="14742">
      <c r="A14742" s="1" t="str">
        <f>IFERROR(__xludf.DUMMYFUNCTION("""COMPUTED_VALUE"""),"149995;INF200KA14F8;-;SBI Fixed Maturity Plan (FMP)- Series 61 (1927 Days)- Direct Plan- Income Distribution Cum Capital withdrawal option;10.7162;25-Aug-2023")</f>
        <v>149995;INF200KA14F8;-;SBI Fixed Maturity Plan (FMP)- Series 61 (1927 Days)- Direct Plan- Income Distribution Cum Capital withdrawal option;10.7162;25-Aug-2023</v>
      </c>
      <c r="B14742" s="1"/>
    </row>
    <row r="14743">
      <c r="A14743" s="1" t="str">
        <f>IFERROR(__xludf.DUMMYFUNCTION("""COMPUTED_VALUE"""),"149994;INF200KA11F4;-;SBI Fixed Maturity Plan (FMP)- Series 61 (1927 Days)- Regular Plan- Growth option;10.6932;25-Aug-2023")</f>
        <v>149994;INF200KA11F4;-;SBI Fixed Maturity Plan (FMP)- Series 61 (1927 Days)- Regular Plan- Growth option;10.6932;25-Aug-2023</v>
      </c>
      <c r="B14743" s="1"/>
    </row>
    <row r="14744">
      <c r="A14744" s="1" t="str">
        <f>IFERROR(__xludf.DUMMYFUNCTION("""COMPUTED_VALUE"""),"149992;INF200KA12F2;-;SBI Fixed Maturity Plan (FMP)- Series 61 (1927 Days)- Regular Plan- Income Distribution Cum Capital withdrawal option;10.6932;25-Aug-2023")</f>
        <v>149992;INF200KA12F2;-;SBI Fixed Maturity Plan (FMP)- Series 61 (1927 Days)- Regular Plan- Income Distribution Cum Capital withdrawal option;10.6932;25-Aug-2023</v>
      </c>
      <c r="B14744" s="1"/>
    </row>
    <row r="14745">
      <c r="A14745" s="1" t="str">
        <f>IFERROR(__xludf.DUMMYFUNCTION("""COMPUTED_VALUE"""),"150362;INF200KA17F1;-;SBI Fixed Maturity Plan (FMP)- Series 62 (191 Days)- Direct Plan- Growth option;10.2380;06-Oct-2022")</f>
        <v>150362;INF200KA17F1;-;SBI Fixed Maturity Plan (FMP)- Series 62 (191 Days)- Direct Plan- Growth option;10.2380;06-Oct-2022</v>
      </c>
      <c r="B14745" s="1"/>
    </row>
    <row r="14746">
      <c r="A14746" s="1" t="str">
        <f>IFERROR(__xludf.DUMMYFUNCTION("""COMPUTED_VALUE"""),"150364;INF200KA18F9;-;SBI Fixed Maturity Plan (FMP)- Series 62 (191 Days)- Direct Plan- Income Distribution Cum Capital Withdrawal option;10.2380;06-Oct-2022")</f>
        <v>150364;INF200KA18F9;-;SBI Fixed Maturity Plan (FMP)- Series 62 (191 Days)- Direct Plan- Income Distribution Cum Capital Withdrawal option;10.2380;06-Oct-2022</v>
      </c>
      <c r="B14746" s="1"/>
    </row>
    <row r="14747">
      <c r="A14747" s="1" t="str">
        <f>IFERROR(__xludf.DUMMYFUNCTION("""COMPUTED_VALUE"""),"150365;INF200KA15F5;-;SBI Fixed Maturity Plan (FMP)- Series 62 (191 Days)- Regular Plan- Growth option;10.2326;06-Oct-2022")</f>
        <v>150365;INF200KA15F5;-;SBI Fixed Maturity Plan (FMP)- Series 62 (191 Days)- Regular Plan- Growth option;10.2326;06-Oct-2022</v>
      </c>
      <c r="B14747" s="1"/>
    </row>
    <row r="14748">
      <c r="A14748" s="1" t="str">
        <f>IFERROR(__xludf.DUMMYFUNCTION("""COMPUTED_VALUE"""),"150363;INF200KA16F3;-;SBI Fixed Maturity Plan (FMP)- Series 62 (191 Days)- Regular Plan- Income Distribution Cum Capital Withdrawal option;10.2326;06-Oct-2022")</f>
        <v>150363;INF200KA16F3;-;SBI Fixed Maturity Plan (FMP)- Series 62 (191 Days)- Regular Plan- Income Distribution Cum Capital Withdrawal option;10.2326;06-Oct-2022</v>
      </c>
      <c r="B14748" s="1"/>
    </row>
    <row r="14749">
      <c r="A14749" s="1" t="str">
        <f>IFERROR(__xludf.DUMMYFUNCTION("""COMPUTED_VALUE"""),"150576;INF200KA19M3;-;SBI Fixed Maturity Plan (FMP) - Series 63 (372 Days) - Direct Plan - Growth;10.6269;25-Aug-2023")</f>
        <v>150576;INF200KA19M3;-;SBI Fixed Maturity Plan (FMP) - Series 63 (372 Days) - Direct Plan - Growth;10.6269;25-Aug-2023</v>
      </c>
      <c r="B14749" s="1"/>
    </row>
    <row r="14750">
      <c r="A14750" s="1" t="str">
        <f>IFERROR(__xludf.DUMMYFUNCTION("""COMPUTED_VALUE"""),"150577;INF200KA10N0;-;SBI Fixed Maturity Plan (FMP) - Series 63 (372 Days) - Direct Plan - IDCW Payout;10.6269;25-Aug-2023")</f>
        <v>150577;INF200KA10N0;-;SBI Fixed Maturity Plan (FMP) - Series 63 (372 Days) - Direct Plan - IDCW Payout;10.6269;25-Aug-2023</v>
      </c>
      <c r="B14750" s="1"/>
    </row>
    <row r="14751">
      <c r="A14751" s="1" t="str">
        <f>IFERROR(__xludf.DUMMYFUNCTION("""COMPUTED_VALUE"""),"150574;INF200KA17M7;-;SBI Fixed Maturity Plan (FMP) - Series 63 (372 Days) - Regular Plan - Growth;10.6162;25-Aug-2023")</f>
        <v>150574;INF200KA17M7;-;SBI Fixed Maturity Plan (FMP) - Series 63 (372 Days) - Regular Plan - Growth;10.6162;25-Aug-2023</v>
      </c>
      <c r="B14751" s="1"/>
    </row>
    <row r="14752">
      <c r="A14752" s="1" t="str">
        <f>IFERROR(__xludf.DUMMYFUNCTION("""COMPUTED_VALUE"""),"150575;INF200KA18M5;-;SBI Fixed Maturity Plan (FMP) - Series 63 (372 Days) - Regular Plan - IDCW Payout;10.6162;25-Aug-2023")</f>
        <v>150575;INF200KA18M5;-;SBI Fixed Maturity Plan (FMP) - Series 63 (372 Days) - Regular Plan - IDCW Payout;10.6162;25-Aug-2023</v>
      </c>
      <c r="B14752" s="1"/>
    </row>
    <row r="14753">
      <c r="A14753" s="1" t="str">
        <f>IFERROR(__xludf.DUMMYFUNCTION("""COMPUTED_VALUE"""),"150602;INF200KA17N5;-;SBI Fixed Maturity Plan (FMP) - Series 64 (1169 Days) - Direct Plan - Growth;10.6189;25-Aug-2023")</f>
        <v>150602;INF200KA17N5;-;SBI Fixed Maturity Plan (FMP) - Series 64 (1169 Days) - Direct Plan - Growth;10.6189;25-Aug-2023</v>
      </c>
      <c r="B14753" s="1"/>
    </row>
    <row r="14754">
      <c r="A14754" s="1" t="str">
        <f>IFERROR(__xludf.DUMMYFUNCTION("""COMPUTED_VALUE"""),"150603;INF200KA18N3;-;SBI Fixed Maturity Plan (FMP) - Series 64 (1169 Days) - Direct Plan - IDCW Payout;10.6189;25-Aug-2023")</f>
        <v>150603;INF200KA18N3;-;SBI Fixed Maturity Plan (FMP) - Series 64 (1169 Days) - Direct Plan - IDCW Payout;10.6189;25-Aug-2023</v>
      </c>
      <c r="B14754" s="1"/>
    </row>
    <row r="14755">
      <c r="A14755" s="1" t="str">
        <f>IFERROR(__xludf.DUMMYFUNCTION("""COMPUTED_VALUE"""),"150604;INF200KA15N9;-;SBI Fixed Maturity Plan (FMP) - Series 64 (1169 Days) - Regular Plan - Growth;10.6032;25-Aug-2023")</f>
        <v>150604;INF200KA15N9;-;SBI Fixed Maturity Plan (FMP) - Series 64 (1169 Days) - Regular Plan - Growth;10.6032;25-Aug-2023</v>
      </c>
      <c r="B14755" s="1"/>
    </row>
    <row r="14756">
      <c r="A14756" s="1" t="str">
        <f>IFERROR(__xludf.DUMMYFUNCTION("""COMPUTED_VALUE"""),"150605;INF200KA16N7;-;SBI Fixed Maturity Plan (FMP) - Series 64 (1169 Days) - Regular Plan - IDCW Payout;10.6032;25-Aug-2023")</f>
        <v>150605;INF200KA16N7;-;SBI Fixed Maturity Plan (FMP) - Series 64 (1169 Days) - Regular Plan - IDCW Payout;10.6032;25-Aug-2023</v>
      </c>
      <c r="B14756" s="1"/>
    </row>
    <row r="14757">
      <c r="A14757" s="1" t="str">
        <f>IFERROR(__xludf.DUMMYFUNCTION("""COMPUTED_VALUE"""),"150614;INF200KA11O6;-;SBI Fixed Maturity Plan (FMP) - Series 65 (367 Days) - Direct Plan - Growth;10.6332;25-Aug-2023")</f>
        <v>150614;INF200KA11O6;-;SBI Fixed Maturity Plan (FMP) - Series 65 (367 Days) - Direct Plan - Growth;10.6332;25-Aug-2023</v>
      </c>
      <c r="B14757" s="1"/>
    </row>
    <row r="14758">
      <c r="A14758" s="1" t="str">
        <f>IFERROR(__xludf.DUMMYFUNCTION("""COMPUTED_VALUE"""),"150613;INF200KA12O4;-;SBI Fixed Maturity Plan (FMP) - Series 65 (367 Days) - Direct Plan - IDCW Payout;10.6332;25-Aug-2023")</f>
        <v>150613;INF200KA12O4;-;SBI Fixed Maturity Plan (FMP) - Series 65 (367 Days) - Direct Plan - IDCW Payout;10.6332;25-Aug-2023</v>
      </c>
      <c r="B14758" s="1"/>
    </row>
    <row r="14759">
      <c r="A14759" s="1" t="str">
        <f>IFERROR(__xludf.DUMMYFUNCTION("""COMPUTED_VALUE"""),"150611;INF200KA19N1;-;SBI Fixed Maturity Plan (FMP) - Series 65 (367 Days) - Regular Plan - Growth;10.6229;25-Aug-2023")</f>
        <v>150611;INF200KA19N1;-;SBI Fixed Maturity Plan (FMP) - Series 65 (367 Days) - Regular Plan - Growth;10.6229;25-Aug-2023</v>
      </c>
      <c r="B14759" s="1"/>
    </row>
    <row r="14760">
      <c r="A14760" s="1" t="str">
        <f>IFERROR(__xludf.DUMMYFUNCTION("""COMPUTED_VALUE"""),"150612;INF200KA10O8;-;SBI Fixed Maturity Plan (FMP) - Series 65 (367 Days) - Regular Plan - IDCW Payout;10.6229;25-Aug-2023")</f>
        <v>150612;INF200KA10O8;-;SBI Fixed Maturity Plan (FMP) - Series 65 (367 Days) - Regular Plan - IDCW Payout;10.6229;25-Aug-2023</v>
      </c>
      <c r="B14760" s="1"/>
    </row>
    <row r="14761">
      <c r="A14761" s="1" t="str">
        <f>IFERROR(__xludf.DUMMYFUNCTION("""COMPUTED_VALUE"""),"150379;INF200KA11M0;-;SBI Fixed Maturity Plan (FMP) - Series 66 (1361 Days) - Direct Plan - Growth;10.7845;25-Aug-2023")</f>
        <v>150379;INF200KA11M0;-;SBI Fixed Maturity Plan (FMP) - Series 66 (1361 Days) - Direct Plan - Growth;10.7845;25-Aug-2023</v>
      </c>
      <c r="B14761" s="1"/>
    </row>
    <row r="14762">
      <c r="A14762" s="1" t="str">
        <f>IFERROR(__xludf.DUMMYFUNCTION("""COMPUTED_VALUE"""),"150378;INF200KA12M8;-;SBI Fixed Maturity Plan (FMP) - Series 66 (1361 Days) - Direct Plan - Income Distribution cum Capital Withdrawal Option (IDCW);10.7845;25-Aug-2023")</f>
        <v>150378;INF200KA12M8;-;SBI Fixed Maturity Plan (FMP) - Series 66 (1361 Days) - Direct Plan - Income Distribution cum Capital Withdrawal Option (IDCW);10.7845;25-Aug-2023</v>
      </c>
      <c r="B14762" s="1"/>
    </row>
    <row r="14763">
      <c r="A14763" s="1" t="str">
        <f>IFERROR(__xludf.DUMMYFUNCTION("""COMPUTED_VALUE"""),"150377;INF200KA19L5;-;SBI Fixed Maturity Plan (FMP) - Series 66 (1361 Days) - Regular Plan - Growth;10.7667;25-Aug-2023")</f>
        <v>150377;INF200KA19L5;-;SBI Fixed Maturity Plan (FMP) - Series 66 (1361 Days) - Regular Plan - Growth;10.7667;25-Aug-2023</v>
      </c>
      <c r="B14763" s="1"/>
    </row>
    <row r="14764">
      <c r="A14764" s="1" t="str">
        <f>IFERROR(__xludf.DUMMYFUNCTION("""COMPUTED_VALUE"""),"150380;INF200KA10M2;-;SBI Fixed Maturity Plan (FMP) - Series 66 (1361 Days) - Regular Plan - Income Distribution cum Capital Withdrawal Option (IDCW);10.7667;25-Aug-2023")</f>
        <v>150380;INF200KA10M2;-;SBI Fixed Maturity Plan (FMP) - Series 66 (1361 Days) - Regular Plan - Income Distribution cum Capital Withdrawal Option (IDCW);10.7667;25-Aug-2023</v>
      </c>
      <c r="B14764" s="1"/>
    </row>
    <row r="14765">
      <c r="A14765" s="1" t="str">
        <f>IFERROR(__xludf.DUMMYFUNCTION("""COMPUTED_VALUE"""),"150460;INF200KA15M1;-;SBI Fixed Maturity Plan (FMP) - Series 67 (1467 Days) - Direct Plan - Growth;10.7371;25-Aug-2023")</f>
        <v>150460;INF200KA15M1;-;SBI Fixed Maturity Plan (FMP) - Series 67 (1467 Days) - Direct Plan - Growth;10.7371;25-Aug-2023</v>
      </c>
      <c r="B14765" s="1"/>
    </row>
    <row r="14766">
      <c r="A14766" s="1" t="str">
        <f>IFERROR(__xludf.DUMMYFUNCTION("""COMPUTED_VALUE"""),"150458;INF200KA16M9;-;SBI Fixed Maturity Plan (FMP) - Series 67 (1467 Days) - Direct Plan - IDCW Payout;10.7371;25-Aug-2023")</f>
        <v>150458;INF200KA16M9;-;SBI Fixed Maturity Plan (FMP) - Series 67 (1467 Days) - Direct Plan - IDCW Payout;10.7371;25-Aug-2023</v>
      </c>
      <c r="B14766" s="1"/>
    </row>
    <row r="14767">
      <c r="A14767" s="1" t="str">
        <f>IFERROR(__xludf.DUMMYFUNCTION("""COMPUTED_VALUE"""),"150461;INF200KA13M6;-;SBI Fixed Maturity Plan (FMP) - Series 67 (1467 Days) - Regular Plan - Growth;10.7197;25-Aug-2023")</f>
        <v>150461;INF200KA13M6;-;SBI Fixed Maturity Plan (FMP) - Series 67 (1467 Days) - Regular Plan - Growth;10.7197;25-Aug-2023</v>
      </c>
      <c r="B14767" s="1"/>
    </row>
    <row r="14768">
      <c r="A14768" s="1" t="str">
        <f>IFERROR(__xludf.DUMMYFUNCTION("""COMPUTED_VALUE"""),"150459;INF200KA14M4;-;SBI Fixed Maturity Plan (FMP) - Series 67 (1467 Days) - Regular Plan - IDCW Payout;10.7201;25-Aug-2023")</f>
        <v>150459;INF200KA14M4;-;SBI Fixed Maturity Plan (FMP) - Series 67 (1467 Days) - Regular Plan - IDCW Payout;10.7201;25-Aug-2023</v>
      </c>
      <c r="B14768" s="1"/>
    </row>
    <row r="14769">
      <c r="A14769" s="1" t="str">
        <f>IFERROR(__xludf.DUMMYFUNCTION("""COMPUTED_VALUE"""),"150649;INF200KA15O7;-;SBI Fixed Maturity Plan (FMP) - Series 68 (1302 Days) - Direct Plan - Growth;10.6572;25-Aug-2023")</f>
        <v>150649;INF200KA15O7;-;SBI Fixed Maturity Plan (FMP) - Series 68 (1302 Days) - Direct Plan - Growth;10.6572;25-Aug-2023</v>
      </c>
      <c r="B14769" s="1"/>
    </row>
    <row r="14770">
      <c r="A14770" s="1" t="str">
        <f>IFERROR(__xludf.DUMMYFUNCTION("""COMPUTED_VALUE"""),"150650;INF200KA16O5;-;SBI Fixed Maturity Plan (FMP) - Series 68 (1302 Days) - Direct Plan - IDCW Payout;10.6591;25-Aug-2023")</f>
        <v>150650;INF200KA16O5;-;SBI Fixed Maturity Plan (FMP) - Series 68 (1302 Days) - Direct Plan - IDCW Payout;10.6591;25-Aug-2023</v>
      </c>
      <c r="B14770" s="1"/>
    </row>
    <row r="14771">
      <c r="A14771" s="1" t="str">
        <f>IFERROR(__xludf.DUMMYFUNCTION("""COMPUTED_VALUE"""),"150647;INF200KA13O2;-;SBI Fixed Maturity Plan (FMP) - Series 68 (1302 Days) - Regular Plan - Growth;10.6424;25-Aug-2023")</f>
        <v>150647;INF200KA13O2;-;SBI Fixed Maturity Plan (FMP) - Series 68 (1302 Days) - Regular Plan - Growth;10.6424;25-Aug-2023</v>
      </c>
      <c r="B14771" s="1"/>
    </row>
    <row r="14772">
      <c r="A14772" s="1" t="str">
        <f>IFERROR(__xludf.DUMMYFUNCTION("""COMPUTED_VALUE"""),"150648;INF200KA14O0;-;SBI Fixed Maturity Plan (FMP) - Series 68 (1302 Days) - Regular Plan - IDCW Payout;10.6424;25-Aug-2023")</f>
        <v>150648;INF200KA14O0;-;SBI Fixed Maturity Plan (FMP) - Series 68 (1302 Days) - Regular Plan - IDCW Payout;10.6424;25-Aug-2023</v>
      </c>
      <c r="B14772" s="1"/>
    </row>
    <row r="14773">
      <c r="A14773" s="1" t="str">
        <f>IFERROR(__xludf.DUMMYFUNCTION("""COMPUTED_VALUE"""),"150809;INF200KA19R2;-;SBI Fixed Maturity Plan (FMP) - Series 69 (367 Days) - Direct Plan - Growth;10.6175;25-Aug-2023")</f>
        <v>150809;INF200KA19R2;-;SBI Fixed Maturity Plan (FMP) - Series 69 (367 Days) - Direct Plan - Growth;10.6175;25-Aug-2023</v>
      </c>
      <c r="B14773" s="1"/>
    </row>
    <row r="14774">
      <c r="A14774" s="1" t="str">
        <f>IFERROR(__xludf.DUMMYFUNCTION("""COMPUTED_VALUE"""),"150810;INF200KA10S9;-;SBI Fixed Maturity Plan (FMP) - Series 69 (367 Days) - Direct Plan - IDCW Payout;10.6175;25-Aug-2023")</f>
        <v>150810;INF200KA10S9;-;SBI Fixed Maturity Plan (FMP) - Series 69 (367 Days) - Direct Plan - IDCW Payout;10.6175;25-Aug-2023</v>
      </c>
      <c r="B14774" s="1"/>
    </row>
    <row r="14775">
      <c r="A14775" s="1" t="str">
        <f>IFERROR(__xludf.DUMMYFUNCTION("""COMPUTED_VALUE"""),"150811;INF200KA17R6;-;SBI Fixed Maturity Plan (FMP) - Series 69 (367 Days) - Regular Plan - Growth;10.6080;25-Aug-2023")</f>
        <v>150811;INF200KA17R6;-;SBI Fixed Maturity Plan (FMP) - Series 69 (367 Days) - Regular Plan - Growth;10.6080;25-Aug-2023</v>
      </c>
      <c r="B14775" s="1"/>
    </row>
    <row r="14776">
      <c r="A14776" s="1" t="str">
        <f>IFERROR(__xludf.DUMMYFUNCTION("""COMPUTED_VALUE"""),"150808;INF200KA18R4;-;SBI Fixed Maturity Plan (FMP) - Series 69 (367 Days) - Regular Plan - IDCW Payout;10.6080;25-Aug-2023")</f>
        <v>150808;INF200KA18R4;-;SBI Fixed Maturity Plan (FMP) - Series 69 (367 Days) - Regular Plan - IDCW Payout;10.6080;25-Aug-2023</v>
      </c>
      <c r="B14776" s="1"/>
    </row>
    <row r="14777">
      <c r="A14777" s="1" t="str">
        <f>IFERROR(__xludf.DUMMYFUNCTION("""COMPUTED_VALUE"""),"147318;INF200KA1F68;-;SBI Fixed Maturity Plan (FMP) - Series 7 (1175 Days) - Direct Plan - Growth;12.5976;10-Aug-2022")</f>
        <v>147318;INF200KA1F68;-;SBI Fixed Maturity Plan (FMP) - Series 7 (1175 Days) - Direct Plan - Growth;12.5976;10-Aug-2022</v>
      </c>
      <c r="B14777" s="1"/>
    </row>
    <row r="14778">
      <c r="A14778" s="1" t="str">
        <f>IFERROR(__xludf.DUMMYFUNCTION("""COMPUTED_VALUE"""),"147319;INF200KA1F76;-;SBI Fixed Maturity Plan (FMP) - Series 7 (1175 Days) - Direct Plan - Income Distribution cum Capital Withdrawal Option (IDCW);12.5976;10-Aug-2022")</f>
        <v>147319;INF200KA1F76;-;SBI Fixed Maturity Plan (FMP) - Series 7 (1175 Days) - Direct Plan - Income Distribution cum Capital Withdrawal Option (IDCW);12.5976;10-Aug-2022</v>
      </c>
      <c r="B14778" s="1"/>
    </row>
    <row r="14779">
      <c r="A14779" s="1" t="str">
        <f>IFERROR(__xludf.DUMMYFUNCTION("""COMPUTED_VALUE"""),"147320;INF200KA1F43;-;SBI Fixed Maturity Plan (FMP) - Series 7 (1175 Days) - Regular Plan - Growth;12.4967;10-Aug-2022")</f>
        <v>147320;INF200KA1F43;-;SBI Fixed Maturity Plan (FMP) - Series 7 (1175 Days) - Regular Plan - Growth;12.4967;10-Aug-2022</v>
      </c>
      <c r="B14779" s="1"/>
    </row>
    <row r="14780">
      <c r="A14780" s="1" t="str">
        <f>IFERROR(__xludf.DUMMYFUNCTION("""COMPUTED_VALUE"""),"147317;INF200KA1F50;-;SBI Fixed Maturity Plan (FMP) - Series 7 (1175 Days) - Regular Plan - Income Distribution cum Capital Withdrawal Option (IDCW);12.4967;10-Aug-2022")</f>
        <v>147317;INF200KA1F50;-;SBI Fixed Maturity Plan (FMP) - Series 7 (1175 Days) - Regular Plan - Income Distribution cum Capital Withdrawal Option (IDCW);12.4967;10-Aug-2022</v>
      </c>
      <c r="B14780" s="1"/>
    </row>
    <row r="14781">
      <c r="A14781" s="1" t="str">
        <f>IFERROR(__xludf.DUMMYFUNCTION("""COMPUTED_VALUE"""),"150883;INF200KA13S3;-;SBI Fixed Maturity Plan (FMP) - Series 71 (364 Days) - Direct Plan - Growth;10.5856;25-Aug-2023")</f>
        <v>150883;INF200KA13S3;-;SBI Fixed Maturity Plan (FMP) - Series 71 (364 Days) - Direct Plan - Growth;10.5856;25-Aug-2023</v>
      </c>
      <c r="B14781" s="1"/>
    </row>
    <row r="14782">
      <c r="A14782" s="1" t="str">
        <f>IFERROR(__xludf.DUMMYFUNCTION("""COMPUTED_VALUE"""),"150880;INF200KA14S1;-;SBI Fixed Maturity Plan (FMP) - Series 71 (364 Days) - Direct Plan - Income Distribution cum Capital Withdrawal Option (IDCW);10.5856;25-Aug-2023")</f>
        <v>150880;INF200KA14S1;-;SBI Fixed Maturity Plan (FMP) - Series 71 (364 Days) - Direct Plan - Income Distribution cum Capital Withdrawal Option (IDCW);10.5856;25-Aug-2023</v>
      </c>
      <c r="B14782" s="1"/>
    </row>
    <row r="14783">
      <c r="A14783" s="1" t="str">
        <f>IFERROR(__xludf.DUMMYFUNCTION("""COMPUTED_VALUE"""),"150881;INF200KA11S7;-;SBI Fixed Maturity Plan (FMP) - Series 71 (364 Days) - Regular Plan - Growth;10.5736;25-Aug-2023")</f>
        <v>150881;INF200KA11S7;-;SBI Fixed Maturity Plan (FMP) - Series 71 (364 Days) - Regular Plan - Growth;10.5736;25-Aug-2023</v>
      </c>
      <c r="B14783" s="1"/>
    </row>
    <row r="14784">
      <c r="A14784" s="1" t="str">
        <f>IFERROR(__xludf.DUMMYFUNCTION("""COMPUTED_VALUE"""),"150882;INF200KA12S5;-;SBI Fixed Maturity Plan (FMP) - Series 71 (364 Days) - Regular Plan - Income Distribution cun Capital Withdrawal Option (IDCW);10.5736;25-Aug-2023")</f>
        <v>150882;INF200KA12S5;-;SBI Fixed Maturity Plan (FMP) - Series 71 (364 Days) - Regular Plan - Income Distribution cun Capital Withdrawal Option (IDCW);10.5736;25-Aug-2023</v>
      </c>
      <c r="B14784" s="1"/>
    </row>
    <row r="14785">
      <c r="A14785" s="1" t="str">
        <f>IFERROR(__xludf.DUMMYFUNCTION("""COMPUTED_VALUE"""),"151559;INF200KA19W2;-;SBI Fixed Maturity Plan (FMP) - Series 79 (1170 Days) - Direct Plan - Growth;10.3663;25-Aug-2023")</f>
        <v>151559;INF200KA19W2;-;SBI Fixed Maturity Plan (FMP) - Series 79 (1170 Days) - Direct Plan - Growth;10.3663;25-Aug-2023</v>
      </c>
      <c r="B14785" s="1"/>
    </row>
    <row r="14786">
      <c r="A14786" s="1" t="str">
        <f>IFERROR(__xludf.DUMMYFUNCTION("""COMPUTED_VALUE"""),"151558;INF200KA10X9;-;SBI Fixed Maturity Plan (FMP) - Series 79 (1170 Days) - Direct Plan - Income Distribution cum Capital Withdrawal Payout;10.3665;25-Aug-2023")</f>
        <v>151558;INF200KA10X9;-;SBI Fixed Maturity Plan (FMP) - Series 79 (1170 Days) - Direct Plan - Income Distribution cum Capital Withdrawal Payout;10.3665;25-Aug-2023</v>
      </c>
      <c r="B14786" s="1"/>
    </row>
    <row r="14787">
      <c r="A14787" s="1" t="str">
        <f>IFERROR(__xludf.DUMMYFUNCTION("""COMPUTED_VALUE"""),"151556;INF200KA17W6;-;SBI Fixed Maturity Plan (FMP) - Series 79 (1170 Days) - Regular Plan - Growth;10.3593;25-Aug-2023")</f>
        <v>151556;INF200KA17W6;-;SBI Fixed Maturity Plan (FMP) - Series 79 (1170 Days) - Regular Plan - Growth;10.3593;25-Aug-2023</v>
      </c>
      <c r="B14787" s="1"/>
    </row>
    <row r="14788">
      <c r="A14788" s="1" t="str">
        <f>IFERROR(__xludf.DUMMYFUNCTION("""COMPUTED_VALUE"""),"151557;INF200KA18W4;-;SBI Fixed Maturity Plan (FMP) - Series 79 (1170 Days) - Regular Plan - Income Distribution cum Capital Withdrawal Payout;10.3593;25-Aug-2023")</f>
        <v>151557;INF200KA18W4;-;SBI Fixed Maturity Plan (FMP) - Series 79 (1170 Days) - Regular Plan - Income Distribution cum Capital Withdrawal Payout;10.3593;25-Aug-2023</v>
      </c>
      <c r="B14788" s="1"/>
    </row>
    <row r="14789">
      <c r="A14789" s="1" t="str">
        <f>IFERROR(__xludf.DUMMYFUNCTION("""COMPUTED_VALUE"""),"147333;INF200KA1G00;-;SBI Fixed Maturity Plan (FMP) - Series 8 (1178 Days) - Direct Plan - Growth;12.5001;24-Aug-2022")</f>
        <v>147333;INF200KA1G00;-;SBI Fixed Maturity Plan (FMP) - Series 8 (1178 Days) - Direct Plan - Growth;12.5001;24-Aug-2022</v>
      </c>
      <c r="B14789" s="1"/>
    </row>
    <row r="14790">
      <c r="A14790" s="1" t="str">
        <f>IFERROR(__xludf.DUMMYFUNCTION("""COMPUTED_VALUE"""),"147334;INF200KA1G18;-;SBI Fixed Maturity Plan (FMP) - Series 8 (1178 Days) - Direct Plan - Income Distribution cum Capital Withdrawal Option (IDCW);12.5001;24-Aug-2022")</f>
        <v>147334;INF200KA1G18;-;SBI Fixed Maturity Plan (FMP) - Series 8 (1178 Days) - Direct Plan - Income Distribution cum Capital Withdrawal Option (IDCW);12.5001;24-Aug-2022</v>
      </c>
      <c r="B14790" s="1"/>
    </row>
    <row r="14791">
      <c r="A14791" s="1" t="str">
        <f>IFERROR(__xludf.DUMMYFUNCTION("""COMPUTED_VALUE"""),"147331;INF200KA1F84;-;SBI Fixed Maturity Plan (FMP) - Series 8 (1178 Days) - Regular Plan - Growth;12.3998;24-Aug-2022")</f>
        <v>147331;INF200KA1F84;-;SBI Fixed Maturity Plan (FMP) - Series 8 (1178 Days) - Regular Plan - Growth;12.3998;24-Aug-2022</v>
      </c>
      <c r="B14791" s="1"/>
    </row>
    <row r="14792">
      <c r="A14792" s="1" t="str">
        <f>IFERROR(__xludf.DUMMYFUNCTION("""COMPUTED_VALUE"""),"147332;INF200KA1F92;-;SBI Fixed Maturity Plan (FMP) - Series 8 (1178 Days) - Regular Plan - Income Distribution cum Capital Withdrawal Option (IDCW);12.3998;24-Aug-2022")</f>
        <v>147332;INF200KA1F92;-;SBI Fixed Maturity Plan (FMP) - Series 8 (1178 Days) - Regular Plan - Income Distribution cum Capital Withdrawal Option (IDCW);12.3998;24-Aug-2022</v>
      </c>
      <c r="B14792" s="1"/>
    </row>
    <row r="14793">
      <c r="A14793" s="1" t="str">
        <f>IFERROR(__xludf.DUMMYFUNCTION("""COMPUTED_VALUE"""),"147422;INF200KA1G67;-;SBI Fixed Maturity Plan (FMP) - Series 9 (1178 Days) - Direct Plan - Growth;12.4891;14-Sep-2022")</f>
        <v>147422;INF200KA1G67;-;SBI Fixed Maturity Plan (FMP) - Series 9 (1178 Days) - Direct Plan - Growth;12.4891;14-Sep-2022</v>
      </c>
      <c r="B14793" s="1"/>
    </row>
    <row r="14794">
      <c r="A14794" s="1" t="str">
        <f>IFERROR(__xludf.DUMMYFUNCTION("""COMPUTED_VALUE"""),"147424;INF200KA1G75;-;SBI Fixed Maturity Plan (FMP) - Series 9 (1178 Days) - Direct Plan - Income Distribution cum Capital Withdrawal Option (IDCW);12.4891;14-Sep-2022")</f>
        <v>147424;INF200KA1G75;-;SBI Fixed Maturity Plan (FMP) - Series 9 (1178 Days) - Direct Plan - Income Distribution cum Capital Withdrawal Option (IDCW);12.4891;14-Sep-2022</v>
      </c>
      <c r="B14794" s="1"/>
    </row>
    <row r="14795">
      <c r="A14795" s="1" t="str">
        <f>IFERROR(__xludf.DUMMYFUNCTION("""COMPUTED_VALUE"""),"147423;INF200KA1G42;-;SBI Fixed Maturity Plan (FMP) - Series 9 (1178 Days) - Regular Plan - Growth;12.3883;14-Sep-2022")</f>
        <v>147423;INF200KA1G42;-;SBI Fixed Maturity Plan (FMP) - Series 9 (1178 Days) - Regular Plan - Growth;12.3883;14-Sep-2022</v>
      </c>
      <c r="B14795" s="1"/>
    </row>
    <row r="14796">
      <c r="A14796" s="1" t="str">
        <f>IFERROR(__xludf.DUMMYFUNCTION("""COMPUTED_VALUE"""),"147421;INF200KA1G59;-;SBI Fixed Maturity Plan (FMP) - Series 9 (1178 Days) - Regular Plan - Income Distribution cum Capital Withdrawal Option (IDCW);12.3888;14-Sep-2022")</f>
        <v>147421;INF200KA1G59;-;SBI Fixed Maturity Plan (FMP) - Series 9 (1178 Days) - Regular Plan - Income Distribution cum Capital Withdrawal Option (IDCW);12.3888;14-Sep-2022</v>
      </c>
      <c r="B14796" s="1"/>
    </row>
    <row r="14797">
      <c r="A14797" s="1" t="str">
        <f>IFERROR(__xludf.DUMMYFUNCTION("""COMPUTED_VALUE"""),"147764;INF200KA1M77;-;SBI Fixed Maturity Plan (FMP) - Series 23 (1106 Days) - Direct Plan - Growth;12.1361;23-Nov-2022")</f>
        <v>147764;INF200KA1M77;-;SBI Fixed Maturity Plan (FMP) - Series 23 (1106 Days) - Direct Plan - Growth;12.1361;23-Nov-2022</v>
      </c>
      <c r="B14797" s="1"/>
    </row>
    <row r="14798">
      <c r="A14798" s="1" t="str">
        <f>IFERROR(__xludf.DUMMYFUNCTION("""COMPUTED_VALUE"""),"147765;INF200KA1M85;-;SBI Fixed Maturity Plan (FMP) - Series 23 (1106 Days) - Direct Plan - Income Distribution cum Capital Withdrawal Option (IDCW);12.1361;23-Nov-2022")</f>
        <v>147765;INF200KA1M85;-;SBI Fixed Maturity Plan (FMP) - Series 23 (1106 Days) - Direct Plan - Income Distribution cum Capital Withdrawal Option (IDCW);12.1361;23-Nov-2022</v>
      </c>
      <c r="B14798" s="1"/>
    </row>
    <row r="14799">
      <c r="A14799" s="1" t="str">
        <f>IFERROR(__xludf.DUMMYFUNCTION("""COMPUTED_VALUE"""),"147762;INF200KA1M51;-;SBI Fixed Maturity Plan (FMP) - Series 23 (1106 Days) - Regular Plan - Growth;12.0448;23-Nov-2022")</f>
        <v>147762;INF200KA1M51;-;SBI Fixed Maturity Plan (FMP) - Series 23 (1106 Days) - Regular Plan - Growth;12.0448;23-Nov-2022</v>
      </c>
      <c r="B14799" s="1"/>
    </row>
    <row r="14800">
      <c r="A14800" s="1" t="str">
        <f>IFERROR(__xludf.DUMMYFUNCTION("""COMPUTED_VALUE"""),"147763;INF200KA1M69;-;SBI Fixed Maturity Plan (FMP) - Series 23 (1106 Days) - Regular Plan - Income Distribution cum Capital Withdrawal Option (IDCW);12.0448;23-Nov-2022")</f>
        <v>147763;INF200KA1M69;-;SBI Fixed Maturity Plan (FMP) - Series 23 (1106 Days) - Regular Plan - Income Distribution cum Capital Withdrawal Option (IDCW);12.0448;23-Nov-2022</v>
      </c>
      <c r="B14800" s="1"/>
    </row>
    <row r="14801">
      <c r="A14801" s="1" t="str">
        <f>IFERROR(__xludf.DUMMYFUNCTION("""COMPUTED_VALUE"""),"147509;INF200KA1H82;-;SBI Fixed Maturity Plan (FMP) - Series 12 (1179 Days) - Direct Plan - Growth;12.4351;06-Oct-2022")</f>
        <v>147509;INF200KA1H82;-;SBI Fixed Maturity Plan (FMP) - Series 12 (1179 Days) - Direct Plan - Growth;12.4351;06-Oct-2022</v>
      </c>
      <c r="B14801" s="1"/>
    </row>
    <row r="14802">
      <c r="A14802" s="1" t="str">
        <f>IFERROR(__xludf.DUMMYFUNCTION("""COMPUTED_VALUE"""),"147510;INF200KA1H90;-;SBI Fixed Maturity Plan (FMP) - Series 12 (1179 Days) - Direct Plan - Income Distribution cum Capital Withdrawal Option (IDCW);12.4351;06-Oct-2022")</f>
        <v>147510;INF200KA1H90;-;SBI Fixed Maturity Plan (FMP) - Series 12 (1179 Days) - Direct Plan - Income Distribution cum Capital Withdrawal Option (IDCW);12.4351;06-Oct-2022</v>
      </c>
      <c r="B14802" s="1"/>
    </row>
    <row r="14803">
      <c r="A14803" s="1" t="str">
        <f>IFERROR(__xludf.DUMMYFUNCTION("""COMPUTED_VALUE"""),"147508;INF200KA1H66;-;SBI Fixed Maturity Plan (FMP) - Series 12 (1179 Days) - Regular Plan - Growth;12.3351;06-Oct-2022")</f>
        <v>147508;INF200KA1H66;-;SBI Fixed Maturity Plan (FMP) - Series 12 (1179 Days) - Regular Plan - Growth;12.3351;06-Oct-2022</v>
      </c>
      <c r="B14803" s="1"/>
    </row>
    <row r="14804">
      <c r="A14804" s="1" t="str">
        <f>IFERROR(__xludf.DUMMYFUNCTION("""COMPUTED_VALUE"""),"147511;INF200KA1H74;-;SBI Fixed Maturity Plan (FMP) - Series 12 (1179 Days) - Regular Plan - Income Distribution cum Capital Withdrawal Option (IDCW);12.3351;06-Oct-2022")</f>
        <v>147511;INF200KA1H74;-;SBI Fixed Maturity Plan (FMP) - Series 12 (1179 Days) - Regular Plan - Income Distribution cum Capital Withdrawal Option (IDCW);12.3351;06-Oct-2022</v>
      </c>
      <c r="B14804" s="1"/>
    </row>
    <row r="14805">
      <c r="A14805" s="1" t="str">
        <f>IFERROR(__xludf.DUMMYFUNCTION("""COMPUTED_VALUE"""),"147520;INF200KA1I24;-;SBI Fixed Maturity Plan (FMP) - Series 13 (1108 Days) - Direct Plan - Growth;12.3063;03-Aug-2022")</f>
        <v>147520;INF200KA1I24;-;SBI Fixed Maturity Plan (FMP) - Series 13 (1108 Days) - Direct Plan - Growth;12.3063;03-Aug-2022</v>
      </c>
      <c r="B14805" s="1"/>
    </row>
    <row r="14806">
      <c r="A14806" s="1" t="str">
        <f>IFERROR(__xludf.DUMMYFUNCTION("""COMPUTED_VALUE"""),"147521;INF200KA1I32;-;SBI Fixed Maturity Plan (FMP) - Series 13 (1108 Days) - Direct Plan - Income Distribution cum Capital Withdrawal Option (IDCW);12.3063;03-Aug-2022")</f>
        <v>147521;INF200KA1I32;-;SBI Fixed Maturity Plan (FMP) - Series 13 (1108 Days) - Direct Plan - Income Distribution cum Capital Withdrawal Option (IDCW);12.3063;03-Aug-2022</v>
      </c>
      <c r="B14806" s="1"/>
    </row>
    <row r="14807">
      <c r="A14807" s="1" t="str">
        <f>IFERROR(__xludf.DUMMYFUNCTION("""COMPUTED_VALUE"""),"147523;INF200KA1I08;-;SBI Fixed Maturity Plan (FMP) - Series 13 (1108 Days) - Regular Plan - Growth;12.2133;03-Aug-2022")</f>
        <v>147523;INF200KA1I08;-;SBI Fixed Maturity Plan (FMP) - Series 13 (1108 Days) - Regular Plan - Growth;12.2133;03-Aug-2022</v>
      </c>
      <c r="B14807" s="1"/>
    </row>
    <row r="14808">
      <c r="A14808" s="1" t="str">
        <f>IFERROR(__xludf.DUMMYFUNCTION("""COMPUTED_VALUE"""),"147522;INF200KA1I16;-;SBI Fixed Maturity Plan (FMP) - Series 13 (1108 Days) - Regular Plan - Income Distribution cum Capital Withdrawal Option (IDCW);12.2133;03-Aug-2022")</f>
        <v>147522;INF200KA1I16;-;SBI Fixed Maturity Plan (FMP) - Series 13 (1108 Days) - Regular Plan - Income Distribution cum Capital Withdrawal Option (IDCW);12.2133;03-Aug-2022</v>
      </c>
      <c r="B14808" s="1"/>
    </row>
    <row r="14809">
      <c r="A14809" s="1" t="str">
        <f>IFERROR(__xludf.DUMMYFUNCTION("""COMPUTED_VALUE"""),"148848;INF200KA1V27;-;SBI Fixed Maturity Plan (FMP) - Series 42 (1857 Days) Direct Plan - Income Distribution cum Capital Withdrawal Option (IDCW);11.2931;25-Aug-2023")</f>
        <v>148848;INF200KA1V27;-;SBI Fixed Maturity Plan (FMP) - Series 42 (1857 Days) Direct Plan - Income Distribution cum Capital Withdrawal Option (IDCW);11.2931;25-Aug-2023</v>
      </c>
      <c r="B14809" s="1"/>
    </row>
    <row r="14810">
      <c r="A14810" s="1" t="str">
        <f>IFERROR(__xludf.DUMMYFUNCTION("""COMPUTED_VALUE"""),"148845;INF200KA1V01;-;SBI Fixed Maturity Plan (FMP) - Series 42 (1857 Days) Regular Plan - Income Distribution cum Capital Withdrawal Option (IDCW);11.2463;25-Aug-2023")</f>
        <v>148845;INF200KA1V01;-;SBI Fixed Maturity Plan (FMP) - Series 42 (1857 Days) Regular Plan - Income Distribution cum Capital Withdrawal Option (IDCW);11.2463;25-Aug-2023</v>
      </c>
      <c r="B14810" s="1"/>
    </row>
    <row r="14811">
      <c r="A14811" s="1" t="str">
        <f>IFERROR(__xludf.DUMMYFUNCTION("""COMPUTED_VALUE"""),"148846;INF200KA1V19;-;SBI Fixed Maturity Plan (FMP) Series 42 (1857 Days) - Direct Plan - Growth;11.2930;25-Aug-2023")</f>
        <v>148846;INF200KA1V19;-;SBI Fixed Maturity Plan (FMP) Series 42 (1857 Days) - Direct Plan - Growth;11.2930;25-Aug-2023</v>
      </c>
      <c r="B14811" s="1"/>
    </row>
    <row r="14812">
      <c r="A14812" s="1" t="str">
        <f>IFERROR(__xludf.DUMMYFUNCTION("""COMPUTED_VALUE"""),"148847;INF200KA1U93;-;SBI Fixed Maturity Plan (FMP) Series 42 (1857 Days) - Regular Plan - Growth;11.2464;25-Aug-2023")</f>
        <v>148847;INF200KA1U93;-;SBI Fixed Maturity Plan (FMP) Series 42 (1857 Days) - Regular Plan - Growth;11.2464;25-Aug-2023</v>
      </c>
      <c r="B14812" s="1"/>
    </row>
    <row r="14813">
      <c r="A14813" s="1" t="str">
        <f>IFERROR(__xludf.DUMMYFUNCTION("""COMPUTED_VALUE"""),"148941;INF200KA1V50;-;SBI Fixed Maturity Plan (FMP) Series 43 (1616 Days) - Direct Plan - Growth;11.2194;25-Aug-2023")</f>
        <v>148941;INF200KA1V50;-;SBI Fixed Maturity Plan (FMP) Series 43 (1616 Days) - Direct Plan - Growth;11.2194;25-Aug-2023</v>
      </c>
      <c r="B14813" s="1"/>
    </row>
    <row r="14814">
      <c r="A14814" s="1" t="str">
        <f>IFERROR(__xludf.DUMMYFUNCTION("""COMPUTED_VALUE"""),"148942;INF200KA1V68;-;SBI Fixed Maturity Plan (FMP) Series 43 (1616 Days) - Direct Plan - Income Distribution cum Capital Withdrawal Option (IDCW);11.2193;25-Aug-2023")</f>
        <v>148942;INF200KA1V68;-;SBI Fixed Maturity Plan (FMP) Series 43 (1616 Days) - Direct Plan - Income Distribution cum Capital Withdrawal Option (IDCW);11.2193;25-Aug-2023</v>
      </c>
      <c r="B14814" s="1"/>
    </row>
    <row r="14815">
      <c r="A14815" s="1" t="str">
        <f>IFERROR(__xludf.DUMMYFUNCTION("""COMPUTED_VALUE"""),"148939;INF200KA1V35;-;SBI Fixed Maturity Plan (FMP) Series 43 (1616 Days) - Regular Plan - Growth;11.1777;25-Aug-2023")</f>
        <v>148939;INF200KA1V35;-;SBI Fixed Maturity Plan (FMP) Series 43 (1616 Days) - Regular Plan - Growth;11.1777;25-Aug-2023</v>
      </c>
      <c r="B14815" s="1"/>
    </row>
    <row r="14816">
      <c r="A14816" s="1" t="str">
        <f>IFERROR(__xludf.DUMMYFUNCTION("""COMPUTED_VALUE"""),"148940;INF200KA1V43;-;SBI Fixed Maturity Plan (FMP) Series 43 (1616 Days) - Regular Plan - Income Distribution cum Capital Withdrawal Option (IDCW);11.1777;25-Aug-2023")</f>
        <v>148940;INF200KA1V43;-;SBI Fixed Maturity Plan (FMP) Series 43 (1616 Days) - Regular Plan - Income Distribution cum Capital Withdrawal Option (IDCW);11.1777;25-Aug-2023</v>
      </c>
      <c r="B14816" s="1"/>
    </row>
    <row r="14817">
      <c r="A14817" s="1" t="str">
        <f>IFERROR(__xludf.DUMMYFUNCTION("""COMPUTED_VALUE"""),"148967;INF200KA1W59;-;SBI Fixed Maturity Plan (FMP) - Series 44 (1855 Days) - Direct Plan - Growth;11.1172;25-Aug-2023")</f>
        <v>148967;INF200KA1W59;-;SBI Fixed Maturity Plan (FMP) - Series 44 (1855 Days) - Direct Plan - Growth;11.1172;25-Aug-2023</v>
      </c>
      <c r="B14817" s="1"/>
    </row>
    <row r="14818">
      <c r="A14818" s="1" t="str">
        <f>IFERROR(__xludf.DUMMYFUNCTION("""COMPUTED_VALUE"""),"148968;INF200KA1W67;-;SBI Fixed Maturity Plan (FMP) - Series 44 (1855 Days) - Direct Plan - Income Distribution cum Capital Withdrawal Option (IDCW);11.1172;25-Aug-2023")</f>
        <v>148968;INF200KA1W67;-;SBI Fixed Maturity Plan (FMP) - Series 44 (1855 Days) - Direct Plan - Income Distribution cum Capital Withdrawal Option (IDCW);11.1172;25-Aug-2023</v>
      </c>
      <c r="B14818" s="1"/>
    </row>
    <row r="14819">
      <c r="A14819" s="1" t="str">
        <f>IFERROR(__xludf.DUMMYFUNCTION("""COMPUTED_VALUE"""),"148966;INF200KA1W34;-;SBI Fixed Maturity Plan (FMP) - Series 44 (1855 Days) - Regular Plan - Growth;11.0776;25-Aug-2023")</f>
        <v>148966;INF200KA1W34;-;SBI Fixed Maturity Plan (FMP) - Series 44 (1855 Days) - Regular Plan - Growth;11.0776;25-Aug-2023</v>
      </c>
      <c r="B14819" s="1"/>
    </row>
    <row r="14820">
      <c r="A14820" s="1" t="str">
        <f>IFERROR(__xludf.DUMMYFUNCTION("""COMPUTED_VALUE"""),"148969;INF200KA1W42;-;SBI Fixed Maturity Plan (FMP) Series 44 (1855 Days) - Regular Plan - Income Distribution cum Capital Withdrawal Option (IDCW);11.0776;25-Aug-2023")</f>
        <v>148969;INF200KA1W42;-;SBI Fixed Maturity Plan (FMP) Series 44 (1855 Days) - Regular Plan - Income Distribution cum Capital Withdrawal Option (IDCW);11.0776;25-Aug-2023</v>
      </c>
      <c r="B14820" s="1"/>
    </row>
    <row r="14821">
      <c r="A14821" s="1" t="str">
        <f>IFERROR(__xludf.DUMMYFUNCTION("""COMPUTED_VALUE"""),"148999;INF200KA1W91;-;SBI Fixed Maturity Plan (FMP) Series 45 (1840 Days) - Direct Plan - Growth;11.1138;25-Aug-2023")</f>
        <v>148999;INF200KA1W91;-;SBI Fixed Maturity Plan (FMP) Series 45 (1840 Days) - Direct Plan - Growth;11.1138;25-Aug-2023</v>
      </c>
      <c r="B14821" s="1"/>
    </row>
    <row r="14822">
      <c r="A14822" s="1" t="str">
        <f>IFERROR(__xludf.DUMMYFUNCTION("""COMPUTED_VALUE"""),"148998;INF200KA1X09;-;SBI Fixed Maturity Plan (FMP) Series 45 (1840 Days) - Direct Plan - Income Distribution cum Capital Withdrawal Option (IDCW);11.1138;25-Aug-2023")</f>
        <v>148998;INF200KA1X09;-;SBI Fixed Maturity Plan (FMP) Series 45 (1840 Days) - Direct Plan - Income Distribution cum Capital Withdrawal Option (IDCW);11.1138;25-Aug-2023</v>
      </c>
      <c r="B14822" s="1"/>
    </row>
    <row r="14823">
      <c r="A14823" s="1" t="str">
        <f>IFERROR(__xludf.DUMMYFUNCTION("""COMPUTED_VALUE"""),"148996;INF200KA1W75;-;SBI Fixed Maturity Plan (FMP) Series 45 (1840 Days) - Regular Plan - Growth;11.0749;25-Aug-2023")</f>
        <v>148996;INF200KA1W75;-;SBI Fixed Maturity Plan (FMP) Series 45 (1840 Days) - Regular Plan - Growth;11.0749;25-Aug-2023</v>
      </c>
      <c r="B14823" s="1"/>
    </row>
    <row r="14824">
      <c r="A14824" s="1" t="str">
        <f>IFERROR(__xludf.DUMMYFUNCTION("""COMPUTED_VALUE"""),"148997;INF200KA1W83;-;SBI Fixed Maturity Plan (FMP) Series 45 (1840Days) - Regular Plan - Income Distribution cum Capital Withdrawal Option (IDCW);11.0749;25-Aug-2023")</f>
        <v>148997;INF200KA1W83;-;SBI Fixed Maturity Plan (FMP) Series 45 (1840Days) - Regular Plan - Income Distribution cum Capital Withdrawal Option (IDCW);11.0749;25-Aug-2023</v>
      </c>
      <c r="B14824" s="1"/>
    </row>
    <row r="14825">
      <c r="A14825" s="1" t="str">
        <f>IFERROR(__xludf.DUMMYFUNCTION("""COMPUTED_VALUE"""),"150919;INF200KA17S4;-;SBI Fixed Maturity Plan (FMP)-Series 72 (1239 Days) Direct Plan- Growth;10.4994;25-Aug-2023")</f>
        <v>150919;INF200KA17S4;-;SBI Fixed Maturity Plan (FMP)-Series 72 (1239 Days) Direct Plan- Growth;10.4994;25-Aug-2023</v>
      </c>
      <c r="B14825" s="1"/>
    </row>
    <row r="14826">
      <c r="A14826" s="1" t="str">
        <f>IFERROR(__xludf.DUMMYFUNCTION("""COMPUTED_VALUE"""),"150916;INF200KA18S2;-;SBI Fixed Maturity Plan (FMP)-Series 72 (1239 Days) Direct Plan- Income Distribution Cum Capital Withdrawal Payout;10.4993;25-Aug-2023")</f>
        <v>150916;INF200KA18S2;-;SBI Fixed Maturity Plan (FMP)-Series 72 (1239 Days) Direct Plan- Income Distribution Cum Capital Withdrawal Payout;10.4993;25-Aug-2023</v>
      </c>
      <c r="B14826" s="1"/>
    </row>
    <row r="14827">
      <c r="A14827" s="1" t="str">
        <f>IFERROR(__xludf.DUMMYFUNCTION("""COMPUTED_VALUE"""),"150917;INF200KA15S8;-;SBI Fixed Maturity Plan (FMP)-Series 72 (1239 Days) Regular Plan- Growth;10.4874;25-Aug-2023")</f>
        <v>150917;INF200KA15S8;-;SBI Fixed Maturity Plan (FMP)-Series 72 (1239 Days) Regular Plan- Growth;10.4874;25-Aug-2023</v>
      </c>
      <c r="B14827" s="1"/>
    </row>
    <row r="14828">
      <c r="A14828" s="1" t="str">
        <f>IFERROR(__xludf.DUMMYFUNCTION("""COMPUTED_VALUE"""),"150918;INF200KA16S6;-;SBI Fixed Maturity Plan (FMP)-Series 72 (1239 Days) Regular Plan- Income Distribution Cum Capital Withdrawal Payout;10.4874;25-Aug-2023")</f>
        <v>150918;INF200KA16S6;-;SBI Fixed Maturity Plan (FMP)-Series 72 (1239 Days) Regular Plan- Income Distribution Cum Capital Withdrawal Payout;10.4874;25-Aug-2023</v>
      </c>
      <c r="B14828" s="1"/>
    </row>
    <row r="14829">
      <c r="A14829" s="1" t="str">
        <f>IFERROR(__xludf.DUMMYFUNCTION("""COMPUTED_VALUE"""),"150984;INF200KA11T5;-;SBI Fixed Maturity Plan (FMP) - Series 73 (1226 Days) - Direct Plan - Growth;10.4759;25-Aug-2023")</f>
        <v>150984;INF200KA11T5;-;SBI Fixed Maturity Plan (FMP) - Series 73 (1226 Days) - Direct Plan - Growth;10.4759;25-Aug-2023</v>
      </c>
      <c r="B14829" s="1"/>
    </row>
    <row r="14830">
      <c r="A14830" s="1" t="str">
        <f>IFERROR(__xludf.DUMMYFUNCTION("""COMPUTED_VALUE"""),"150985;INF200KA12T3;-;SBI Fixed Maturity Plan (FMP) - Series 73 (1226 Days) - Direct Plan - IDCW Payout;10.4759;25-Aug-2023")</f>
        <v>150985;INF200KA12T3;-;SBI Fixed Maturity Plan (FMP) - Series 73 (1226 Days) - Direct Plan - IDCW Payout;10.4759;25-Aug-2023</v>
      </c>
      <c r="B14830" s="1"/>
    </row>
    <row r="14831">
      <c r="A14831" s="1" t="str">
        <f>IFERROR(__xludf.DUMMYFUNCTION("""COMPUTED_VALUE"""),"150986;INF200KA19S0;-;SBI Fixed Maturity Plan (FMP) - Series 73 (1226 Days) - Regular Plan - Growth;10.4647;25-Aug-2023")</f>
        <v>150986;INF200KA19S0;-;SBI Fixed Maturity Plan (FMP) - Series 73 (1226 Days) - Regular Plan - Growth;10.4647;25-Aug-2023</v>
      </c>
      <c r="B14831" s="1"/>
    </row>
    <row r="14832">
      <c r="A14832" s="1" t="str">
        <f>IFERROR(__xludf.DUMMYFUNCTION("""COMPUTED_VALUE"""),"150983;INF200KA10T7;-;SBI Fixed Maturity Plan (FMP) - Series 73 (1226 Days) - Regular Plan - IDCW Payout;10.4647;25-Aug-2023")</f>
        <v>150983;INF200KA10T7;-;SBI Fixed Maturity Plan (FMP) - Series 73 (1226 Days) - Regular Plan - IDCW Payout;10.4647;25-Aug-2023</v>
      </c>
      <c r="B14832" s="1"/>
    </row>
    <row r="14833">
      <c r="A14833" s="1" t="str">
        <f>IFERROR(__xludf.DUMMYFUNCTION("""COMPUTED_VALUE"""),"151252;INF200KA11U3;-;SBI Fixed Maturity Plan (FMP)-Series 74 (1243 Days)- Direct Plan- Growth;10.4565;25-Aug-2023")</f>
        <v>151252;INF200KA11U3;-;SBI Fixed Maturity Plan (FMP)-Series 74 (1243 Days)- Direct Plan- Growth;10.4565;25-Aug-2023</v>
      </c>
      <c r="B14833" s="1"/>
    </row>
    <row r="14834">
      <c r="A14834" s="1" t="str">
        <f>IFERROR(__xludf.DUMMYFUNCTION("""COMPUTED_VALUE"""),"151253;INF200KA12U1;-;SBI Fixed Maturity Plan (FMP)-Series 74 (1243 Days)- Direct Plan- Income Distribution Cum Capital Withdrawal Payout;10.4565;25-Aug-2023")</f>
        <v>151253;INF200KA12U1;-;SBI Fixed Maturity Plan (FMP)-Series 74 (1243 Days)- Direct Plan- Income Distribution Cum Capital Withdrawal Payout;10.4565;25-Aug-2023</v>
      </c>
      <c r="B14834" s="1"/>
    </row>
    <row r="14835">
      <c r="A14835" s="1" t="str">
        <f>IFERROR(__xludf.DUMMYFUNCTION("""COMPUTED_VALUE"""),"151254;INF200KA19T8;-;SBI Fixed Maturity Plan (FMP)-Series 74 (1243 Days)- Regular Plan- Growth;10.4464;25-Aug-2023")</f>
        <v>151254;INF200KA19T8;-;SBI Fixed Maturity Plan (FMP)-Series 74 (1243 Days)- Regular Plan- Growth;10.4464;25-Aug-2023</v>
      </c>
      <c r="B14835" s="1"/>
    </row>
    <row r="14836">
      <c r="A14836" s="1" t="str">
        <f>IFERROR(__xludf.DUMMYFUNCTION("""COMPUTED_VALUE"""),"151255;INF200KA10U5;-;SBI Fixed Maturity Plan (FMP)-Series 74 (1243 Days)- Regular Plan- Income Distribution Cum Capital Withdrawal Payout;10.4465;25-Aug-2023")</f>
        <v>151255;INF200KA10U5;-;SBI Fixed Maturity Plan (FMP)-Series 74 (1243 Days)- Regular Plan- Income Distribution Cum Capital Withdrawal Payout;10.4465;25-Aug-2023</v>
      </c>
      <c r="B14836" s="1"/>
    </row>
    <row r="14837">
      <c r="A14837" s="1" t="str">
        <f>IFERROR(__xludf.DUMMYFUNCTION("""COMPUTED_VALUE"""),"151270;INF200KA16U2;-;SBI Fixed Maturity Plan (FMP)-Series 75 (366 Days) - Direct Plan- Income Distribution Cum Capital Withdrawal Payout;10.4738;25-Aug-2023")</f>
        <v>151270;INF200KA16U2;-;SBI Fixed Maturity Plan (FMP)-Series 75 (366 Days) - Direct Plan- Income Distribution Cum Capital Withdrawal Payout;10.4738;25-Aug-2023</v>
      </c>
      <c r="B14837" s="1"/>
    </row>
    <row r="14838">
      <c r="A14838" s="1" t="str">
        <f>IFERROR(__xludf.DUMMYFUNCTION("""COMPUTED_VALUE"""),"151269;INF200KA15U4;-;SBI Fixed Maturity Plan (FMP)-Series 75 (366 Days)- Direct Plan- Growth;10.4737;25-Aug-2023")</f>
        <v>151269;INF200KA15U4;-;SBI Fixed Maturity Plan (FMP)-Series 75 (366 Days)- Direct Plan- Growth;10.4737;25-Aug-2023</v>
      </c>
      <c r="B14838" s="1"/>
    </row>
    <row r="14839">
      <c r="A14839" s="1" t="str">
        <f>IFERROR(__xludf.DUMMYFUNCTION("""COMPUTED_VALUE"""),"151271;INF200KA13U9;-;SBI Fixed Maturity Plan (FMP)-Series 75 (366 Days)- Regular  Plan- Growth;10.4672;25-Aug-2023")</f>
        <v>151271;INF200KA13U9;-;SBI Fixed Maturity Plan (FMP)-Series 75 (366 Days)- Regular  Plan- Growth;10.4672;25-Aug-2023</v>
      </c>
      <c r="B14839" s="1"/>
    </row>
    <row r="14840">
      <c r="A14840" s="1" t="str">
        <f>IFERROR(__xludf.DUMMYFUNCTION("""COMPUTED_VALUE"""),"151272;INF200KA14U7;-;SBI Fixed Maturity Plan (FMP)-Series 75 (366 Days)- Regular Plan- Income Distribution Cum Capital Withdrawal Payout;10.4672;25-Aug-2023")</f>
        <v>151272;INF200KA14U7;-;SBI Fixed Maturity Plan (FMP)-Series 75 (366 Days)- Regular Plan- Income Distribution Cum Capital Withdrawal Payout;10.4672;25-Aug-2023</v>
      </c>
      <c r="B14840" s="1"/>
    </row>
    <row r="14841">
      <c r="A14841" s="1" t="str">
        <f>IFERROR(__xludf.DUMMYFUNCTION("""COMPUTED_VALUE"""),"151351;INF200KA19U6;-;SBI Fixed Maturity Plan (FMP) - Series 76 (1221 Days) - Direct Plan - Growth;10.4196;25-Aug-2023")</f>
        <v>151351;INF200KA19U6;-;SBI Fixed Maturity Plan (FMP) - Series 76 (1221 Days) - Direct Plan - Growth;10.4196;25-Aug-2023</v>
      </c>
      <c r="B14841" s="1"/>
    </row>
    <row r="14842">
      <c r="A14842" s="1" t="str">
        <f>IFERROR(__xludf.DUMMYFUNCTION("""COMPUTED_VALUE"""),"151350;INF200KA10V3;-;SBI Fixed Maturity Plan (FMP) - Series 76 (1221 Days) - Direct Plan - Income Distribution Cum Capital Withdrawal Payout;10.4196;25-Aug-2023")</f>
        <v>151350;INF200KA10V3;-;SBI Fixed Maturity Plan (FMP) - Series 76 (1221 Days) - Direct Plan - Income Distribution Cum Capital Withdrawal Payout;10.4196;25-Aug-2023</v>
      </c>
      <c r="B14842" s="1"/>
    </row>
    <row r="14843">
      <c r="A14843" s="1" t="str">
        <f>IFERROR(__xludf.DUMMYFUNCTION("""COMPUTED_VALUE"""),"151349;INF200KA17U0;-;SBI Fixed Maturity Plan (FMP) - Series 76 (1221 Days) - Regular Plan - Growth;10.4105;25-Aug-2023")</f>
        <v>151349;INF200KA17U0;-;SBI Fixed Maturity Plan (FMP) - Series 76 (1221 Days) - Regular Plan - Growth;10.4105;25-Aug-2023</v>
      </c>
      <c r="B14843" s="1"/>
    </row>
    <row r="14844">
      <c r="A14844" s="1" t="str">
        <f>IFERROR(__xludf.DUMMYFUNCTION("""COMPUTED_VALUE"""),"151348;INF200KA18U8;-;SBI Fixed Maturity Plan (FMP) - Series 76 (1221 Days) - Regular Plan - Income Distribution Cum Capital Withdrawal Payout;10.4105;25-Aug-2023")</f>
        <v>151348;INF200KA18U8;-;SBI Fixed Maturity Plan (FMP) - Series 76 (1221 Days) - Regular Plan - Income Distribution Cum Capital Withdrawal Payout;10.4105;25-Aug-2023</v>
      </c>
      <c r="B14844" s="1"/>
    </row>
    <row r="14845">
      <c r="A14845" s="1" t="str">
        <f>IFERROR(__xludf.DUMMYFUNCTION("""COMPUTED_VALUE"""),"151403;INF200KA15V2;-;SBI Fixed Maturity Plan (FMP)-Series 77 (366 Days) Direct Plan- Growth;10.4162;25-Aug-2023")</f>
        <v>151403;INF200KA15V2;-;SBI Fixed Maturity Plan (FMP)-Series 77 (366 Days) Direct Plan- Growth;10.4162;25-Aug-2023</v>
      </c>
      <c r="B14845" s="1"/>
    </row>
    <row r="14846">
      <c r="A14846" s="1" t="str">
        <f>IFERROR(__xludf.DUMMYFUNCTION("""COMPUTED_VALUE"""),"151400;INF200KA16V0;-;SBI Fixed Maturity Plan (FMP)-Series 77 (366 Days) Direct Plan- Income Distribution Cum Capital Withdrawal Payout;10.4162;25-Aug-2023")</f>
        <v>151400;INF200KA16V0;-;SBI Fixed Maturity Plan (FMP)-Series 77 (366 Days) Direct Plan- Income Distribution Cum Capital Withdrawal Payout;10.4162;25-Aug-2023</v>
      </c>
      <c r="B14846" s="1"/>
    </row>
    <row r="14847">
      <c r="A14847" s="1" t="str">
        <f>IFERROR(__xludf.DUMMYFUNCTION("""COMPUTED_VALUE"""),"151401;INF200KA13V7;-;SBI Fixed Maturity Plan (FMP)-Series 77 (366 Days)- Regular Plan- Growth;10.4107;25-Aug-2023")</f>
        <v>151401;INF200KA13V7;-;SBI Fixed Maturity Plan (FMP)-Series 77 (366 Days)- Regular Plan- Growth;10.4107;25-Aug-2023</v>
      </c>
      <c r="B14847" s="1"/>
    </row>
    <row r="14848">
      <c r="A14848" s="1" t="str">
        <f>IFERROR(__xludf.DUMMYFUNCTION("""COMPUTED_VALUE"""),"151402;INF200KA14V5;-;SBI Fixed Maturity Plan (FMP)-Series 77 (366 Days)- Regular Plan- Income Distribution Cum Capital Withdrawal Payout;10.4107;25-Aug-2023")</f>
        <v>151402;INF200KA14V5;-;SBI Fixed Maturity Plan (FMP)-Series 77 (366 Days)- Regular Plan- Income Distribution Cum Capital Withdrawal Payout;10.4107;25-Aug-2023</v>
      </c>
      <c r="B14848" s="1"/>
    </row>
    <row r="14849">
      <c r="A14849" s="1" t="str">
        <f>IFERROR(__xludf.DUMMYFUNCTION("""COMPUTED_VALUE"""),"151451;INF200KA19V4;-;SBI Fixed Maturity Plan (FMP)-Series 78 (1170 Days) Direct Plan- Growth;10.4047;25-Aug-2023")</f>
        <v>151451;INF200KA19V4;-;SBI Fixed Maturity Plan (FMP)-Series 78 (1170 Days) Direct Plan- Growth;10.4047;25-Aug-2023</v>
      </c>
      <c r="B14849" s="1"/>
    </row>
    <row r="14850">
      <c r="A14850" s="1" t="str">
        <f>IFERROR(__xludf.DUMMYFUNCTION("""COMPUTED_VALUE"""),"151452;INF200KA10W1;-;SBI Fixed Maturity Plan (FMP)-Series 78 (1170 Days) Direct Plan- Income Distribution Cum Capital Withdrawal Payout;10.4043;25-Aug-2023")</f>
        <v>151452;INF200KA10W1;-;SBI Fixed Maturity Plan (FMP)-Series 78 (1170 Days) Direct Plan- Income Distribution Cum Capital Withdrawal Payout;10.4043;25-Aug-2023</v>
      </c>
      <c r="B14850" s="1"/>
    </row>
    <row r="14851">
      <c r="A14851" s="1" t="str">
        <f>IFERROR(__xludf.DUMMYFUNCTION("""COMPUTED_VALUE"""),"151454;INF200KA17V8;-;SBI Fixed Maturity Plan (FMP)-Series 78 (1170 Days) Regular Plan- Growth;10.3968;25-Aug-2023")</f>
        <v>151454;INF200KA17V8;-;SBI Fixed Maturity Plan (FMP)-Series 78 (1170 Days) Regular Plan- Growth;10.3968;25-Aug-2023</v>
      </c>
      <c r="B14851" s="1"/>
    </row>
    <row r="14852">
      <c r="A14852" s="1" t="str">
        <f>IFERROR(__xludf.DUMMYFUNCTION("""COMPUTED_VALUE"""),"151453;INF200KA18V6;-;SBI Fixed Maturity Plan (FMP)-Series 78 (1170 Days) Regular Plan- Income Distribution Cum Capital Withdrawal Payout;10.3966;25-Aug-2023")</f>
        <v>151453;INF200KA18V6;-;SBI Fixed Maturity Plan (FMP)-Series 78 (1170 Days) Regular Plan- Income Distribution Cum Capital Withdrawal Payout;10.3966;25-Aug-2023</v>
      </c>
      <c r="B14852" s="1"/>
    </row>
    <row r="14853">
      <c r="A14853" s="1" t="str">
        <f>IFERROR(__xludf.DUMMYFUNCTION("""COMPUTED_VALUE"""),"151613;INF200KA13X3;-;SBI Fixed Maturity Plan (FMP)-Series 80 (366 Days) Direct Plan- Growth;10.3405;25-Aug-2023")</f>
        <v>151613;INF200KA13X3;-;SBI Fixed Maturity Plan (FMP)-Series 80 (366 Days) Direct Plan- Growth;10.3405;25-Aug-2023</v>
      </c>
      <c r="B14853" s="1"/>
    </row>
    <row r="14854">
      <c r="A14854" s="1" t="str">
        <f>IFERROR(__xludf.DUMMYFUNCTION("""COMPUTED_VALUE"""),"151614;INF200KA14X1;-;SBI Fixed Maturity Plan (FMP)-Series 80 (366 Days) Direct Plan- Income Distribution Cum Capital Withdrawal Payout Option;10.3407;25-Aug-2023")</f>
        <v>151614;INF200KA14X1;-;SBI Fixed Maturity Plan (FMP)-Series 80 (366 Days) Direct Plan- Income Distribution Cum Capital Withdrawal Payout Option;10.3407;25-Aug-2023</v>
      </c>
      <c r="B14854" s="1"/>
    </row>
    <row r="14855">
      <c r="A14855" s="1" t="str">
        <f>IFERROR(__xludf.DUMMYFUNCTION("""COMPUTED_VALUE"""),"151616;INF200KA11X7;-;SBI Fixed Maturity Plan (FMP)-Series 80 (366 Days) Regular Plan- Growth;10.3360;25-Aug-2023")</f>
        <v>151616;INF200KA11X7;-;SBI Fixed Maturity Plan (FMP)-Series 80 (366 Days) Regular Plan- Growth;10.3360;25-Aug-2023</v>
      </c>
      <c r="B14855" s="1"/>
    </row>
    <row r="14856">
      <c r="A14856" s="1" t="str">
        <f>IFERROR(__xludf.DUMMYFUNCTION("""COMPUTED_VALUE"""),"151615;INF200KA12X5;-;SBI Fixed Maturity Plan (FMP)-Series 80 (366 Days)- Regular Plan- Income Distribution Cum Capital Withdrawal Payout Option;10.3361;25-Aug-2023")</f>
        <v>151615;INF200KA12X5;-;SBI Fixed Maturity Plan (FMP)-Series 80 (366 Days)- Regular Plan- Income Distribution Cum Capital Withdrawal Payout Option;10.3361;25-Aug-2023</v>
      </c>
      <c r="B14856" s="1"/>
    </row>
    <row r="14857">
      <c r="A14857" s="1" t="str">
        <f>IFERROR(__xludf.DUMMYFUNCTION("""COMPUTED_VALUE"""),"151639;INF200KA17X4;-;SBI Fixed Maturity Plan (FMP)-Series 81 (1157 Days) Direct Plan- Growth;10.3042;25-Aug-2023")</f>
        <v>151639;INF200KA17X4;-;SBI Fixed Maturity Plan (FMP)-Series 81 (1157 Days) Direct Plan- Growth;10.3042;25-Aug-2023</v>
      </c>
      <c r="B14857" s="1"/>
    </row>
    <row r="14858">
      <c r="A14858" s="1" t="str">
        <f>IFERROR(__xludf.DUMMYFUNCTION("""COMPUTED_VALUE"""),"151640;INF200KA18X2;-;SBI Fixed Maturity Plan (FMP)-Series 81 (1157 Days) Direct Plan- Income Distribution Cum Capital Withdrawal Payout;10.3040;25-Aug-2023")</f>
        <v>151640;INF200KA18X2;-;SBI Fixed Maturity Plan (FMP)-Series 81 (1157 Days) Direct Plan- Income Distribution Cum Capital Withdrawal Payout;10.3040;25-Aug-2023</v>
      </c>
      <c r="B14858" s="1"/>
    </row>
    <row r="14859">
      <c r="A14859" s="1" t="str">
        <f>IFERROR(__xludf.DUMMYFUNCTION("""COMPUTED_VALUE"""),"151641;INF200KA15X8;-;SBI Fixed Maturity Plan (FMP)-Series 81 (1157 Days) Regular Plan- Growth;10.2979;25-Aug-2023")</f>
        <v>151641;INF200KA15X8;-;SBI Fixed Maturity Plan (FMP)-Series 81 (1157 Days) Regular Plan- Growth;10.2979;25-Aug-2023</v>
      </c>
      <c r="B14859" s="1"/>
    </row>
    <row r="14860">
      <c r="A14860" s="1" t="str">
        <f>IFERROR(__xludf.DUMMYFUNCTION("""COMPUTED_VALUE"""),"151642;INF200KA16X6;-;SBI Fixed Maturity Plan (FMP)-Series 81 (1157 Days) Regular Plan- Income Distribution Cum Capital Withdrawal Payout;10.2979;25-Aug-2023")</f>
        <v>151642;INF200KA16X6;-;SBI Fixed Maturity Plan (FMP)-Series 81 (1157 Days) Regular Plan- Income Distribution Cum Capital Withdrawal Payout;10.2979;25-Aug-2023</v>
      </c>
      <c r="B14860" s="1"/>
    </row>
    <row r="14861">
      <c r="A14861" s="1" t="str">
        <f>IFERROR(__xludf.DUMMYFUNCTION("""COMPUTED_VALUE"""),"151645;INF200KA11Z2;-;SBI Fixed Maturity Plan (FMP)-Series 82 (91 Days) Direct Plan- Growth;10.3068;25-Aug-2023")</f>
        <v>151645;INF200KA11Z2;-;SBI Fixed Maturity Plan (FMP)-Series 82 (91 Days) Direct Plan- Growth;10.3068;25-Aug-2023</v>
      </c>
      <c r="B14861" s="1"/>
    </row>
    <row r="14862">
      <c r="A14862" s="1" t="str">
        <f>IFERROR(__xludf.DUMMYFUNCTION("""COMPUTED_VALUE"""),"151643;INF200KA12Z0;-;SBI Fixed Maturity Plan (FMP)-Series 82 (91 Days) Direct Plan- Income Distribution Cum Capital Withdrawal Payout;10.3068;25-Aug-2023")</f>
        <v>151643;INF200KA12Z0;-;SBI Fixed Maturity Plan (FMP)-Series 82 (91 Days) Direct Plan- Income Distribution Cum Capital Withdrawal Payout;10.3068;25-Aug-2023</v>
      </c>
      <c r="B14862" s="1"/>
    </row>
    <row r="14863">
      <c r="A14863" s="1" t="str">
        <f>IFERROR(__xludf.DUMMYFUNCTION("""COMPUTED_VALUE"""),"151644;INF200KA19Y8;-;SBI Fixed Maturity Plan (FMP)-Series 82 (91 Days) Regular Plan- Growth;10.3024;25-Aug-2023")</f>
        <v>151644;INF200KA19Y8;-;SBI Fixed Maturity Plan (FMP)-Series 82 (91 Days) Regular Plan- Growth;10.3024;25-Aug-2023</v>
      </c>
      <c r="B14863" s="1"/>
    </row>
    <row r="14864">
      <c r="A14864" s="1" t="str">
        <f>IFERROR(__xludf.DUMMYFUNCTION("""COMPUTED_VALUE"""),"151646;INF200KA10Z4;-;SBI Fixed Maturity Plan (FMP)-Series 82 (91 Days) Regular Plan- Income Distribution Cum Capital Withdrawal Payout;10.2984;25-Aug-2023")</f>
        <v>151646;INF200KA10Z4;-;SBI Fixed Maturity Plan (FMP)-Series 82 (91 Days) Regular Plan- Income Distribution Cum Capital Withdrawal Payout;10.2984;25-Aug-2023</v>
      </c>
      <c r="B14864" s="1"/>
    </row>
    <row r="14865">
      <c r="A14865" s="1"/>
      <c r="B14865" s="1"/>
    </row>
    <row r="14866">
      <c r="A14866" s="1" t="str">
        <f>IFERROR(__xludf.DUMMYFUNCTION("""COMPUTED_VALUE"""),"Trust Mutual Fund")</f>
        <v>Trust Mutual Fund</v>
      </c>
      <c r="B14866" s="1"/>
    </row>
    <row r="14867">
      <c r="A14867" s="1"/>
      <c r="B14867" s="1"/>
    </row>
    <row r="14868">
      <c r="A14868" s="1" t="str">
        <f>IFERROR(__xludf.DUMMYFUNCTION("""COMPUTED_VALUE"""),"151620;INF0GCD01651;-;TRUSTMF FIXED MATURITY PLAN -SERIES II (1196 DAYS)-DIRECT PLAN -GROWTH;1031.8423;25-Aug-2023")</f>
        <v>151620;INF0GCD01651;-;TRUSTMF FIXED MATURITY PLAN -SERIES II (1196 DAYS)-DIRECT PLAN -GROWTH;1031.8423;25-Aug-2023</v>
      </c>
      <c r="B14868" s="1"/>
    </row>
    <row r="14869">
      <c r="A14869" s="1" t="str">
        <f>IFERROR(__xludf.DUMMYFUNCTION("""COMPUTED_VALUE"""),"151617;INF0GCD01636;-;TRUSTMF FIXED MATURITY PLAN -SERIES II (1196 DAYS)-REGULAR PLAN -GROWTH;1031.0546;25-Aug-2023")</f>
        <v>151617;INF0GCD01636;-;TRUSTMF FIXED MATURITY PLAN -SERIES II (1196 DAYS)-REGULAR PLAN -GROWTH;1031.0546;25-Aug-2023</v>
      </c>
      <c r="B14869" s="1"/>
    </row>
    <row r="14870">
      <c r="A14870" s="1" t="str">
        <f>IFERROR(__xludf.DUMMYFUNCTION("""COMPUTED_VALUE"""),"151618;INF0GCD01644;-;TRUSTMF FIXED MATURITY PLAN -SERIES II (1196 DAYS)-REGULAR PLAN -IDCW PAYOUT;1031.0547;25-Aug-2023")</f>
        <v>151618;INF0GCD01644;-;TRUSTMF FIXED MATURITY PLAN -SERIES II (1196 DAYS)-REGULAR PLAN -IDCW PAYOUT;1031.0547;25-Aug-2023</v>
      </c>
      <c r="B14870" s="1"/>
    </row>
    <row r="14871">
      <c r="A14871" s="1"/>
      <c r="B14871" s="1"/>
    </row>
    <row r="14872">
      <c r="A14872" s="1" t="str">
        <f>IFERROR(__xludf.DUMMYFUNCTION("""COMPUTED_VALUE"""),"Union Mutual Fund")</f>
        <v>Union Mutual Fund</v>
      </c>
      <c r="B14872" s="1"/>
    </row>
    <row r="14873">
      <c r="A14873" s="1"/>
      <c r="B14873" s="1"/>
    </row>
    <row r="14874">
      <c r="A14874" s="1" t="str">
        <f>IFERROR(__xludf.DUMMYFUNCTION("""COMPUTED_VALUE"""),"151622;INF582M01IW0;-;Union Fixed Maturity Plan - Series 13 - Direct Plan - Growth Option;10.2787;25-Aug-2023")</f>
        <v>151622;INF582M01IW0;-;Union Fixed Maturity Plan - Series 13 - Direct Plan - Growth Option;10.2787;25-Aug-2023</v>
      </c>
      <c r="B14874" s="1"/>
    </row>
    <row r="14875">
      <c r="A14875" s="1" t="str">
        <f>IFERROR(__xludf.DUMMYFUNCTION("""COMPUTED_VALUE"""),"151624;INF582M01IY6;-;Union Fixed Maturity Plan - Series 13 - Regular Plan - Growth Option;10.2660;25-Aug-2023")</f>
        <v>151624;INF582M01IY6;-;Union Fixed Maturity Plan - Series 13 - Regular Plan - Growth Option;10.2660;25-Aug-2023</v>
      </c>
      <c r="B14875" s="1"/>
    </row>
    <row r="14876">
      <c r="A14876" s="1" t="str">
        <f>IFERROR(__xludf.DUMMYFUNCTION("""COMPUTED_VALUE"""),"151623;INF582M01IZ3;-;Union Fixed Maturity Plan - Series 13 - Regular Plan - IDCW Payout Option;10.2660;25-Aug-2023")</f>
        <v>151623;INF582M01IZ3;-;Union Fixed Maturity Plan - Series 13 - Regular Plan - IDCW Payout Option;10.2660;25-Aug-2023</v>
      </c>
      <c r="B14876" s="1"/>
    </row>
    <row r="14877">
      <c r="A14877" s="1"/>
      <c r="B14877" s="1"/>
    </row>
    <row r="14878">
      <c r="A14878" s="1" t="str">
        <f>IFERROR(__xludf.DUMMYFUNCTION("""COMPUTED_VALUE"""),"UTI Mutual Fund")</f>
        <v>UTI Mutual Fund</v>
      </c>
      <c r="B14878" s="1"/>
    </row>
    <row r="14879">
      <c r="A14879" s="1"/>
      <c r="B14879" s="1"/>
    </row>
    <row r="14880">
      <c r="A14880" s="1" t="str">
        <f>IFERROR(__xludf.DUMMYFUNCTION("""COMPUTED_VALUE"""),"141245;INF789FC1TE6;-;UTI Capital Protection Oriented Scheme - Series IX-I (1467 Days) - Direct Plan - IDCW;10;04-May-2021")</f>
        <v>141245;INF789FC1TE6;-;UTI Capital Protection Oriented Scheme - Series IX-I (1467 Days) - Direct Plan - IDCW;10;04-May-2021</v>
      </c>
      <c r="B14880" s="1"/>
    </row>
    <row r="14881">
      <c r="A14881" s="1" t="str">
        <f>IFERROR(__xludf.DUMMYFUNCTION("""COMPUTED_VALUE"""),"141243;INF789FC1TC0;-;UTI Capital Protection Oriented Scheme - Series IX-I (1467 Days) - Regular Plan - IDCW;10.0001;04-May-2021")</f>
        <v>141243;INF789FC1TC0;-;UTI Capital Protection Oriented Scheme - Series IX-I (1467 Days) - Regular Plan - IDCW;10.0001;04-May-2021</v>
      </c>
      <c r="B14881" s="1"/>
    </row>
    <row r="14882">
      <c r="A14882" s="1" t="str">
        <f>IFERROR(__xludf.DUMMYFUNCTION("""COMPUTED_VALUE"""),"141244;INF789FC1TF3;-;UTI Capital Protection Oriented Scheme Series IX-I (1467 Days) - Direct Plan - Growth Option;12.8584;04-May-2021")</f>
        <v>141244;INF789FC1TF3;-;UTI Capital Protection Oriented Scheme Series IX-I (1467 Days) - Direct Plan - Growth Option;12.8584;04-May-2021</v>
      </c>
      <c r="B14882" s="1"/>
    </row>
    <row r="14883">
      <c r="A14883" s="1" t="str">
        <f>IFERROR(__xludf.DUMMYFUNCTION("""COMPUTED_VALUE"""),"141246;INF789FC1TD8;-;UTI Capital Protection Oriented Scheme Series IX-I (1467 Days) - Regular Plan - Growth Option;12.3036;04-May-2021")</f>
        <v>141246;INF789FC1TD8;-;UTI Capital Protection Oriented Scheme Series IX-I (1467 Days) - Regular Plan - Growth Option;12.3036;04-May-2021</v>
      </c>
      <c r="B14883" s="1"/>
    </row>
    <row r="14884">
      <c r="A14884" s="1" t="str">
        <f>IFERROR(__xludf.DUMMYFUNCTION("""COMPUTED_VALUE"""),"141463;INF789FC1A04;-;UTI Capital Protection Oriented Scheme - Series IX-II (1462 Days) - Direct Plan - IDCW;10;08-Jun-2021")</f>
        <v>141463;INF789FC1A04;-;UTI Capital Protection Oriented Scheme - Series IX-II (1462 Days) - Direct Plan - IDCW;10;08-Jun-2021</v>
      </c>
      <c r="B14884" s="1"/>
    </row>
    <row r="14885">
      <c r="A14885" s="1" t="str">
        <f>IFERROR(__xludf.DUMMYFUNCTION("""COMPUTED_VALUE"""),"141465;INF789FC1ZY1;-;UTI Capital Protection Oriented Scheme - Series IX-II (1462 Days) - Regular Plan - IDCW;10.0001;08-Jun-2021")</f>
        <v>141465;INF789FC1ZY1;-;UTI Capital Protection Oriented Scheme - Series IX-II (1462 Days) - Regular Plan - IDCW;10.0001;08-Jun-2021</v>
      </c>
      <c r="B14885" s="1"/>
    </row>
    <row r="14886">
      <c r="A14886" s="1" t="str">
        <f>IFERROR(__xludf.DUMMYFUNCTION("""COMPUTED_VALUE"""),"141466;INF789FC1A12;-;UTI Capital Protection Oriented Scheme Series IX-II ( 1462 Days) - Direct Plan - Growth Option;12.8826;08-Jun-2021")</f>
        <v>141466;INF789FC1A12;-;UTI Capital Protection Oriented Scheme Series IX-II ( 1462 Days) - Direct Plan - Growth Option;12.8826;08-Jun-2021</v>
      </c>
      <c r="B14886" s="1"/>
    </row>
    <row r="14887">
      <c r="A14887" s="1" t="str">
        <f>IFERROR(__xludf.DUMMYFUNCTION("""COMPUTED_VALUE"""),"141464;INF789FC1ZZ8;-;UTI Capital Protection Oriented Scheme Series IX-II ( 1462 Days) - Regular Plan - Growth Option;12.3534;08-Jun-2021")</f>
        <v>141464;INF789FC1ZZ8;-;UTI Capital Protection Oriented Scheme Series IX-II ( 1462 Days) - Regular Plan - Growth Option;12.3534;08-Jun-2021</v>
      </c>
      <c r="B14887" s="1"/>
    </row>
    <row r="14888">
      <c r="A14888" s="1" t="str">
        <f>IFERROR(__xludf.DUMMYFUNCTION("""COMPUTED_VALUE"""),"141701;INF789FC1Q14;-;UTI Capital Protection Oriented Scheme - Series IX-III (1389 Days) - Direct Plan - IDCW;10;03-Jun-2021")</f>
        <v>141701;INF789FC1Q14;-;UTI Capital Protection Oriented Scheme - Series IX-III (1389 Days) - Direct Plan - IDCW;10;03-Jun-2021</v>
      </c>
      <c r="B14888" s="1"/>
    </row>
    <row r="14889">
      <c r="A14889" s="1" t="str">
        <f>IFERROR(__xludf.DUMMYFUNCTION("""COMPUTED_VALUE"""),"141699;INF789FC1P98;-;UTI Capital Protection Oriented Scheme - Series IX-III (1389 Days) - Regular Plan - IDCW;10.0001;03-Jun-2021")</f>
        <v>141699;INF789FC1P98;-;UTI Capital Protection Oriented Scheme - Series IX-III (1389 Days) - Regular Plan - IDCW;10.0001;03-Jun-2021</v>
      </c>
      <c r="B14889" s="1"/>
    </row>
    <row r="14890">
      <c r="A14890" s="1" t="str">
        <f>IFERROR(__xludf.DUMMYFUNCTION("""COMPUTED_VALUE"""),"141700;INF789FC1Q22;-;UTI Capital Protection Oriented Scheme Series IX-III ( 1389 Days) - Direct Plan - Growth Option;12.6616;03-Jun-2021")</f>
        <v>141700;INF789FC1Q22;-;UTI Capital Protection Oriented Scheme Series IX-III ( 1389 Days) - Direct Plan - Growth Option;12.6616;03-Jun-2021</v>
      </c>
      <c r="B14890" s="1"/>
    </row>
    <row r="14891">
      <c r="A14891" s="1" t="str">
        <f>IFERROR(__xludf.DUMMYFUNCTION("""COMPUTED_VALUE"""),"141698;INF789FC1Q06;-;UTI Capital Protection Oriented Scheme Series IX-III ( 1389 Days) - Regular Plan - Growth Option;12.1706;03-Jun-2021")</f>
        <v>141698;INF789FC1Q06;-;UTI Capital Protection Oriented Scheme Series IX-III ( 1389 Days) - Regular Plan - Growth Option;12.1706;03-Jun-2021</v>
      </c>
      <c r="B14891" s="1"/>
    </row>
    <row r="14892">
      <c r="A14892" s="1" t="str">
        <f>IFERROR(__xludf.DUMMYFUNCTION("""COMPUTED_VALUE"""),"139860;INF789FC1DN1;-;UTI Capital Protection Oriented Scheme - Series VIII-II (1831 Days) - Direct Plan - IDCW;10.0001;28-Sep-2021")</f>
        <v>139860;INF789FC1DN1;-;UTI Capital Protection Oriented Scheme - Series VIII-II (1831 Days) - Direct Plan - IDCW;10.0001;28-Sep-2021</v>
      </c>
      <c r="B14892" s="1"/>
    </row>
    <row r="14893">
      <c r="A14893" s="1" t="str">
        <f>IFERROR(__xludf.DUMMYFUNCTION("""COMPUTED_VALUE"""),"139862;INF789FC1DL5;-;UTI Capital Protection Oriented Scheme - Series VIII-II (1831 Days) - Regular Plan - IDCW;10.0001;28-Sep-2021")</f>
        <v>139862;INF789FC1DL5;-;UTI Capital Protection Oriented Scheme - Series VIII-II (1831 Days) - Regular Plan - IDCW;10.0001;28-Sep-2021</v>
      </c>
      <c r="B14893" s="1"/>
    </row>
    <row r="14894">
      <c r="A14894" s="1" t="str">
        <f>IFERROR(__xludf.DUMMYFUNCTION("""COMPUTED_VALUE"""),"139861;INF789FC1DM3;-;UTI Capital Protection Oriented Scheme Series VIII - II (1831 Days) - Regular Plan - Growth Option;14.7526;28-Sep-2021")</f>
        <v>139861;INF789FC1DM3;-;UTI Capital Protection Oriented Scheme Series VIII - II (1831 Days) - Regular Plan - Growth Option;14.7526;28-Sep-2021</v>
      </c>
      <c r="B14894" s="1"/>
    </row>
    <row r="14895">
      <c r="A14895" s="1" t="str">
        <f>IFERROR(__xludf.DUMMYFUNCTION("""COMPUTED_VALUE"""),"139859;INF789FC1DO9;-;UTI Capital Protection Oriented Scheme Series VIII -II  (1831 Days) - Direct Plan - Growth Option;15.6052;28-Sep-2021")</f>
        <v>139859;INF789FC1DO9;-;UTI Capital Protection Oriented Scheme Series VIII -II  (1831 Days) - Direct Plan - Growth Option;15.6052;28-Sep-2021</v>
      </c>
      <c r="B14895" s="1"/>
    </row>
    <row r="14896">
      <c r="A14896" s="1" t="str">
        <f>IFERROR(__xludf.DUMMYFUNCTION("""COMPUTED_VALUE"""),"139987;INF789FC1EB4;-;UTI Capital Protection Oriented Scheme Series VIII-III (1281 Days) - Direct Plan - Dividend Option;10.0001;13-Apr-2020")</f>
        <v>139987;INF789FC1EB4;-;UTI Capital Protection Oriented Scheme Series VIII-III (1281 Days) - Direct Plan - Dividend Option;10.0001;13-Apr-2020</v>
      </c>
      <c r="B14896" s="1"/>
    </row>
    <row r="14897">
      <c r="A14897" s="1" t="str">
        <f>IFERROR(__xludf.DUMMYFUNCTION("""COMPUTED_VALUE"""),"139988;INF789FC1DZ5;-;UTI Capital Protection Oriented Scheme Series VIII-III (1281 Days) - Regular Plan - Dividend Option;10.0002;13-Apr-2020")</f>
        <v>139988;INF789FC1DZ5;-;UTI Capital Protection Oriented Scheme Series VIII-III (1281 Days) - Regular Plan - Dividend Option;10.0002;13-Apr-2020</v>
      </c>
      <c r="B14897" s="1"/>
    </row>
    <row r="14898">
      <c r="A14898" s="1" t="str">
        <f>IFERROR(__xludf.DUMMYFUNCTION("""COMPUTED_VALUE"""),"139985;INF789FC1EA6;-;UTI Capital Protection Oriented Scheme Series VIII-III (1281 Days) - Regular Plan - Growth Option;11.5592;13-Apr-2020")</f>
        <v>139985;INF789FC1EA6;-;UTI Capital Protection Oriented Scheme Series VIII-III (1281 Days) - Regular Plan - Growth Option;11.5592;13-Apr-2020</v>
      </c>
      <c r="B14898" s="1"/>
    </row>
    <row r="14899">
      <c r="A14899" s="1" t="str">
        <f>IFERROR(__xludf.DUMMYFUNCTION("""COMPUTED_VALUE"""),"139986;INF789FC1EC2;-;UTI Capital Protection Oriented Scheme Series VIII-III (1281Days) - Direct Plan - Growth Option;12.1072;13-Apr-2020")</f>
        <v>139986;INF789FC1EC2;-;UTI Capital Protection Oriented Scheme Series VIII-III (1281Days) - Direct Plan - Growth Option;12.1072;13-Apr-2020</v>
      </c>
      <c r="B14899" s="1"/>
    </row>
    <row r="14900">
      <c r="A14900" s="1" t="str">
        <f>IFERROR(__xludf.DUMMYFUNCTION("""COMPUTED_VALUE"""),"140065;INF789FC1EZ3;-;UTI Capital Protection Oriented Scheme - Series VIII-IV (1996 Days) - Direct Plan - IDCW;10;28-Apr-2022")</f>
        <v>140065;INF789FC1EZ3;-;UTI Capital Protection Oriented Scheme - Series VIII-IV (1996 Days) - Direct Plan - IDCW;10;28-Apr-2022</v>
      </c>
      <c r="B14900" s="1"/>
    </row>
    <row r="14901">
      <c r="A14901" s="1" t="str">
        <f>IFERROR(__xludf.DUMMYFUNCTION("""COMPUTED_VALUE"""),"140067;INF789FC1EX8;-;UTI Capital Protection Oriented Scheme - Series VIII-IV (1996 Days) - Regular Plan - IDCW;10.0001;28-Apr-2022")</f>
        <v>140067;INF789FC1EX8;-;UTI Capital Protection Oriented Scheme - Series VIII-IV (1996 Days) - Regular Plan - IDCW;10.0001;28-Apr-2022</v>
      </c>
      <c r="B14901" s="1"/>
    </row>
    <row r="14902">
      <c r="A14902" s="1" t="str">
        <f>IFERROR(__xludf.DUMMYFUNCTION("""COMPUTED_VALUE"""),"140068;INF789FC1FA3;-;UTI Capital Protection Oriented Scheme Series VIII-IV (1996 Days) - Direct Plan - Growth Option;14.8631;28-Apr-2022")</f>
        <v>140068;INF789FC1FA3;-;UTI Capital Protection Oriented Scheme Series VIII-IV (1996 Days) - Direct Plan - Growth Option;14.8631;28-Apr-2022</v>
      </c>
      <c r="B14902" s="1"/>
    </row>
    <row r="14903">
      <c r="A14903" s="1" t="str">
        <f>IFERROR(__xludf.DUMMYFUNCTION("""COMPUTED_VALUE"""),"140066;INF789FC1EY6;-;UTI Capital Protection Oriented Scheme Series VIII-IV (1996 Days) - Regular Plan - Growth Option;14.0605;28-Apr-2022")</f>
        <v>140066;INF789FC1EY6;-;UTI Capital Protection Oriented Scheme Series VIII-IV (1996 Days) - Regular Plan - Growth Option;14.0605;28-Apr-2022</v>
      </c>
      <c r="B14903" s="1"/>
    </row>
    <row r="14904">
      <c r="A14904" s="1" t="str">
        <f>IFERROR(__xludf.DUMMYFUNCTION("""COMPUTED_VALUE"""),"143088;INF789FC19P4;-;UTI Capital Protection Oriented Scheme - Series X-II (1134 Days) - Direct Plan - IDCW;10;25-May-2021")</f>
        <v>143088;INF789FC19P4;-;UTI Capital Protection Oriented Scheme - Series X-II (1134 Days) - Direct Plan - IDCW;10;25-May-2021</v>
      </c>
      <c r="B14904" s="1"/>
    </row>
    <row r="14905">
      <c r="A14905" s="1" t="str">
        <f>IFERROR(__xludf.DUMMYFUNCTION("""COMPUTED_VALUE"""),"143087;INF789FC17P8;-;UTI Capital Protection Oriented Scheme - Series X-II (1134 Days) - Regular Plan - IDCW;10.0001;25-May-2021")</f>
        <v>143087;INF789FC17P8;-;UTI Capital Protection Oriented Scheme - Series X-II (1134 Days) - Regular Plan - IDCW;10.0001;25-May-2021</v>
      </c>
      <c r="B14905" s="1"/>
    </row>
    <row r="14906">
      <c r="A14906" s="1" t="str">
        <f>IFERROR(__xludf.DUMMYFUNCTION("""COMPUTED_VALUE"""),"143085;INF789FC10Q1;-;UTI Capital Protection Oriented Scheme Series X-II ( 1134 Days) - Direct Plan - Growth Option;12.0468;25-May-2021")</f>
        <v>143085;INF789FC10Q1;-;UTI Capital Protection Oriented Scheme Series X-II ( 1134 Days) - Direct Plan - Growth Option;12.0468;25-May-2021</v>
      </c>
      <c r="B14906" s="1"/>
    </row>
    <row r="14907">
      <c r="A14907" s="1" t="str">
        <f>IFERROR(__xludf.DUMMYFUNCTION("""COMPUTED_VALUE"""),"143086;INF789FC18P6;-;UTI Capital Protection Oriented Scheme Series X-II ( 1134 Days) - Regular Plan - Growth Option;11.758;25-May-2021")</f>
        <v>143086;INF789FC18P6;-;UTI Capital Protection Oriented Scheme Series X-II ( 1134 Days) - Regular Plan - Growth Option;11.758;25-May-2021</v>
      </c>
      <c r="B14907" s="1"/>
    </row>
    <row r="14908">
      <c r="A14908" s="1" t="str">
        <f>IFERROR(__xludf.DUMMYFUNCTION("""COMPUTED_VALUE"""),"135304;INF789FB1W26;-;UTI Dual Advantage Fixed Term Fund Series II-I (1998 Days) - Direct Plan - Dividend Option;10;18-Feb-2021")</f>
        <v>135304;INF789FB1W26;-;UTI Dual Advantage Fixed Term Fund Series II-I (1998 Days) - Direct Plan - Dividend Option;10;18-Feb-2021</v>
      </c>
      <c r="B14908" s="1"/>
    </row>
    <row r="14909">
      <c r="A14909" s="1" t="str">
        <f>IFERROR(__xludf.DUMMYFUNCTION("""COMPUTED_VALUE"""),"135302;INF789FB1W34;-;UTI Dual Advantage Fixed Term Fund Series II-I (1998 Days) - Direct Plan - Growth Option;14.6028;18-Feb-2021")</f>
        <v>135302;INF789FB1W34;-;UTI Dual Advantage Fixed Term Fund Series II-I (1998 Days) - Direct Plan - Growth Option;14.6028;18-Feb-2021</v>
      </c>
      <c r="B14909" s="1"/>
    </row>
    <row r="14910">
      <c r="A14910" s="1" t="str">
        <f>IFERROR(__xludf.DUMMYFUNCTION("""COMPUTED_VALUE"""),"135303;INF789FB1W00;-;UTI Dual Advantage Fixed Term Fund Series II-I (1998 Days) - Regular Plan - Dividend Option;10;18-Feb-2021")</f>
        <v>135303;INF789FB1W00;-;UTI Dual Advantage Fixed Term Fund Series II-I (1998 Days) - Regular Plan - Dividend Option;10;18-Feb-2021</v>
      </c>
      <c r="B14910" s="1"/>
    </row>
    <row r="14911">
      <c r="A14911" s="1" t="str">
        <f>IFERROR(__xludf.DUMMYFUNCTION("""COMPUTED_VALUE"""),"135301;INF789FB1W18;-;UTI Dual Advantage Fixed Term Fund Series II-I (1998 Days) - Regular Plan - Growth Option;13.5832;18-Feb-2021")</f>
        <v>135301;INF789FB1W18;-;UTI Dual Advantage Fixed Term Fund Series II-I (1998 Days) - Regular Plan - Growth Option;13.5832;18-Feb-2021</v>
      </c>
      <c r="B14911" s="1"/>
    </row>
    <row r="14912">
      <c r="A14912" s="1" t="str">
        <f>IFERROR(__xludf.DUMMYFUNCTION("""COMPUTED_VALUE"""),"135358;INF789FB1Z49;-;UTI Dual Advantage Fixed Term Fund Series II-II (1997 Days) - Direct Plan - Dividend Option;10;05-Mar-2021")</f>
        <v>135358;INF789FB1Z49;-;UTI Dual Advantage Fixed Term Fund Series II-II (1997 Days) - Direct Plan - Dividend Option;10;05-Mar-2021</v>
      </c>
      <c r="B14912" s="1"/>
    </row>
    <row r="14913">
      <c r="A14913" s="1" t="str">
        <f>IFERROR(__xludf.DUMMYFUNCTION("""COMPUTED_VALUE"""),"135359;INF789FB1Z56;-;UTI Dual Advantage Fixed Term Fund Series II-II (1997 Days) - Direct Plan- Growth Option;14.0746;05-Mar-2021")</f>
        <v>135359;INF789FB1Z56;-;UTI Dual Advantage Fixed Term Fund Series II-II (1997 Days) - Direct Plan- Growth Option;14.0746;05-Mar-2021</v>
      </c>
      <c r="B14913" s="1"/>
    </row>
    <row r="14914">
      <c r="A14914" s="1" t="str">
        <f>IFERROR(__xludf.DUMMYFUNCTION("""COMPUTED_VALUE"""),"135357;INF789FB1Z23;-;UTI Dual Advantage Fixed Term Fund Series II-II (1997 days) - Regular Plan - Dividend Option;10;05-Mar-2021")</f>
        <v>135357;INF789FB1Z23;-;UTI Dual Advantage Fixed Term Fund Series II-II (1997 days) - Regular Plan - Dividend Option;10;05-Mar-2021</v>
      </c>
      <c r="B14914" s="1"/>
    </row>
    <row r="14915">
      <c r="A14915" s="1" t="str">
        <f>IFERROR(__xludf.DUMMYFUNCTION("""COMPUTED_VALUE"""),"135360;INF789FB1Z31;-;UTI Dual Advantage Fixed Term Fund Series II-II (1997 Days) - Regular Plan - Growth Option;13.4881;05-Mar-2021")</f>
        <v>135360;INF789FB1Z31;-;UTI Dual Advantage Fixed Term Fund Series II-II (1997 Days) - Regular Plan - Growth Option;13.4881;05-Mar-2021</v>
      </c>
      <c r="B14915" s="1"/>
    </row>
    <row r="14916">
      <c r="A14916" s="1" t="str">
        <f>IFERROR(__xludf.DUMMYFUNCTION("""COMPUTED_VALUE"""),"135513;INF789FB13E3;-;UTI Dual Advantage Fixed Term Fund Series II-III (1998 Days) - Direct Plan - Growth Option;15.7278;08-Apr-2021")</f>
        <v>135513;INF789FB13E3;-;UTI Dual Advantage Fixed Term Fund Series II-III (1998 Days) - Direct Plan - Growth Option;15.7278;08-Apr-2021</v>
      </c>
      <c r="B14916" s="1"/>
    </row>
    <row r="14917">
      <c r="A14917" s="1" t="str">
        <f>IFERROR(__xludf.DUMMYFUNCTION("""COMPUTED_VALUE"""),"135512;INF789FB12E5;-;UTI Dual Advantage Fixed Term Fund Series II-III (1998 Days) - Direct Plan - IDCW;10;08-Apr-2021")</f>
        <v>135512;INF789FB12E5;-;UTI Dual Advantage Fixed Term Fund Series II-III (1998 Days) - Direct Plan - IDCW;10;08-Apr-2021</v>
      </c>
      <c r="B14917" s="1"/>
    </row>
    <row r="14918">
      <c r="A14918" s="1" t="str">
        <f>IFERROR(__xludf.DUMMYFUNCTION("""COMPUTED_VALUE"""),"135511;INF789FB11E7;-;UTI Dual Advantage Fixed Term Fund Series II-III (1998 Days) - Regular Plan - Growth Option;15.0152;08-Apr-2021")</f>
        <v>135511;INF789FB11E7;-;UTI Dual Advantage Fixed Term Fund Series II-III (1998 Days) - Regular Plan - Growth Option;15.0152;08-Apr-2021</v>
      </c>
      <c r="B14918" s="1"/>
    </row>
    <row r="14919">
      <c r="A14919" s="1" t="str">
        <f>IFERROR(__xludf.DUMMYFUNCTION("""COMPUTED_VALUE"""),"135510;INF789FB10E9;-;UTI Dual Advantage Fixed Term Fund Series II-III (1998 Days) - Regular Plan - IDCW;10;08-Apr-2021")</f>
        <v>135510;INF789FB10E9;-;UTI Dual Advantage Fixed Term Fund Series II-III (1998 Days) - Regular Plan - IDCW;10;08-Apr-2021</v>
      </c>
      <c r="B14919" s="1"/>
    </row>
    <row r="14920">
      <c r="A14920" s="1" t="str">
        <f>IFERROR(__xludf.DUMMYFUNCTION("""COMPUTED_VALUE"""),"135863;INF789FB11K4;-;UTI - Dual Advantage Fixed Term Series II-IV (1997 Days) - Direct Plan - Growth Option;16.7457;10-Jun-2021")</f>
        <v>135863;INF789FB11K4;-;UTI - Dual Advantage Fixed Term Series II-IV (1997 Days) - Direct Plan - Growth Option;16.7457;10-Jun-2021</v>
      </c>
      <c r="B14920" s="1"/>
    </row>
    <row r="14921">
      <c r="A14921" s="1" t="str">
        <f>IFERROR(__xludf.DUMMYFUNCTION("""COMPUTED_VALUE"""),"135860;INF789FB19J9;-;UTI - Dual Advantage Fixed Term Series II-IV (1997 Days) - Regular Plan - Growth Option;15.6197;10-Jun-2021")</f>
        <v>135860;INF789FB19J9;-;UTI - Dual Advantage Fixed Term Series II-IV (1997 Days) - Regular Plan - Growth Option;15.6197;10-Jun-2021</v>
      </c>
      <c r="B14921" s="1"/>
    </row>
    <row r="14922">
      <c r="A14922" s="1" t="str">
        <f>IFERROR(__xludf.DUMMYFUNCTION("""COMPUTED_VALUE"""),"135861;INF789FB10K6;-;UTI Dual Advantage Fixed Term Fund Series II-IV (1997 Days) - Direct Plan - IDCW;10.0001;10-Jun-2021")</f>
        <v>135861;INF789FB10K6;-;UTI Dual Advantage Fixed Term Fund Series II-IV (1997 Days) - Direct Plan - IDCW;10.0001;10-Jun-2021</v>
      </c>
      <c r="B14922" s="1"/>
    </row>
    <row r="14923">
      <c r="A14923" s="1" t="str">
        <f>IFERROR(__xludf.DUMMYFUNCTION("""COMPUTED_VALUE"""),"135862;INF789FB18J1;-;UTI Dual Advantage Fixed Term Fund Series II-IV (1997 Days) - Regular Plan - IDCW;10.0002;10-Jun-2021")</f>
        <v>135862;INF789FB18J1;-;UTI Dual Advantage Fixed Term Fund Series II-IV (1997 Days) - Regular Plan - IDCW;10.0002;10-Jun-2021</v>
      </c>
      <c r="B14923" s="1"/>
    </row>
    <row r="14924">
      <c r="A14924" s="1" t="str">
        <f>IFERROR(__xludf.DUMMYFUNCTION("""COMPUTED_VALUE"""),"136124;INF789FB13P9;-;UTI - Dual Advantage Fixed Term Series II-V (1997 Days) - Direct Plan - Growth Option;14.9899;23-Jul-2021")</f>
        <v>136124;INF789FB13P9;-;UTI - Dual Advantage Fixed Term Series II-V (1997 Days) - Direct Plan - Growth Option;14.9899;23-Jul-2021</v>
      </c>
      <c r="B14924" s="1"/>
    </row>
    <row r="14925">
      <c r="A14925" s="1" t="str">
        <f>IFERROR(__xludf.DUMMYFUNCTION("""COMPUTED_VALUE"""),"136122;INF789FB11P3;-;UTI - Dual Advantage Fixed Term Series II-V (1997 Days) - Regular Plan - Growth Option;14.0308;23-Jul-2021")</f>
        <v>136122;INF789FB11P3;-;UTI - Dual Advantage Fixed Term Series II-V (1997 Days) - Regular Plan - Growth Option;14.0308;23-Jul-2021</v>
      </c>
      <c r="B14925" s="1"/>
    </row>
    <row r="14926">
      <c r="A14926" s="1" t="str">
        <f>IFERROR(__xludf.DUMMYFUNCTION("""COMPUTED_VALUE"""),"136123;INF789FB12P1;-;UTI Dual Advantage Fixed Term Fund Series II-V (1997 Days) - Direct Plan - IDCW;10.0001;23-Jul-2021")</f>
        <v>136123;INF789FB12P1;-;UTI Dual Advantage Fixed Term Fund Series II-V (1997 Days) - Direct Plan - IDCW;10.0001;23-Jul-2021</v>
      </c>
      <c r="B14926" s="1"/>
    </row>
    <row r="14927">
      <c r="A14927" s="1" t="str">
        <f>IFERROR(__xludf.DUMMYFUNCTION("""COMPUTED_VALUE"""),"136121;INF789FB10P5;-;UTI Dual Advantage Fixed Term Fund Series II-V (1997 Days) - Regular Plan - IDCW;10.0001;23-Jul-2021")</f>
        <v>136121;INF789FB10P5;-;UTI Dual Advantage Fixed Term Fund Series II-V (1997 Days) - Regular Plan - IDCW;10.0001;23-Jul-2021</v>
      </c>
      <c r="B14927" s="1"/>
    </row>
    <row r="14928">
      <c r="A14928" s="1" t="str">
        <f>IFERROR(__xludf.DUMMYFUNCTION("""COMPUTED_VALUE"""),"136419;INF789FB11W9;-;UTI - Dual Advantage Fixed Term Series III-I (1998 Days) - Direct Plan - Growth Option;15.9878;23-Aug-2021")</f>
        <v>136419;INF789FB11W9;-;UTI - Dual Advantage Fixed Term Series III-I (1998 Days) - Direct Plan - Growth Option;15.9878;23-Aug-2021</v>
      </c>
      <c r="B14928" s="1"/>
    </row>
    <row r="14929">
      <c r="A14929" s="1" t="str">
        <f>IFERROR(__xludf.DUMMYFUNCTION("""COMPUTED_VALUE"""),"136420;INF789FB19V4;-;UTI - Dual Advantage Fixed Term Series III-I (1998 Days) - Regular Plan - Growth Option;14.9657;23-Aug-2021")</f>
        <v>136420;INF789FB19V4;-;UTI - Dual Advantage Fixed Term Series III-I (1998 Days) - Regular Plan - Growth Option;14.9657;23-Aug-2021</v>
      </c>
      <c r="B14929" s="1"/>
    </row>
    <row r="14930">
      <c r="A14930" s="1" t="str">
        <f>IFERROR(__xludf.DUMMYFUNCTION("""COMPUTED_VALUE"""),"136418;INF789FB10W1;-;UTI Dual Advantage Fixed Term Fund Series III-I (1998 Days) - Direct Plan - IDCW;10.0001;23-Aug-2021")</f>
        <v>136418;INF789FB10W1;-;UTI Dual Advantage Fixed Term Fund Series III-I (1998 Days) - Direct Plan - IDCW;10.0001;23-Aug-2021</v>
      </c>
      <c r="B14930" s="1"/>
    </row>
    <row r="14931">
      <c r="A14931" s="1" t="str">
        <f>IFERROR(__xludf.DUMMYFUNCTION("""COMPUTED_VALUE"""),"136417;INF789FB18V6;-;UTI Dual Advantage Fixed Term Fund Series III-I (1998 Days) - Regular Plan - IDCW;10.0001;23-Aug-2021")</f>
        <v>136417;INF789FB18V6;-;UTI Dual Advantage Fixed Term Fund Series III-I (1998 Days) - Regular Plan - IDCW;10.0001;23-Aug-2021</v>
      </c>
      <c r="B14931" s="1"/>
    </row>
    <row r="14932">
      <c r="A14932" s="1" t="str">
        <f>IFERROR(__xludf.DUMMYFUNCTION("""COMPUTED_VALUE"""),"140169;INF789FC1GG8;-;UTI - Dual Advantage Fixed Term Series IV-I (1279 Days) - Direct Plan - Dividend Option;10;09-Jun-2020")</f>
        <v>140169;INF789FC1GG8;-;UTI - Dual Advantage Fixed Term Series IV-I (1279 Days) - Direct Plan - Dividend Option;10;09-Jun-2020</v>
      </c>
      <c r="B14932" s="1"/>
    </row>
    <row r="14933">
      <c r="A14933" s="1" t="str">
        <f>IFERROR(__xludf.DUMMYFUNCTION("""COMPUTED_VALUE"""),"140170;INF789FC1GH6;-;UTI - Dual Advantage Fixed Term Series IV-I (1279 Days) - Direct Plan - Growth Option;12.4481;09-Jun-2020")</f>
        <v>140170;INF789FC1GH6;-;UTI - Dual Advantage Fixed Term Series IV-I (1279 Days) - Direct Plan - Growth Option;12.4481;09-Jun-2020</v>
      </c>
      <c r="B14933" s="1"/>
    </row>
    <row r="14934">
      <c r="A14934" s="1" t="str">
        <f>IFERROR(__xludf.DUMMYFUNCTION("""COMPUTED_VALUE"""),"140171;INF789FC1GE3;-;UTI - Dual Advantage Fixed Term Series IV-I (1279 Days) - Regular Plan - Dividend Option;10.0001;09-Jun-2020")</f>
        <v>140171;INF789FC1GE3;-;UTI - Dual Advantage Fixed Term Series IV-I (1279 Days) - Regular Plan - Dividend Option;10.0001;09-Jun-2020</v>
      </c>
      <c r="B14934" s="1"/>
    </row>
    <row r="14935">
      <c r="A14935" s="1" t="str">
        <f>IFERROR(__xludf.DUMMYFUNCTION("""COMPUTED_VALUE"""),"140168;INF789FC1GF0;-;UTI - Dual Advantage Fixed Term Series IV-I (1279 Days) - Regular Plan - Growth Option;11.9002;09-Jun-2020")</f>
        <v>140168;INF789FC1GF0;-;UTI - Dual Advantage Fixed Term Series IV-I (1279 Days) - Regular Plan - Growth Option;11.9002;09-Jun-2020</v>
      </c>
      <c r="B14935" s="1"/>
    </row>
    <row r="14936">
      <c r="A14936" s="1" t="str">
        <f>IFERROR(__xludf.DUMMYFUNCTION("""COMPUTED_VALUE"""),"140506;INF789FC1HW3;-;UTI - Dual Advantage Fixed Term Series IV-II (1278 Days) - Direct  Plan - Dividend Option;10;28-Jul-2020")</f>
        <v>140506;INF789FC1HW3;-;UTI - Dual Advantage Fixed Term Series IV-II (1278 Days) - Direct  Plan - Dividend Option;10;28-Jul-2020</v>
      </c>
      <c r="B14936" s="1"/>
    </row>
    <row r="14937">
      <c r="A14937" s="1" t="str">
        <f>IFERROR(__xludf.DUMMYFUNCTION("""COMPUTED_VALUE"""),"140507;INF789FC1HX1;-;UTI - Dual Advantage Fixed Term Series IV-II (1278 Days) - Direct Plan - Growth Option;12.2771;28-Jul-2020")</f>
        <v>140507;INF789FC1HX1;-;UTI - Dual Advantage Fixed Term Series IV-II (1278 Days) - Direct Plan - Growth Option;12.2771;28-Jul-2020</v>
      </c>
      <c r="B14937" s="1"/>
    </row>
    <row r="14938">
      <c r="A14938" s="1" t="str">
        <f>IFERROR(__xludf.DUMMYFUNCTION("""COMPUTED_VALUE"""),"140508;INF789FC1HU7;-;UTI - Dual Advantage Fixed Term Series IV-II (1278 Days) - Regular Plan - Dividend Option;10;28-Jul-2020")</f>
        <v>140508;INF789FC1HU7;-;UTI - Dual Advantage Fixed Term Series IV-II (1278 Days) - Regular Plan - Dividend Option;10;28-Jul-2020</v>
      </c>
      <c r="B14938" s="1"/>
    </row>
    <row r="14939">
      <c r="A14939" s="1" t="str">
        <f>IFERROR(__xludf.DUMMYFUNCTION("""COMPUTED_VALUE"""),"140505;INF789FC1HV5;-;UTI - Dual Advantage Fixed Term Series IV-II (1278 Days) - Regular Plan - Growth Option;11.7301;28-Jul-2020")</f>
        <v>140505;INF789FC1HV5;-;UTI - Dual Advantage Fixed Term Series IV-II (1278 Days) - Regular Plan - Growth Option;11.7301;28-Jul-2020</v>
      </c>
      <c r="B14939" s="1"/>
    </row>
    <row r="14940">
      <c r="A14940" s="1" t="str">
        <f>IFERROR(__xludf.DUMMYFUNCTION("""COMPUTED_VALUE"""),"140542;INF789FC1IO8;-;UTI - Dual Advantage Fixed Term Series IV-III (1279 Days) - Direct Plan - Dividend Option;10;11-Aug-2020")</f>
        <v>140542;INF789FC1IO8;-;UTI - Dual Advantage Fixed Term Series IV-III (1279 Days) - Direct Plan - Dividend Option;10;11-Aug-2020</v>
      </c>
      <c r="B14940" s="1"/>
    </row>
    <row r="14941">
      <c r="A14941" s="1" t="str">
        <f>IFERROR(__xludf.DUMMYFUNCTION("""COMPUTED_VALUE"""),"140543;INF789FC1IP5;-;UTI - Dual Advantage Fixed Term Series IV-III (1279 Days) - Direct Plan - Growth Option;12.3528;11-Aug-2020")</f>
        <v>140543;INF789FC1IP5;-;UTI - Dual Advantage Fixed Term Series IV-III (1279 Days) - Direct Plan - Growth Option;12.3528;11-Aug-2020</v>
      </c>
      <c r="B14941" s="1"/>
    </row>
    <row r="14942">
      <c r="A14942" s="1" t="str">
        <f>IFERROR(__xludf.DUMMYFUNCTION("""COMPUTED_VALUE"""),"140544;INF789FC1IM2;-;UTI - Dual Advantage Fixed Term Series IV-III (1279 Days) - Regular Plan - Dividend Option;10;11-Aug-2020")</f>
        <v>140544;INF789FC1IM2;-;UTI - Dual Advantage Fixed Term Series IV-III (1279 Days) - Regular Plan - Dividend Option;10;11-Aug-2020</v>
      </c>
      <c r="B14942" s="1"/>
    </row>
    <row r="14943">
      <c r="A14943" s="1" t="str">
        <f>IFERROR(__xludf.DUMMYFUNCTION("""COMPUTED_VALUE"""),"140541;INF789FC1IN0;-;UTI - Dual Advantage Fixed Term Series IV-III (1279 Days) - Regular Plan - Growth Option;11.8205;11-Aug-2020")</f>
        <v>140541;INF789FC1IN0;-;UTI - Dual Advantage Fixed Term Series IV-III (1279 Days) - Regular Plan - Growth Option;11.8205;11-Aug-2020</v>
      </c>
      <c r="B14943" s="1"/>
    </row>
    <row r="14944">
      <c r="A14944" s="1" t="str">
        <f>IFERROR(__xludf.DUMMYFUNCTION("""COMPUTED_VALUE"""),"140655;INF789FC1IL4;-;UTI - Dual Advantage Fixed Term Series IV-IV (1997 Days) - Direct Plan - Growth Option;16.0915;18-Aug-2022")</f>
        <v>140655;INF789FC1IL4;-;UTI - Dual Advantage Fixed Term Series IV-IV (1997 Days) - Direct Plan - Growth Option;16.0915;18-Aug-2022</v>
      </c>
      <c r="B14944" s="1"/>
    </row>
    <row r="14945">
      <c r="A14945" s="1" t="str">
        <f>IFERROR(__xludf.DUMMYFUNCTION("""COMPUTED_VALUE"""),"140656;INF789FC1IJ8;-;UTI - Dual Advantage Fixed Term Series IV-IV (1997 Days) - Regular Plan - Growth Option;15.2636;18-Aug-2022")</f>
        <v>140656;INF789FC1IJ8;-;UTI - Dual Advantage Fixed Term Series IV-IV (1997 Days) - Regular Plan - Growth Option;15.2636;18-Aug-2022</v>
      </c>
      <c r="B14945" s="1"/>
    </row>
    <row r="14946">
      <c r="A14946" s="1" t="str">
        <f>IFERROR(__xludf.DUMMYFUNCTION("""COMPUTED_VALUE"""),"140654;INF789FC1IK6;-;UTI Dual Advantage Fixed Term Fund Series IV-IV (1997 Days) - Direct Plan - IDCW;10;18-Aug-2022")</f>
        <v>140654;INF789FC1IK6;-;UTI Dual Advantage Fixed Term Fund Series IV-IV (1997 Days) - Direct Plan - IDCW;10;18-Aug-2022</v>
      </c>
      <c r="B14946" s="1"/>
    </row>
    <row r="14947">
      <c r="A14947" s="1" t="str">
        <f>IFERROR(__xludf.DUMMYFUNCTION("""COMPUTED_VALUE"""),"140657;INF789FC1II0;-;UTI Dual Advantage Fixed Term Fund Series IV-IV (1997 Days) - Regular Plan - IDCW;10.0001;18-Aug-2022")</f>
        <v>140657;INF789FC1II0;-;UTI Dual Advantage Fixed Term Fund Series IV-IV (1997 Days) - Regular Plan - IDCW;10.0001;18-Aug-2022</v>
      </c>
      <c r="B14947" s="1"/>
    </row>
    <row r="14948">
      <c r="A14948" s="1" t="str">
        <f>IFERROR(__xludf.DUMMYFUNCTION("""COMPUTED_VALUE"""),"141781;INF789FC1T03;-;UTI Dual Advantage Fixed Term Fund  Series V-I ( 1103 days) - Direct  Plan - Growth Option;11.784;21-Sep-2020")</f>
        <v>141781;INF789FC1T03;-;UTI Dual Advantage Fixed Term Fund  Series V-I ( 1103 days) - Direct  Plan - Growth Option;11.784;21-Sep-2020</v>
      </c>
      <c r="B14948" s="1"/>
    </row>
    <row r="14949">
      <c r="A14949" s="1" t="str">
        <f>IFERROR(__xludf.DUMMYFUNCTION("""COMPUTED_VALUE"""),"141780;INF789FC1S95;-;UTI Dual Advantage Fixed Term Fund  Series V-I ( 1103 days) - Direct Plan - Dividend Option;10;21-Sep-2020")</f>
        <v>141780;INF789FC1S95;-;UTI Dual Advantage Fixed Term Fund  Series V-I ( 1103 days) - Direct Plan - Dividend Option;10;21-Sep-2020</v>
      </c>
      <c r="B14949" s="1"/>
    </row>
    <row r="14950">
      <c r="A14950" s="1" t="str">
        <f>IFERROR(__xludf.DUMMYFUNCTION("""COMPUTED_VALUE"""),"141782;INF789FC1S79;-;UTI Dual Advantage Fixed Term Fund  Series V-I ( 1103 days) - Regular Plan - Dividend Option;10;21-Sep-2020")</f>
        <v>141782;INF789FC1S79;-;UTI Dual Advantage Fixed Term Fund  Series V-I ( 1103 days) - Regular Plan - Dividend Option;10;21-Sep-2020</v>
      </c>
      <c r="B14950" s="1"/>
    </row>
    <row r="14951">
      <c r="A14951" s="1" t="str">
        <f>IFERROR(__xludf.DUMMYFUNCTION("""COMPUTED_VALUE"""),"141779;INF789FC1S87;-;UTI Dual Advantage Fixed Term Fund  Series V-I ( 1103 days) - Regular Plan - Growth Option;11.4036;21-Sep-2020")</f>
        <v>141779;INF789FC1S87;-;UTI Dual Advantage Fixed Term Fund  Series V-I ( 1103 days) - Regular Plan - Growth Option;11.4036;21-Sep-2020</v>
      </c>
      <c r="B14951" s="1"/>
    </row>
    <row r="14952">
      <c r="A14952" s="1" t="str">
        <f>IFERROR(__xludf.DUMMYFUNCTION("""COMPUTED_VALUE"""),"124596;INF789F01VZ1;-;UTI F I I F-Annual Interval Plan Series - II - Direct Plan - Growth Option;28.8723;11-May-2022")</f>
        <v>124596;INF789F01VZ1;-;UTI F I I F-Annual Interval Plan Series - II - Direct Plan - Growth Option;28.8723;11-May-2022</v>
      </c>
      <c r="B14952" s="1"/>
    </row>
    <row r="14953">
      <c r="A14953" s="1" t="str">
        <f>IFERROR(__xludf.DUMMYFUNCTION("""COMPUTED_VALUE"""),"106338;INF789F01FM2;-;UTI F I I F-Annual Interval Plan Series - II - Regular Plan - Growth Option;28.5682;11-May-2022")</f>
        <v>106338;INF789F01FM2;-;UTI F I I F-Annual Interval Plan Series - II - Regular Plan - Growth Option;28.5682;11-May-2022</v>
      </c>
      <c r="B14953" s="1"/>
    </row>
    <row r="14954">
      <c r="A14954" s="1" t="str">
        <f>IFERROR(__xludf.DUMMYFUNCTION("""COMPUTED_VALUE"""),"124595;INF789F01VX6;INF789F01VY4;UTI FIIF Annual Interval Plan II - Direct Plan - IDCW;10.0624;01-Nov-2021")</f>
        <v>124595;INF789F01VX6;INF789F01VY4;UTI FIIF Annual Interval Plan II - Direct Plan - IDCW;10.0624;01-Nov-2021</v>
      </c>
      <c r="B14954" s="1"/>
    </row>
    <row r="14955">
      <c r="A14955" s="1" t="str">
        <f>IFERROR(__xludf.DUMMYFUNCTION("""COMPUTED_VALUE"""),"106337;INF789F01FK6;INF789F01FL4;UTI FIIF Annual Interval Plan II - Regular Plan - IDCW;10.075;11-May-2022")</f>
        <v>106337;INF789F01FK6;INF789F01FL4;UTI FIIF Annual Interval Plan II - Regular Plan - IDCW;10.075;11-May-2022</v>
      </c>
      <c r="B14955" s="1"/>
    </row>
    <row r="14956">
      <c r="A14956" s="1" t="str">
        <f>IFERROR(__xludf.DUMMYFUNCTION("""COMPUTED_VALUE"""),"125078;INF789F01WA2;INF789F01WB0;UTI FIIF Annual Interval Plan III - Direct Plan - IDCW;10.5059;25-Aug-2023")</f>
        <v>125078;INF789F01WA2;INF789F01WB0;UTI FIIF Annual Interval Plan III - Direct Plan - IDCW;10.5059;25-Aug-2023</v>
      </c>
      <c r="B14956" s="1"/>
    </row>
    <row r="14957">
      <c r="A14957" s="1" t="str">
        <f>IFERROR(__xludf.DUMMYFUNCTION("""COMPUTED_VALUE"""),"106706;INF789F01FQ3;INF789F01FR1;UTI FIIF Annual Interval Plan III - Regular Plan - IDCW;10.4594;25-Aug-2023")</f>
        <v>106706;INF789F01FQ3;INF789F01FR1;UTI FIIF Annual Interval Plan III - Regular Plan - IDCW;10.4594;25-Aug-2023</v>
      </c>
      <c r="B14957" s="1"/>
    </row>
    <row r="14958">
      <c r="A14958" s="1" t="str">
        <f>IFERROR(__xludf.DUMMYFUNCTION("""COMPUTED_VALUE"""),"125077;INF789F01WC8;-;UTI Fixed Interval Income Fund (Annual Interval Fund)  Series III - Direct Plan - Growth Option;30.3903;25-Aug-2023")</f>
        <v>125077;INF789F01WC8;-;UTI Fixed Interval Income Fund (Annual Interval Fund)  Series III - Direct Plan - Growth Option;30.3903;25-Aug-2023</v>
      </c>
      <c r="B14958" s="1"/>
    </row>
    <row r="14959">
      <c r="A14959" s="1" t="str">
        <f>IFERROR(__xludf.DUMMYFUNCTION("""COMPUTED_VALUE"""),"106709;INF789F01FV3;-;UTI Fixed Interval Income Fund (Annual Interval Fund)  Series III - Instn Growth Option;28.4328;29-Nov-2021")</f>
        <v>106709;INF789F01FV3;-;UTI Fixed Interval Income Fund (Annual Interval Fund)  Series III - Instn Growth Option;28.4328;29-Nov-2021</v>
      </c>
      <c r="B14959" s="1"/>
    </row>
    <row r="14960">
      <c r="A14960" s="1" t="str">
        <f>IFERROR(__xludf.DUMMYFUNCTION("""COMPUTED_VALUE"""),"106707;INF789F01FS9;-;UTI Fixed Interval Income Fund (Annual Interval Fund)  Series III - Regular Plan - Growth Option;30.0338;25-Aug-2023")</f>
        <v>106707;INF789F01FS9;-;UTI Fixed Interval Income Fund (Annual Interval Fund)  Series III - Regular Plan - Growth Option;30.0338;25-Aug-2023</v>
      </c>
      <c r="B14960" s="1"/>
    </row>
    <row r="14961">
      <c r="A14961" s="1" t="str">
        <f>IFERROR(__xludf.DUMMYFUNCTION("""COMPUTED_VALUE"""),"126030;INF789F01WD6;INF789F01WE4;UTI FIIF Annual Interval Plan IV - Direct Plan - IDCW;10.1008;11-May-2022")</f>
        <v>126030;INF789F01WD6;INF789F01WE4;UTI FIIF Annual Interval Plan IV - Direct Plan - IDCW;10.1008;11-May-2022</v>
      </c>
      <c r="B14961" s="1"/>
    </row>
    <row r="14962">
      <c r="A14962" s="1" t="str">
        <f>IFERROR(__xludf.DUMMYFUNCTION("""COMPUTED_VALUE"""),"107070;INF789F01FW1;INF789F01FX9;UTI FIIF Annual Interval Plan IV - Regular Plan - IDCW;10.0749;11-May-2022")</f>
        <v>107070;INF789F01FW1;INF789F01FX9;UTI FIIF Annual Interval Plan IV - Regular Plan - IDCW;10.0749;11-May-2022</v>
      </c>
      <c r="B14962" s="1"/>
    </row>
    <row r="14963">
      <c r="A14963" s="1" t="str">
        <f>IFERROR(__xludf.DUMMYFUNCTION("""COMPUTED_VALUE"""),"126031;INF789F01WF1;-;UTI Fixed Interval Income Fund (Annual Interval Plan) Series IV - Direct Plan - Growth Option;27.6707;11-May-2022")</f>
        <v>126031;INF789F01WF1;-;UTI Fixed Interval Income Fund (Annual Interval Plan) Series IV - Direct Plan - Growth Option;27.6707;11-May-2022</v>
      </c>
      <c r="B14963" s="1"/>
    </row>
    <row r="14964">
      <c r="A14964" s="1" t="str">
        <f>IFERROR(__xludf.DUMMYFUNCTION("""COMPUTED_VALUE"""),"107071;INF789F01FY7;-;UTI Fixed Interval Income Fund (Annual Interval Plan) Series IV - Regular Plan - Growth Option;27.3947;11-May-2022")</f>
        <v>107071;INF789F01FY7;-;UTI Fixed Interval Income Fund (Annual Interval Plan) Series IV - Regular Plan - Growth Option;27.3947;11-May-2022</v>
      </c>
      <c r="B14964" s="1"/>
    </row>
    <row r="14965">
      <c r="A14965" s="1" t="str">
        <f>IFERROR(__xludf.DUMMYFUNCTION("""COMPUTED_VALUE"""),"106186;INF789F01FE9;INF789F01FF6;UTI FIIF Annual Intervl Plan I - Regular Plan - IDCW;10.4403;25-Aug-2023")</f>
        <v>106186;INF789F01FE9;INF789F01FF6;UTI FIIF Annual Intervl Plan I - Regular Plan - IDCW;10.4403;25-Aug-2023</v>
      </c>
      <c r="B14965" s="1"/>
    </row>
    <row r="14966">
      <c r="A14966" s="1" t="str">
        <f>IFERROR(__xludf.DUMMYFUNCTION("""COMPUTED_VALUE"""),"106185;INF789F01FJ8;-;UTI Fixed Income Interval Fund - Annual Interval Plan Series - I ( Instn Growth Option );31.6582;25-Aug-2023")</f>
        <v>106185;INF789F01FJ8;-;UTI Fixed Income Interval Fund - Annual Interval Plan Series - I ( Instn Growth Option );31.6582;25-Aug-2023</v>
      </c>
      <c r="B14966" s="1"/>
    </row>
    <row r="14967">
      <c r="A14967" s="1" t="str">
        <f>IFERROR(__xludf.DUMMYFUNCTION("""COMPUTED_VALUE"""),"123663;INF789F01VU2;INF789F01VV0;UTI Fixed Income Interval Fund - Annual Interval Plan Series - I - Direct Plan - Dividend Option;10.7376;25-Aug-2023")</f>
        <v>123663;INF789F01VU2;INF789F01VV0;UTI Fixed Income Interval Fund - Annual Interval Plan Series - I - Direct Plan - Dividend Option;10.7376;25-Aug-2023</v>
      </c>
      <c r="B14967" s="1"/>
    </row>
    <row r="14968">
      <c r="A14968" s="1" t="str">
        <f>IFERROR(__xludf.DUMMYFUNCTION("""COMPUTED_VALUE"""),"123646;INF789F01VW8;-;UTI Fixed Income Interval Fund - Annual Interval Plan Series - I - Direct Plan - Growth Option;30.8158;25-Aug-2023")</f>
        <v>123646;INF789F01VW8;-;UTI Fixed Income Interval Fund - Annual Interval Plan Series - I - Direct Plan - Growth Option;30.8158;25-Aug-2023</v>
      </c>
      <c r="B14968" s="1"/>
    </row>
    <row r="14969">
      <c r="A14969" s="1" t="str">
        <f>IFERROR(__xludf.DUMMYFUNCTION("""COMPUTED_VALUE"""),"106183;INF789F01FG4;-;UTI Fixed Income Interval Fund - Annual Interval Plan Series - I - Regular Plan - Growth Option;30.4932;25-Aug-2023")</f>
        <v>106183;INF789F01FG4;-;UTI Fixed Income Interval Fund - Annual Interval Plan Series - I - Regular Plan - Growth Option;30.4932;25-Aug-2023</v>
      </c>
      <c r="B14969" s="1"/>
    </row>
    <row r="14970">
      <c r="A14970" s="1" t="str">
        <f>IFERROR(__xludf.DUMMYFUNCTION("""COMPUTED_VALUE"""),"122641;INF789F01VR8;INF789F01VS6;UTI FIIF Half Yearly Plan I - Direct Plan - IDCW;10.0606;11-May-2022")</f>
        <v>122641;INF789F01VR8;INF789F01VS6;UTI FIIF Half Yearly Plan I - Direct Plan - IDCW;10.0606;11-May-2022</v>
      </c>
      <c r="B14970" s="1"/>
    </row>
    <row r="14971">
      <c r="A14971" s="1" t="str">
        <f>IFERROR(__xludf.DUMMYFUNCTION("""COMPUTED_VALUE"""),"107089;INF789F01EY0;INF789F01EZ7;UTI FIIF Half Yearly Plan I - Regular Plan - IDCW;10.0564;11-May-2022")</f>
        <v>107089;INF789F01EY0;INF789F01EZ7;UTI FIIF Half Yearly Plan I - Regular Plan - IDCW;10.0564;11-May-2022</v>
      </c>
      <c r="B14971" s="1"/>
    </row>
    <row r="14972">
      <c r="A14972" s="1" t="str">
        <f>IFERROR(__xludf.DUMMYFUNCTION("""COMPUTED_VALUE"""),"122642;INF789F01VT4;-;UTI Fixed  Income Interval Fund ( Half Yearly Plan - I) - Direct Plan - Growth Option;26.6295;11-May-2022")</f>
        <v>122642;INF789F01VT4;-;UTI Fixed  Income Interval Fund ( Half Yearly Plan - I) - Direct Plan - Growth Option;26.6295;11-May-2022</v>
      </c>
      <c r="B14972" s="1"/>
    </row>
    <row r="14973">
      <c r="A14973" s="1" t="str">
        <f>IFERROR(__xludf.DUMMYFUNCTION("""COMPUTED_VALUE"""),"107088;INF789F01FA7;-;UTI Fixed  Income Interval Fund ( Half Yearly Plan - I) - Regular Plan - Growth Option;26.1257;11-May-2022")</f>
        <v>107088;INF789F01FA7;-;UTI Fixed  Income Interval Fund ( Half Yearly Plan - I) - Regular Plan - Growth Option;26.1257;11-May-2022</v>
      </c>
      <c r="B14973" s="1"/>
    </row>
    <row r="14974">
      <c r="A14974" s="1" t="str">
        <f>IFERROR(__xludf.DUMMYFUNCTION("""COMPUTED_VALUE"""),"125952;INF789F01WV8;INF789F01WW6;UTI FIIF Half Yearly Plan II - Direct Plan - IDCW;10.2065;11-May-2022")</f>
        <v>125952;INF789F01WV8;INF789F01WW6;UTI FIIF Half Yearly Plan II - Direct Plan - IDCW;10.2065;11-May-2022</v>
      </c>
      <c r="B14974" s="1"/>
    </row>
    <row r="14975">
      <c r="A14975" s="1" t="str">
        <f>IFERROR(__xludf.DUMMYFUNCTION("""COMPUTED_VALUE"""),"107226;INF789F01HG0;INF789F01HH8;UTI FIIF Half Yearly Plan II - Regular Plan - IDCW;10.0636;11-May-2022")</f>
        <v>107226;INF789F01HG0;INF789F01HH8;UTI FIIF Half Yearly Plan II - Regular Plan - IDCW;10.0636;11-May-2022</v>
      </c>
      <c r="B14975" s="1"/>
    </row>
    <row r="14976">
      <c r="A14976" s="1" t="str">
        <f>IFERROR(__xludf.DUMMYFUNCTION("""COMPUTED_VALUE"""),"125953;INF789F01WX4;-;UTI Fixed Income Interval Fund ( Half Yearly Plan-II)- Direct Plan - Growth Option;26.0845;11-May-2022")</f>
        <v>125953;INF789F01WX4;-;UTI Fixed Income Interval Fund ( Half Yearly Plan-II)- Direct Plan - Growth Option;26.0845;11-May-2022</v>
      </c>
      <c r="B14976" s="1"/>
    </row>
    <row r="14977">
      <c r="A14977" s="1" t="str">
        <f>IFERROR(__xludf.DUMMYFUNCTION("""COMPUTED_VALUE"""),"107228;INF789F01HI6;-;UTI Fixed Income Interval Fund ( Half Yearly Plan-II)- Regular Plan - Growth Option;26.0118;11-May-2022")</f>
        <v>107228;INF789F01HI6;-;UTI Fixed Income Interval Fund ( Half Yearly Plan-II)- Regular Plan - Growth Option;26.0118;11-May-2022</v>
      </c>
      <c r="B14977" s="1"/>
    </row>
    <row r="14978">
      <c r="A14978" s="1" t="str">
        <f>IFERROR(__xludf.DUMMYFUNCTION("""COMPUTED_VALUE"""),"120970;INF789F01VQ0;-;UTI - Fixed Income Interval Fund - Monthly Interval Plan  - Direct Plan - Growth Option;27.3497;11-May-2022")</f>
        <v>120970;INF789F01VQ0;-;UTI - Fixed Income Interval Fund - Monthly Interval Plan  - Direct Plan - Growth Option;27.3497;11-May-2022</v>
      </c>
      <c r="B14978" s="1"/>
    </row>
    <row r="14979">
      <c r="A14979" s="1" t="str">
        <f>IFERROR(__xludf.DUMMYFUNCTION("""COMPUTED_VALUE"""),"106145;INF789F01EU8;-;UTI - Fixed Income Interval Fund - Monthly Interval Plan  - Regular Plan - Growth Option;26.846;11-May-2022")</f>
        <v>106145;INF789F01EU8;-;UTI - Fixed Income Interval Fund - Monthly Interval Plan  - Regular Plan - Growth Option;26.846;11-May-2022</v>
      </c>
      <c r="B14979" s="1"/>
    </row>
    <row r="14980">
      <c r="A14980" s="1" t="str">
        <f>IFERROR(__xludf.DUMMYFUNCTION("""COMPUTED_VALUE"""),"106549;INF789F01EV6;INF789F01EW4;UTI - Fixed Income Interval Fund - Monthly Interval Plan - Institutional Dividend Option;10.0325;23-Sep-2020")</f>
        <v>106549;INF789F01EV6;INF789F01EW4;UTI - Fixed Income Interval Fund - Monthly Interval Plan - Institutional Dividend Option;10.0325;23-Sep-2020</v>
      </c>
      <c r="B14980" s="1"/>
    </row>
    <row r="14981">
      <c r="A14981" s="1" t="str">
        <f>IFERROR(__xludf.DUMMYFUNCTION("""COMPUTED_VALUE"""),"120975;INF789F01VO5;INF789F01VP2;UTI FIIF Monthly Interval Plan I - Direct Plan - Monthly IDCW;10.0063;11-May-2022")</f>
        <v>120975;INF789F01VO5;INF789F01VP2;UTI FIIF Monthly Interval Plan I - Direct Plan - Monthly IDCW;10.0063;11-May-2022</v>
      </c>
      <c r="B14981" s="1"/>
    </row>
    <row r="14982">
      <c r="A14982" s="1" t="str">
        <f>IFERROR(__xludf.DUMMYFUNCTION("""COMPUTED_VALUE"""),"106146;INF789F01ES2;INF789F01ET0;UTI FIIF Monthly Interval Plan I - Regular Plan - Monthly IDCW;10.0085;11-May-2022")</f>
        <v>106146;INF789F01ES2;INF789F01ET0;UTI FIIF Monthly Interval Plan I - Regular Plan - Monthly IDCW;10.0085;11-May-2022</v>
      </c>
      <c r="B14982" s="1"/>
    </row>
    <row r="14983">
      <c r="A14983" s="1" t="str">
        <f>IFERROR(__xludf.DUMMYFUNCTION("""COMPUTED_VALUE"""),"120902;INF789F01VL1;INF789F01VM9;UTI FIIF Monthly Interval Plan II - Direct Plan - Monthly IDCW;10.0286;11-May-2022")</f>
        <v>120902;INF789F01VL1;INF789F01VM9;UTI FIIF Monthly Interval Plan II - Direct Plan - Monthly IDCW;10.0286;11-May-2022</v>
      </c>
      <c r="B14983" s="1"/>
    </row>
    <row r="14984">
      <c r="A14984" s="1" t="str">
        <f>IFERROR(__xludf.DUMMYFUNCTION("""COMPUTED_VALUE"""),"107195;INF789F01EM5;INF789F01EN3;UTI FIIF Monthly Interval Plan II - Regular Plan - Monthly IDCW;10.0163;11-May-2022")</f>
        <v>107195;INF789F01EM5;INF789F01EN3;UTI FIIF Monthly Interval Plan II - Regular Plan - Monthly IDCW;10.0163;11-May-2022</v>
      </c>
      <c r="B14984" s="1"/>
    </row>
    <row r="14985">
      <c r="A14985" s="1" t="str">
        <f>IFERROR(__xludf.DUMMYFUNCTION("""COMPUTED_VALUE"""),"120903;INF789F01VN7;-;UTI Fixed Income Interval Fund - Monthly Interval Plan II-Direct Plan - Growth Option;26.2655;11-May-2022")</f>
        <v>120903;INF789F01VN7;-;UTI Fixed Income Interval Fund - Monthly Interval Plan II-Direct Plan - Growth Option;26.2655;11-May-2022</v>
      </c>
      <c r="B14985" s="1"/>
    </row>
    <row r="14986">
      <c r="A14986" s="1" t="str">
        <f>IFERROR(__xludf.DUMMYFUNCTION("""COMPUTED_VALUE"""),"107193;INF789F01EO1;-;UTI Fixed Income Interval Fund - Monthly Interval Plan II-Regular Plan - Growth Option;25.7798;11-May-2022")</f>
        <v>107193;INF789F01EO1;-;UTI Fixed Income Interval Fund - Monthly Interval Plan II-Regular Plan - Growth Option;25.7798;11-May-2022</v>
      </c>
      <c r="B14986" s="1"/>
    </row>
    <row r="14987">
      <c r="A14987" s="1" t="str">
        <f>IFERROR(__xludf.DUMMYFUNCTION("""COMPUTED_VALUE"""),"122152;INF789F01WG9;INF789F01WH7;UTI FIIF Quarterly Interval Plan I - Direct Plan - IDCW;10.5058;25-Aug-2023")</f>
        <v>122152;INF789F01WG9;INF789F01WH7;UTI FIIF Quarterly Interval Plan I - Direct Plan - IDCW;10.5058;25-Aug-2023</v>
      </c>
      <c r="B14987" s="1"/>
    </row>
    <row r="14988">
      <c r="A14988" s="1" t="str">
        <f>IFERROR(__xludf.DUMMYFUNCTION("""COMPUTED_VALUE"""),"106057;INF789F01GC1;INF789F01GD9;UTI FIIF Quarterly Interval Plan I - Regular Plan - IDCW;10.4518;25-Aug-2023")</f>
        <v>106057;INF789F01GC1;INF789F01GD9;UTI FIIF Quarterly Interval Plan I - Regular Plan - IDCW;10.4518;25-Aug-2023</v>
      </c>
      <c r="B14988" s="1"/>
    </row>
    <row r="14989">
      <c r="A14989" s="1" t="str">
        <f>IFERROR(__xludf.DUMMYFUNCTION("""COMPUTED_VALUE"""),"106060;INF789F01GE7;-;UTI Fixed  Income Interval Fund ( Quarterly Interval Plan - I) - Regular Plan - Growth Option;30.0999;25-Aug-2023")</f>
        <v>106060;INF789F01GE7;-;UTI Fixed  Income Interval Fund ( Quarterly Interval Plan - I) - Regular Plan - Growth Option;30.0999;25-Aug-2023</v>
      </c>
      <c r="B14989" s="1"/>
    </row>
    <row r="14990">
      <c r="A14990" s="1" t="str">
        <f>IFERROR(__xludf.DUMMYFUNCTION("""COMPUTED_VALUE"""),"122165;INF789F01WI5;-;UTI Fixed  Income Interval Fund ( Quarterly Interval Plan - I) -Direct Plan - Growth Option;30.7355;25-Aug-2023")</f>
        <v>122165;INF789F01WI5;-;UTI Fixed  Income Interval Fund ( Quarterly Interval Plan - I) -Direct Plan - Growth Option;30.7355;25-Aug-2023</v>
      </c>
      <c r="B14990" s="1"/>
    </row>
    <row r="14991">
      <c r="A14991" s="1" t="str">
        <f>IFERROR(__xludf.DUMMYFUNCTION("""COMPUTED_VALUE"""),"121412;INF789F01WJ3;INF789F01WK1;UTI FIIF Quarterly Interval Plan III - Direct Plan - IDCW;10.0803;11-May-2022")</f>
        <v>121412;INF789F01WJ3;INF789F01WK1;UTI FIIF Quarterly Interval Plan III - Direct Plan - IDCW;10.0803;11-May-2022</v>
      </c>
      <c r="B14991" s="1"/>
    </row>
    <row r="14992">
      <c r="A14992" s="1" t="str">
        <f>IFERROR(__xludf.DUMMYFUNCTION("""COMPUTED_VALUE"""),"106365;INF789F01GI8;INF789F01GJ6;UTI FIIF Quarterly Interval Plan III - Regular Plan - IDCW;10.0759;11-May-2022")</f>
        <v>106365;INF789F01GI8;INF789F01GJ6;UTI FIIF Quarterly Interval Plan III - Regular Plan - IDCW;10.0759;11-May-2022</v>
      </c>
      <c r="B14992" s="1"/>
    </row>
    <row r="14993">
      <c r="A14993" s="1" t="str">
        <f>IFERROR(__xludf.DUMMYFUNCTION("""COMPUTED_VALUE"""),"121413;INF789F01WL9;-;UTI Fixed  Income Interval Fund ( Quarterly Interval Plan - III) - Direct Plan - Growth Option;28.4214;11-May-2022")</f>
        <v>121413;INF789F01WL9;-;UTI Fixed  Income Interval Fund ( Quarterly Interval Plan - III) - Direct Plan - Growth Option;28.4214;11-May-2022</v>
      </c>
      <c r="B14993" s="1"/>
    </row>
    <row r="14994">
      <c r="A14994" s="1" t="str">
        <f>IFERROR(__xludf.DUMMYFUNCTION("""COMPUTED_VALUE"""),"106366;INF789F01GK4;-;UTI Fixed  Income Interval Fund ( Quarterly Interval Plan - III) -Regular Plan - Growth Option;27.902;11-May-2022")</f>
        <v>106366;INF789F01GK4;-;UTI Fixed  Income Interval Fund ( Quarterly Interval Plan - III) -Regular Plan - Growth Option;27.902;11-May-2022</v>
      </c>
      <c r="B14994" s="1"/>
    </row>
    <row r="14995">
      <c r="A14995" s="1" t="str">
        <f>IFERROR(__xludf.DUMMYFUNCTION("""COMPUTED_VALUE"""),"106367;INF789F01GL2;INF789F01GM0;UTI Fixed  Income Interval Fund ( Quarterly Interval Plan -III) - Inst Dividend Plan;10.065;10-Dec-2020")</f>
        <v>106367;INF789F01GL2;INF789F01GM0;UTI Fixed  Income Interval Fund ( Quarterly Interval Plan -III) - Inst Dividend Plan;10.065;10-Dec-2020</v>
      </c>
      <c r="B14995" s="1"/>
    </row>
    <row r="14996">
      <c r="A14996" s="1" t="str">
        <f>IFERROR(__xludf.DUMMYFUNCTION("""COMPUTED_VALUE"""),"121034;INF789F01WO3;-;UTI F I I F Series II -Quarterly Interval Plan - IV -Direct Plan - Growth Option;25.5663;11-May-2022")</f>
        <v>121034;INF789F01WO3;-;UTI F I I F Series II -Quarterly Interval Plan - IV -Direct Plan - Growth Option;25.5663;11-May-2022</v>
      </c>
      <c r="B14996" s="1"/>
    </row>
    <row r="14997">
      <c r="A14997" s="1" t="str">
        <f>IFERROR(__xludf.DUMMYFUNCTION("""COMPUTED_VALUE"""),"109466;INF789F01GT5;-;UTI F I I F Series II -Quarterly Interval Plan - IV -Instn. Growth  Option;20.9434;22-Jul-2020")</f>
        <v>109466;INF789F01GT5;-;UTI F I I F Series II -Quarterly Interval Plan - IV -Instn. Growth  Option;20.9434;22-Jul-2020</v>
      </c>
      <c r="B14997" s="1"/>
    </row>
    <row r="14998">
      <c r="A14998" s="1" t="str">
        <f>IFERROR(__xludf.DUMMYFUNCTION("""COMPUTED_VALUE"""),"109465;INF789F01GQ1;-;UTI F I I F Series II -Quarterly Interval Plan - IV -Regular Plan - Growth Option;25.0959;11-May-2022")</f>
        <v>109465;INF789F01GQ1;-;UTI F I I F Series II -Quarterly Interval Plan - IV -Regular Plan - Growth Option;25.0959;11-May-2022</v>
      </c>
      <c r="B14998" s="1"/>
    </row>
    <row r="14999">
      <c r="A14999" s="1" t="str">
        <f>IFERROR(__xludf.DUMMYFUNCTION("""COMPUTED_VALUE"""),"121033;INF789F01WM7;INF789F01WN5;UTI FIIF Sr-2 Quarterly Interval Plan IV - Direct Plan - IDCW;10.0714;11-May-2022")</f>
        <v>121033;INF789F01WM7;INF789F01WN5;UTI FIIF Sr-2 Quarterly Interval Plan IV - Direct Plan - IDCW;10.0714;11-May-2022</v>
      </c>
      <c r="B14999" s="1"/>
    </row>
    <row r="15000">
      <c r="A15000" s="1" t="str">
        <f>IFERROR(__xludf.DUMMYFUNCTION("""COMPUTED_VALUE"""),"109464;INF789F01GO6;INF789F01GP3;UTI FIIF Sr-2 Quarterly Interval Plan IV - Regular Plan - IDCW;10.0671;11-May-2022")</f>
        <v>109464;INF789F01GO6;INF789F01GP3;UTI FIIF Sr-2 Quarterly Interval Plan IV - Regular Plan - IDCW;10.0671;11-May-2022</v>
      </c>
      <c r="B15000" s="1"/>
    </row>
    <row r="15001">
      <c r="A15001" s="1" t="str">
        <f>IFERROR(__xludf.DUMMYFUNCTION("""COMPUTED_VALUE"""),"121182;INF789F01WR6;-;UTI F I I F Series II -Quarterly Interval Plan - V - Direct Plan - Growth Option;27.707;25-Aug-2023")</f>
        <v>121182;INF789F01WR6;-;UTI F I I F Series II -Quarterly Interval Plan - V - Direct Plan - Growth Option;27.707;25-Aug-2023</v>
      </c>
      <c r="B15001" s="1"/>
    </row>
    <row r="15002">
      <c r="A15002" s="1" t="str">
        <f>IFERROR(__xludf.DUMMYFUNCTION("""COMPUTED_VALUE"""),"109617;INF789F01GW9;-;UTI F I I F Series II -Quarterly Interval Plan - V - Regular Plan - Growth Option;27.1274;25-Aug-2023")</f>
        <v>109617;INF789F01GW9;-;UTI F I I F Series II -Quarterly Interval Plan - V - Regular Plan - Growth Option;27.1274;25-Aug-2023</v>
      </c>
      <c r="B15002" s="1"/>
    </row>
    <row r="15003">
      <c r="A15003" s="1" t="str">
        <f>IFERROR(__xludf.DUMMYFUNCTION("""COMPUTED_VALUE"""),"121181;INF789F01WP0;INF789F01WQ8;UTI FIIF Sr-2 Quarterly Interval Plan V - Direct Plan - IDCW;10.4784;25-Aug-2023")</f>
        <v>121181;INF789F01WP0;INF789F01WQ8;UTI FIIF Sr-2 Quarterly Interval Plan V - Direct Plan - IDCW;10.4784;25-Aug-2023</v>
      </c>
      <c r="B15003" s="1"/>
    </row>
    <row r="15004">
      <c r="A15004" s="1" t="str">
        <f>IFERROR(__xludf.DUMMYFUNCTION("""COMPUTED_VALUE"""),"109618;INF789F01GU3;INF789F01GV1;UTI FIIF Sr-2 Quarterly Interval Plan V - Regular Plan - IDCW;10.4488;25-Aug-2023")</f>
        <v>109618;INF789F01GU3;INF789F01GV1;UTI FIIF Sr-2 Quarterly Interval Plan V - Regular Plan - IDCW;10.4488;25-Aug-2023</v>
      </c>
      <c r="B15004" s="1"/>
    </row>
    <row r="15005">
      <c r="A15005" s="1" t="str">
        <f>IFERROR(__xludf.DUMMYFUNCTION("""COMPUTED_VALUE"""),"121722;INF789F01WU0;-;UTI F I I F Series II -Quarterly Interval Plan - VI-Direct Plan - Growth Option;28.0446;25-Aug-2023")</f>
        <v>121722;INF789F01WU0;-;UTI F I I F Series II -Quarterly Interval Plan - VI-Direct Plan - Growth Option;28.0446;25-Aug-2023</v>
      </c>
      <c r="B15005" s="1"/>
    </row>
    <row r="15006">
      <c r="A15006" s="1" t="str">
        <f>IFERROR(__xludf.DUMMYFUNCTION("""COMPUTED_VALUE"""),"110024;INF789F01HC9;-;UTI F I I F Series II -Quarterly Interval Plan - VI-Regular Plan - Growth Option;27.463;25-Aug-2023")</f>
        <v>110024;INF789F01HC9;-;UTI F I I F Series II -Quarterly Interval Plan - VI-Regular Plan - Growth Option;27.463;25-Aug-2023</v>
      </c>
      <c r="B15006" s="1"/>
    </row>
    <row r="15007">
      <c r="A15007" s="1" t="str">
        <f>IFERROR(__xludf.DUMMYFUNCTION("""COMPUTED_VALUE"""),"121721;INF789F01WS4;INF789F01WT2;UTI FIIF Sr-2 Quarterly Interval Plan VI - Direct Plan - IDCW;10.4886;25-Aug-2023")</f>
        <v>121721;INF789F01WS4;INF789F01WT2;UTI FIIF Sr-2 Quarterly Interval Plan VI - Direct Plan - IDCW;10.4886;25-Aug-2023</v>
      </c>
      <c r="B15007" s="1"/>
    </row>
    <row r="15008">
      <c r="A15008" s="1" t="str">
        <f>IFERROR(__xludf.DUMMYFUNCTION("""COMPUTED_VALUE"""),"110021;INF789F01HA3;INF789F01HB1;UTI FIIF Sr-2 Quarterly Interval Plan VI - Regular Plan - IDCW;10.4591;25-Aug-2023")</f>
        <v>110021;INF789F01HA3;INF789F01HB1;UTI FIIF Sr-2 Quarterly Interval Plan VI - Regular Plan - IDCW;10.4591;25-Aug-2023</v>
      </c>
      <c r="B15008" s="1"/>
    </row>
    <row r="15009">
      <c r="A15009" s="1" t="str">
        <f>IFERROR(__xludf.DUMMYFUNCTION("""COMPUTED_VALUE"""),"120877;INF789F01VK3;-;UTI F I I F Series II -Quarterly Interval Plan - VII - Direct Plan - Growth Option;25.166;11-May-2022")</f>
        <v>120877;INF789F01VK3;-;UTI F I I F Series II -Quarterly Interval Plan - VII - Direct Plan - Growth Option;25.166;11-May-2022</v>
      </c>
      <c r="B15009" s="1"/>
    </row>
    <row r="15010">
      <c r="A15010" s="1" t="str">
        <f>IFERROR(__xludf.DUMMYFUNCTION("""COMPUTED_VALUE"""),"110468;INF789F01EI3;-;UTI F I I F Series II -Quarterly Interval Plan - VII - Regular Plan - Growth Option;24.7004;11-May-2022")</f>
        <v>110468;INF789F01EI3;-;UTI F I I F Series II -Quarterly Interval Plan - VII - Regular Plan - Growth Option;24.7004;11-May-2022</v>
      </c>
      <c r="B15010" s="1"/>
    </row>
    <row r="15011">
      <c r="A15011" s="1" t="str">
        <f>IFERROR(__xludf.DUMMYFUNCTION("""COMPUTED_VALUE"""),"120876;INF789F01VI7;INF789F01VJ5;UTI FIIF Sr-2 Quarterly Interval Plan VII - Direct Plan - IDCW;10.0613;11-May-2022")</f>
        <v>120876;INF789F01VI7;INF789F01VJ5;UTI FIIF Sr-2 Quarterly Interval Plan VII - Direct Plan - IDCW;10.0613;11-May-2022</v>
      </c>
      <c r="B15011" s="1"/>
    </row>
    <row r="15012">
      <c r="A15012" s="1" t="str">
        <f>IFERROR(__xludf.DUMMYFUNCTION("""COMPUTED_VALUE"""),"110469;INF789F01EG7;INF789F01EH5;UTI FIIF Sr-2 Quarterly Interval Plan VII - Regular Plan - IDCW;10.0569;11-May-2022")</f>
        <v>110469;INF789F01EG7;INF789F01EH5;UTI FIIF Sr-2 Quarterly Interval Plan VII - Regular Plan - IDCW;10.0569;11-May-2022</v>
      </c>
      <c r="B15012" s="1"/>
    </row>
    <row r="15013">
      <c r="A15013" s="1" t="str">
        <f>IFERROR(__xludf.DUMMYFUNCTION("""COMPUTED_VALUE"""),"143099;INF789FC13P7;-;UTI Fixed Term Income fund - Series XXIX - I (1134 DAYS) - Direct Plan - Annual IDCW;10;25-May-2021")</f>
        <v>143099;INF789FC13P7;-;UTI Fixed Term Income fund - Series XXIX - I (1134 DAYS) - Direct Plan - Annual IDCW;10;25-May-2021</v>
      </c>
      <c r="B15013" s="1"/>
    </row>
    <row r="15014">
      <c r="A15014" s="1" t="str">
        <f>IFERROR(__xludf.DUMMYFUNCTION("""COMPUTED_VALUE"""),"143108;INF789FC14P5;-;UTI Fixed Term Income fund - Series XXIX - I (1134 DAYS) - Direct Plan - Maturity IDCW;10;25-May-2021")</f>
        <v>143108;INF789FC14P5;-;UTI Fixed Term Income fund - Series XXIX - I (1134 DAYS) - Direct Plan - Maturity IDCW;10;25-May-2021</v>
      </c>
      <c r="B15014" s="1"/>
    </row>
    <row r="15015">
      <c r="A15015" s="1" t="str">
        <f>IFERROR(__xludf.DUMMYFUNCTION("""COMPUTED_VALUE"""),"143106;INF789FC12P9;-;UTI Fixed Term Income fund - Series XXIX - I (1134 DAYS) - Direct Plan - Quarterly IDCW;10;25-May-2021")</f>
        <v>143106;INF789FC12P9;-;UTI Fixed Term Income fund - Series XXIX - I (1134 DAYS) - Direct Plan - Quarterly IDCW;10;25-May-2021</v>
      </c>
      <c r="B15015" s="1"/>
    </row>
    <row r="15016">
      <c r="A15016" s="1" t="str">
        <f>IFERROR(__xludf.DUMMYFUNCTION("""COMPUTED_VALUE"""),"143105;INF789FC18O9;-;UTI Fixed Term Income fund - Series XXIX - I (1134 DAYS) - Regular Plan - Annual IDCW;10;25-May-2021")</f>
        <v>143105;INF789FC18O9;-;UTI Fixed Term Income fund - Series XXIX - I (1134 DAYS) - Regular Plan - Annual IDCW;10;25-May-2021</v>
      </c>
      <c r="B15016" s="1"/>
    </row>
    <row r="15017">
      <c r="A15017" s="1" t="str">
        <f>IFERROR(__xludf.DUMMYFUNCTION("""COMPUTED_VALUE"""),"143102;INF789FC11P1;-;UTI Fixed Term Income fund - Series XXIX - I (1134 DAYS) - Regular Plan - Flexi IDCW;10;25-May-2021")</f>
        <v>143102;INF789FC11P1;-;UTI Fixed Term Income fund - Series XXIX - I (1134 DAYS) - Regular Plan - Flexi IDCW;10;25-May-2021</v>
      </c>
      <c r="B15017" s="1"/>
    </row>
    <row r="15018">
      <c r="A15018" s="1" t="str">
        <f>IFERROR(__xludf.DUMMYFUNCTION("""COMPUTED_VALUE"""),"143101;INF789FC19O7;-;UTI Fixed Term Income fund - Series XXIX - I (1134 DAYS) - Regular Plan - Maturity IDCW;10;25-May-2021")</f>
        <v>143101;INF789FC19O7;-;UTI Fixed Term Income fund - Series XXIX - I (1134 DAYS) - Regular Plan - Maturity IDCW;10;25-May-2021</v>
      </c>
      <c r="B15018" s="1"/>
    </row>
    <row r="15019">
      <c r="A15019" s="1" t="str">
        <f>IFERROR(__xludf.DUMMYFUNCTION("""COMPUTED_VALUE"""),"143107;INF789FC17O1;-;UTI Fixed Term Income fund - Series XXIX - I (1134 DAYS) - Regular Plan - Quarterly IDCW;10;25-May-2021")</f>
        <v>143107;INF789FC17O1;-;UTI Fixed Term Income fund - Series XXIX - I (1134 DAYS) - Regular Plan - Quarterly IDCW;10;25-May-2021</v>
      </c>
      <c r="B15019" s="1"/>
    </row>
    <row r="15020">
      <c r="A15020" s="1" t="str">
        <f>IFERROR(__xludf.DUMMYFUNCTION("""COMPUTED_VALUE"""),"143100;INF789FC15P2;-;UTI Fixed Term Income Fund Series XXIX -I (1134 days) - Direct Plan - Growth Option;12.4802;25-May-2021")</f>
        <v>143100;INF789FC15P2;-;UTI Fixed Term Income Fund Series XXIX -I (1134 days) - Direct Plan - Growth Option;12.4802;25-May-2021</v>
      </c>
      <c r="B15020" s="1"/>
    </row>
    <row r="15021">
      <c r="A15021" s="1" t="str">
        <f>IFERROR(__xludf.DUMMYFUNCTION("""COMPUTED_VALUE"""),"143104;INF789FC10P3;-;UTI Fixed Term Income Fund Series XXIX-I (1134 days) - Regular Plan - Growth Opton;12.3558;25-May-2021")</f>
        <v>143104;INF789FC10P3;-;UTI Fixed Term Income Fund Series XXIX-I (1134 days) - Regular Plan - Growth Opton;12.3558;25-May-2021</v>
      </c>
      <c r="B15021" s="1"/>
    </row>
    <row r="15022">
      <c r="A15022" s="1" t="str">
        <f>IFERROR(__xludf.DUMMYFUNCTION("""COMPUTED_VALUE"""),"143215;INF789FC17Q6;-;UTI Fixed Term Income fund - Series XXIX - II (1118 DAYS) - Direct Plan - Annual IDCW;9.736;25-May-2021")</f>
        <v>143215;INF789FC17Q6;-;UTI Fixed Term Income fund - Series XXIX - II (1118 DAYS) - Direct Plan - Annual IDCW;9.736;25-May-2021</v>
      </c>
      <c r="B15022" s="1"/>
    </row>
    <row r="15023">
      <c r="A15023" s="1" t="str">
        <f>IFERROR(__xludf.DUMMYFUNCTION("""COMPUTED_VALUE"""),"143220;INF789FC18Q4;-;UTI Fixed Term Income fund - Series XXIX - II (1118 DAYS) - Direct Plan - Maturity IDCW;10;25-May-2021")</f>
        <v>143220;INF789FC18Q4;-;UTI Fixed Term Income fund - Series XXIX - II (1118 DAYS) - Direct Plan - Maturity IDCW;10;25-May-2021</v>
      </c>
      <c r="B15023" s="1"/>
    </row>
    <row r="15024">
      <c r="A15024" s="1" t="str">
        <f>IFERROR(__xludf.DUMMYFUNCTION("""COMPUTED_VALUE"""),"143209;INF789FC16Q8;-;UTI Fixed Term Income fund - Series XXIX - II (1118 DAYS) - Direct Plan - Quarterly IDCW;9.7357;25-May-2021")</f>
        <v>143209;INF789FC16Q8;-;UTI Fixed Term Income fund - Series XXIX - II (1118 DAYS) - Direct Plan - Quarterly IDCW;9.7357;25-May-2021</v>
      </c>
      <c r="B15024" s="1"/>
    </row>
    <row r="15025">
      <c r="A15025" s="1" t="str">
        <f>IFERROR(__xludf.DUMMYFUNCTION("""COMPUTED_VALUE"""),"143216;INF789FC12Q7;-;UTI Fixed Term Income fund - Series XXIX - II (1118 DAYS) - Regular Plan - Annual IDCW;9.73;25-May-2021")</f>
        <v>143216;INF789FC12Q7;-;UTI Fixed Term Income fund - Series XXIX - II (1118 DAYS) - Regular Plan - Annual IDCW;9.73;25-May-2021</v>
      </c>
      <c r="B15025" s="1"/>
    </row>
    <row r="15026">
      <c r="A15026" s="1" t="str">
        <f>IFERROR(__xludf.DUMMYFUNCTION("""COMPUTED_VALUE"""),"143218;INF789FC15Q0;-;UTI Fixed Term Income fund - Series XXIX - II (1118 DAYS) - Regular Plan - Flexi IDCW;10;25-May-2021")</f>
        <v>143218;INF789FC15Q0;-;UTI Fixed Term Income fund - Series XXIX - II (1118 DAYS) - Regular Plan - Flexi IDCW;10;25-May-2021</v>
      </c>
      <c r="B15026" s="1"/>
    </row>
    <row r="15027">
      <c r="A15027" s="1" t="str">
        <f>IFERROR(__xludf.DUMMYFUNCTION("""COMPUTED_VALUE"""),"143217;INF789FC13Q5;-;UTI Fixed Term Income fund - Series XXIX - II (1118 DAYS) - Regular Plan - Maturity IDCW;10;25-May-2021")</f>
        <v>143217;INF789FC13Q5;-;UTI Fixed Term Income fund - Series XXIX - II (1118 DAYS) - Regular Plan - Maturity IDCW;10;25-May-2021</v>
      </c>
      <c r="B15027" s="1"/>
    </row>
    <row r="15028">
      <c r="A15028" s="1" t="str">
        <f>IFERROR(__xludf.DUMMYFUNCTION("""COMPUTED_VALUE"""),"143219;INF789FC11Q9;-;UTI Fixed Term Income fund - Series XXIX - II (1118 DAYS) - Regular Plan - Quarterly IDCW;9.7298;25-May-2021")</f>
        <v>143219;INF789FC11Q9;-;UTI Fixed Term Income fund - Series XXIX - II (1118 DAYS) - Regular Plan - Quarterly IDCW;9.7298;25-May-2021</v>
      </c>
      <c r="B15028" s="1"/>
    </row>
    <row r="15029">
      <c r="A15029" s="1" t="str">
        <f>IFERROR(__xludf.DUMMYFUNCTION("""COMPUTED_VALUE"""),"143210;INF789FC19Q2;-;UTI Fixed Term Income Fund Series XXIX-II ( 1118 Days) - Direct Plan - Growth Option;11.419;25-May-2021")</f>
        <v>143210;INF789FC19Q2;-;UTI Fixed Term Income Fund Series XXIX-II ( 1118 Days) - Direct Plan - Growth Option;11.419;25-May-2021</v>
      </c>
      <c r="B15029" s="1"/>
    </row>
    <row r="15030">
      <c r="A15030" s="1" t="str">
        <f>IFERROR(__xludf.DUMMYFUNCTION("""COMPUTED_VALUE"""),"143221;INF789FC14Q3;-;UTI Fixed Term Income Fund Series XXIX-II (1118 days) - Regular Plan - Growth Option;11.3054;25-May-2021")</f>
        <v>143221;INF789FC14Q3;-;UTI Fixed Term Income Fund Series XXIX-II (1118 days) - Regular Plan - Growth Option;11.3054;25-May-2021</v>
      </c>
      <c r="B15030" s="1"/>
    </row>
    <row r="15031">
      <c r="A15031" s="1" t="str">
        <f>IFERROR(__xludf.DUMMYFUNCTION("""COMPUTED_VALUE"""),"143276;INF789FC17R4;-;UTI Fixed Term Income fund - Series XXIX - III (1131 DAYS) - Direct Plan - Annual IDCW;10;22-Jun-2021")</f>
        <v>143276;INF789FC17R4;-;UTI Fixed Term Income fund - Series XXIX - III (1131 DAYS) - Direct Plan - Annual IDCW;10;22-Jun-2021</v>
      </c>
      <c r="B15031" s="1"/>
    </row>
    <row r="15032">
      <c r="A15032" s="1" t="str">
        <f>IFERROR(__xludf.DUMMYFUNCTION("""COMPUTED_VALUE"""),"143282;INF789FC10S7;-;UTI Fixed Term Income fund - Series XXIX - III (1131 DAYS) - Direct Plan - Flexi IDCW;10;22-Jun-2021")</f>
        <v>143282;INF789FC10S7;-;UTI Fixed Term Income fund - Series XXIX - III (1131 DAYS) - Direct Plan - Flexi IDCW;10;22-Jun-2021</v>
      </c>
      <c r="B15032" s="1"/>
    </row>
    <row r="15033">
      <c r="A15033" s="1" t="str">
        <f>IFERROR(__xludf.DUMMYFUNCTION("""COMPUTED_VALUE"""),"143277;INF789FC18R2;-;UTI Fixed Term Income fund - Series XXIX - III (1131 DAYS) - Direct Plan - Maturity IDCW;10;22-Jun-2021")</f>
        <v>143277;INF789FC18R2;-;UTI Fixed Term Income fund - Series XXIX - III (1131 DAYS) - Direct Plan - Maturity IDCW;10;22-Jun-2021</v>
      </c>
      <c r="B15033" s="1"/>
    </row>
    <row r="15034">
      <c r="A15034" s="1" t="str">
        <f>IFERROR(__xludf.DUMMYFUNCTION("""COMPUTED_VALUE"""),"143275;INF789FC16R6;-;UTI Fixed Term Income fund - Series XXIX - III (1131 DAYS) - Direct Plan - Quarterly IDCW;10;22-Jun-2021")</f>
        <v>143275;INF789FC16R6;-;UTI Fixed Term Income fund - Series XXIX - III (1131 DAYS) - Direct Plan - Quarterly IDCW;10;22-Jun-2021</v>
      </c>
      <c r="B15034" s="1"/>
    </row>
    <row r="15035">
      <c r="A15035" s="1" t="str">
        <f>IFERROR(__xludf.DUMMYFUNCTION("""COMPUTED_VALUE"""),"143283;INF789FC12R5;-;UTI Fixed Term Income fund - Series XXIX - III (1131 DAYS) - Regular Plan - Annual IDCW;10;22-Jun-2021")</f>
        <v>143283;INF789FC12R5;-;UTI Fixed Term Income fund - Series XXIX - III (1131 DAYS) - Regular Plan - Annual IDCW;10;22-Jun-2021</v>
      </c>
      <c r="B15035" s="1"/>
    </row>
    <row r="15036">
      <c r="A15036" s="1" t="str">
        <f>IFERROR(__xludf.DUMMYFUNCTION("""COMPUTED_VALUE"""),"143280;INF789FC13R3;-;UTI Fixed Term Income fund - Series XXIX - III (1131 DAYS) - Regular Plan - Maturity IDCW;10;22-Jun-2021")</f>
        <v>143280;INF789FC13R3;-;UTI Fixed Term Income fund - Series XXIX - III (1131 DAYS) - Regular Plan - Maturity IDCW;10;22-Jun-2021</v>
      </c>
      <c r="B15036" s="1"/>
    </row>
    <row r="15037">
      <c r="A15037" s="1" t="str">
        <f>IFERROR(__xludf.DUMMYFUNCTION("""COMPUTED_VALUE"""),"143279;INF789FC11R7;-;UTI Fixed Term Income fund - Series XXIX - III (1131 DAYS) - Regular Plan - Quarterly IDCW;10;22-Jun-2021")</f>
        <v>143279;INF789FC11R7;-;UTI Fixed Term Income fund - Series XXIX - III (1131 DAYS) - Regular Plan - Quarterly IDCW;10;22-Jun-2021</v>
      </c>
      <c r="B15037" s="1"/>
    </row>
    <row r="15038">
      <c r="A15038" s="1" t="str">
        <f>IFERROR(__xludf.DUMMYFUNCTION("""COMPUTED_VALUE"""),"143274;INF789FC19R0;-;UTI Fixed Term Income Fund Series XXIX-III (1131 days) - Direct Plan - Growth Option;11.3951;22-Jun-2021")</f>
        <v>143274;INF789FC19R0;-;UTI Fixed Term Income Fund Series XXIX-III (1131 days) - Direct Plan - Growth Option;11.3951;22-Jun-2021</v>
      </c>
      <c r="B15038" s="1"/>
    </row>
    <row r="15039">
      <c r="A15039" s="1" t="str">
        <f>IFERROR(__xludf.DUMMYFUNCTION("""COMPUTED_VALUE"""),"143278;INF789FC14R1;-;UTI Fixed Term Income Fund Series XXIX-III (1131 days) - Regular Plan - Growth Option;11.2815;22-Jun-2021")</f>
        <v>143278;INF789FC14R1;-;UTI Fixed Term Income Fund Series XXIX-III (1131 days) - Regular Plan - Growth Option;11.2815;22-Jun-2021</v>
      </c>
      <c r="B15039" s="1"/>
    </row>
    <row r="15040">
      <c r="A15040" s="1" t="str">
        <f>IFERROR(__xludf.DUMMYFUNCTION("""COMPUTED_VALUE"""),"143422;INF789FC10T5;-;UTI Fixed Term Income fund - Series XXIX - IV (1422 DAYS) - Direct Plan - Flexi IDCW;10;05-Apr-2022")</f>
        <v>143422;INF789FC10T5;-;UTI Fixed Term Income fund - Series XXIX - IV (1422 DAYS) - Direct Plan - Flexi IDCW;10;05-Apr-2022</v>
      </c>
      <c r="B15040" s="1"/>
    </row>
    <row r="15041">
      <c r="A15041" s="1" t="str">
        <f>IFERROR(__xludf.DUMMYFUNCTION("""COMPUTED_VALUE"""),"143425;INF789FC12S3;-;UTI Fixed Term Income fund - Series XXIX - IV (1422 DAYS) - Regular Plan - Annual IDCW;10;05-Apr-2022")</f>
        <v>143425;INF789FC12S3;-;UTI Fixed Term Income fund - Series XXIX - IV (1422 DAYS) - Regular Plan - Annual IDCW;10;05-Apr-2022</v>
      </c>
      <c r="B15041" s="1"/>
    </row>
    <row r="15042">
      <c r="A15042" s="1" t="str">
        <f>IFERROR(__xludf.DUMMYFUNCTION("""COMPUTED_VALUE"""),"143360;INF789FC19S8;-;UTI Fixed Term Income Fund Series XXIX-IV (1422 days) - Direct Plan - Growth Option;13.4977;05-Apr-2022")</f>
        <v>143360;INF789FC19S8;-;UTI Fixed Term Income Fund Series XXIX-IV (1422 days) - Direct Plan - Growth Option;13.4977;05-Apr-2022</v>
      </c>
      <c r="B15042" s="1"/>
    </row>
    <row r="15043">
      <c r="A15043" s="1" t="str">
        <f>IFERROR(__xludf.DUMMYFUNCTION("""COMPUTED_VALUE"""),"143361;INF789FC14S9;-;UTI Fixed Term Income Fund Series XXIX-IV (1422 days) - Regular Plan - Growth Option;13.3945;05-Apr-2022")</f>
        <v>143361;INF789FC14S9;-;UTI Fixed Term Income Fund Series XXIX-IV (1422 days) - Regular Plan - Growth Option;13.3945;05-Apr-2022</v>
      </c>
      <c r="B15043" s="1"/>
    </row>
    <row r="15044">
      <c r="A15044" s="1" t="str">
        <f>IFERROR(__xludf.DUMMYFUNCTION("""COMPUTED_VALUE"""),"143863;INF789FC19X8;-;UTI Fixed Term Income fund - Series XXIX - IX (1109 DAYS) - Direct Plan - Annual IDCW;10.0001;15-Jul-2021")</f>
        <v>143863;INF789FC19X8;-;UTI Fixed Term Income fund - Series XXIX - IX (1109 DAYS) - Direct Plan - Annual IDCW;10.0001;15-Jul-2021</v>
      </c>
      <c r="B15044" s="1"/>
    </row>
    <row r="15045">
      <c r="A15045" s="1" t="str">
        <f>IFERROR(__xludf.DUMMYFUNCTION("""COMPUTED_VALUE"""),"143866;INF789FC10Y5;-;UTI Fixed Term Income fund - Series XXIX - IX (1109 DAYS) - Direct Plan - Maturity IDCW;10;15-Jul-2021")</f>
        <v>143866;INF789FC10Y5;-;UTI Fixed Term Income fund - Series XXIX - IX (1109 DAYS) - Direct Plan - Maturity IDCW;10;15-Jul-2021</v>
      </c>
      <c r="B15045" s="1"/>
    </row>
    <row r="15046">
      <c r="A15046" s="1" t="str">
        <f>IFERROR(__xludf.DUMMYFUNCTION("""COMPUTED_VALUE"""),"143867;INF789FC18X0;-;UTI Fixed Term Income fund - Series XXIX - IX (1109 DAYS) - Direct Plan - Quarterly IDCW;10;15-Jul-2021")</f>
        <v>143867;INF789FC18X0;-;UTI Fixed Term Income fund - Series XXIX - IX (1109 DAYS) - Direct Plan - Quarterly IDCW;10;15-Jul-2021</v>
      </c>
      <c r="B15046" s="1"/>
    </row>
    <row r="15047">
      <c r="A15047" s="1" t="str">
        <f>IFERROR(__xludf.DUMMYFUNCTION("""COMPUTED_VALUE"""),"143865;INF789FC14X9;-;UTI Fixed Term Income fund - Series XXIX - IX (1109 DAYS) - Regular Plan - Annual IDCW;10;15-Jul-2021")</f>
        <v>143865;INF789FC14X9;-;UTI Fixed Term Income fund - Series XXIX - IX (1109 DAYS) - Regular Plan - Annual IDCW;10;15-Jul-2021</v>
      </c>
      <c r="B15047" s="1"/>
    </row>
    <row r="15048">
      <c r="A15048" s="1" t="str">
        <f>IFERROR(__xludf.DUMMYFUNCTION("""COMPUTED_VALUE"""),"143872;INF789FC15X6;-;UTI Fixed Term Income fund - Series XXIX - IX (1109 DAYS) - Regular Plan - Maturity IDCW;10.0001;15-Jul-2021")</f>
        <v>143872;INF789FC15X6;-;UTI Fixed Term Income fund - Series XXIX - IX (1109 DAYS) - Regular Plan - Maturity IDCW;10.0001;15-Jul-2021</v>
      </c>
      <c r="B15048" s="1"/>
    </row>
    <row r="15049">
      <c r="A15049" s="1" t="str">
        <f>IFERROR(__xludf.DUMMYFUNCTION("""COMPUTED_VALUE"""),"143871;INF789FC13X1;-;UTI Fixed Term Income fund - Series XXIX - IX (1109 DAYS) - Regular Plan - Quarterly IDCW;10;15-Jul-2021")</f>
        <v>143871;INF789FC13X1;-;UTI Fixed Term Income fund - Series XXIX - IX (1109 DAYS) - Regular Plan - Quarterly IDCW;10;15-Jul-2021</v>
      </c>
      <c r="B15049" s="1"/>
    </row>
    <row r="15050">
      <c r="A15050" s="1" t="str">
        <f>IFERROR(__xludf.DUMMYFUNCTION("""COMPUTED_VALUE"""),"143870;INF789FC11Y3;-;UTI Fixed Term Income Fund Series XXIX-IX (1109 days) - Direct Plan - Growth Option;10.9669;15-Jul-2021")</f>
        <v>143870;INF789FC11Y3;-;UTI Fixed Term Income Fund Series XXIX-IX (1109 days) - Direct Plan - Growth Option;10.9669;15-Jul-2021</v>
      </c>
      <c r="B15050" s="1"/>
    </row>
    <row r="15051">
      <c r="A15051" s="1" t="str">
        <f>IFERROR(__xludf.DUMMYFUNCTION("""COMPUTED_VALUE"""),"143868;INF789FC16X4;-;UTI Fixed Term Income Fund Series XXIX-IX (1109 days) - Regular Plan - Growth Option;10.8574;15-Jul-2021")</f>
        <v>143868;INF789FC16X4;-;UTI Fixed Term Income Fund Series XXIX-IX (1109 days) - Regular Plan - Growth Option;10.8574;15-Jul-2021</v>
      </c>
      <c r="B15051" s="1"/>
    </row>
    <row r="15052">
      <c r="A15052" s="1" t="str">
        <f>IFERROR(__xludf.DUMMYFUNCTION("""COMPUTED_VALUE"""),"143428;INF789FC19T6;-;UTI Fixed Term Income fund - Series XXIX - V (1113 DAYS) - Direct Plan - Annual IDCW;10;22-Jun-2021")</f>
        <v>143428;INF789FC19T6;-;UTI Fixed Term Income fund - Series XXIX - V (1113 DAYS) - Direct Plan - Annual IDCW;10;22-Jun-2021</v>
      </c>
      <c r="B15052" s="1"/>
    </row>
    <row r="15053">
      <c r="A15053" s="1" t="str">
        <f>IFERROR(__xludf.DUMMYFUNCTION("""COMPUTED_VALUE"""),"143431;INF789FC12U9;-;UTI Fixed Term Income fund - Series XXIX - V (1113 DAYS) - Direct Plan - Flexi IDCW;10;22-Jun-2021")</f>
        <v>143431;INF789FC12U9;-;UTI Fixed Term Income fund - Series XXIX - V (1113 DAYS) - Direct Plan - Flexi IDCW;10;22-Jun-2021</v>
      </c>
      <c r="B15053" s="1"/>
    </row>
    <row r="15054">
      <c r="A15054" s="1" t="str">
        <f>IFERROR(__xludf.DUMMYFUNCTION("""COMPUTED_VALUE"""),"143430;INF789FC10U3;-;UTI Fixed Term Income fund - Series XXIX - V (1113 DAYS) - Direct Plan - Maturity IDCW;10;22-Jun-2021")</f>
        <v>143430;INF789FC10U3;-;UTI Fixed Term Income fund - Series XXIX - V (1113 DAYS) - Direct Plan - Maturity IDCW;10;22-Jun-2021</v>
      </c>
      <c r="B15054" s="1"/>
    </row>
    <row r="15055">
      <c r="A15055" s="1" t="str">
        <f>IFERROR(__xludf.DUMMYFUNCTION("""COMPUTED_VALUE"""),"143429;INF789FC18T8;-;UTI Fixed Term Income fund - Series XXIX - V (1113 DAYS) - Direct Plan - Quarterly IDCW;10;22-Jun-2021")</f>
        <v>143429;INF789FC18T8;-;UTI Fixed Term Income fund - Series XXIX - V (1113 DAYS) - Direct Plan - Quarterly IDCW;10;22-Jun-2021</v>
      </c>
      <c r="B15055" s="1"/>
    </row>
    <row r="15056">
      <c r="A15056" s="1" t="str">
        <f>IFERROR(__xludf.DUMMYFUNCTION("""COMPUTED_VALUE"""),"143432;INF789FC14T7;-;UTI Fixed Term Income fund - Series XXIX - V (1113 DAYS) - Regular Plan - Annual IDCW;10;22-Jun-2021")</f>
        <v>143432;INF789FC14T7;-;UTI Fixed Term Income fund - Series XXIX - V (1113 DAYS) - Regular Plan - Annual IDCW;10;22-Jun-2021</v>
      </c>
      <c r="B15056" s="1"/>
    </row>
    <row r="15057">
      <c r="A15057" s="1" t="str">
        <f>IFERROR(__xludf.DUMMYFUNCTION("""COMPUTED_VALUE"""),"143434;INF789FC17T0;-;UTI Fixed Term Income fund - Series XXIX - V (1113 DAYS) - Regular Plan - Flexi IDCW;10;22-Jun-2021")</f>
        <v>143434;INF789FC17T0;-;UTI Fixed Term Income fund - Series XXIX - V (1113 DAYS) - Regular Plan - Flexi IDCW;10;22-Jun-2021</v>
      </c>
      <c r="B15057" s="1"/>
    </row>
    <row r="15058">
      <c r="A15058" s="1" t="str">
        <f>IFERROR(__xludf.DUMMYFUNCTION("""COMPUTED_VALUE"""),"143433;INF789FC15T4;-;UTI Fixed Term Income fund - Series XXIX - V (1113 DAYS) - Regular Plan - Maturity IDCW;10;22-Jun-2021")</f>
        <v>143433;INF789FC15T4;-;UTI Fixed Term Income fund - Series XXIX - V (1113 DAYS) - Regular Plan - Maturity IDCW;10;22-Jun-2021</v>
      </c>
      <c r="B15058" s="1"/>
    </row>
    <row r="15059">
      <c r="A15059" s="1" t="str">
        <f>IFERROR(__xludf.DUMMYFUNCTION("""COMPUTED_VALUE"""),"143436;INF789FC13T9;-;UTI Fixed Term Income fund - Series XXIX - V (1113 DAYS) - Regular Plan - Quarterly IDCW;10;22-Jun-2021")</f>
        <v>143436;INF789FC13T9;-;UTI Fixed Term Income fund - Series XXIX - V (1113 DAYS) - Regular Plan - Quarterly IDCW;10;22-Jun-2021</v>
      </c>
      <c r="B15059" s="1"/>
    </row>
    <row r="15060">
      <c r="A15060" s="1" t="str">
        <f>IFERROR(__xludf.DUMMYFUNCTION("""COMPUTED_VALUE"""),"143437;INF789FC11U1;-;UTI Fixed Term Income Fund Series XXIX-V (1113 days) - Direct Plan - Growth Option;11.5331;22-Jun-2021")</f>
        <v>143437;INF789FC11U1;-;UTI Fixed Term Income Fund Series XXIX-V (1113 days) - Direct Plan - Growth Option;11.5331;22-Jun-2021</v>
      </c>
      <c r="B15060" s="1"/>
    </row>
    <row r="15061">
      <c r="A15061" s="1" t="str">
        <f>IFERROR(__xludf.DUMMYFUNCTION("""COMPUTED_VALUE"""),"143435;INF789FC16T2;-;UTI Fixed Term Income Fund Series XXIX-V (1113 days) - Regular Plan - Growth Option;11.4175;22-Jun-2021")</f>
        <v>143435;INF789FC16T2;-;UTI Fixed Term Income Fund Series XXIX-V (1113 days) - Regular Plan - Growth Option;11.4175;22-Jun-2021</v>
      </c>
      <c r="B15061" s="1"/>
    </row>
    <row r="15062">
      <c r="A15062" s="1" t="str">
        <f>IFERROR(__xludf.DUMMYFUNCTION("""COMPUTED_VALUE"""),"143563;INF789FC19U4;-;UTI Fixed Term Income fund - Series XXIX - VI (1135 DAYS) - Direct Plan - Annual IDCW;10;06-Jul-2021")</f>
        <v>143563;INF789FC19U4;-;UTI Fixed Term Income fund - Series XXIX - VI (1135 DAYS) - Direct Plan - Annual IDCW;10;06-Jul-2021</v>
      </c>
      <c r="B15062" s="1"/>
    </row>
    <row r="15063">
      <c r="A15063" s="1" t="str">
        <f>IFERROR(__xludf.DUMMYFUNCTION("""COMPUTED_VALUE"""),"143568;INF789FC14U5;-;UTI Fixed Term Income fund - Series XXIX - VI (1135 DAYS) - Regular Plan - Annual IDCW;10;06-Jul-2021")</f>
        <v>143568;INF789FC14U5;-;UTI Fixed Term Income fund - Series XXIX - VI (1135 DAYS) - Regular Plan - Annual IDCW;10;06-Jul-2021</v>
      </c>
      <c r="B15063" s="1"/>
    </row>
    <row r="15064">
      <c r="A15064" s="1" t="str">
        <f>IFERROR(__xludf.DUMMYFUNCTION("""COMPUTED_VALUE"""),"143562;INF789FC11V9;-;UTI Fixed Term Income Fund Series XXIX-VI (1135 days) - Direct Plan - Growth Option;12.749;06-Jul-2021")</f>
        <v>143562;INF789FC11V9;-;UTI Fixed Term Income Fund Series XXIX-VI (1135 days) - Direct Plan - Growth Option;12.749;06-Jul-2021</v>
      </c>
      <c r="B15064" s="1"/>
    </row>
    <row r="15065">
      <c r="A15065" s="1" t="str">
        <f>IFERROR(__xludf.DUMMYFUNCTION("""COMPUTED_VALUE"""),"143567;INF789FC16U0;-;UTI Fixed Term Income Fund Series XXIX-VI (1135 days) - Regular Plan - Growth Option;12.711;06-Jul-2021")</f>
        <v>143567;INF789FC16U0;-;UTI Fixed Term Income Fund Series XXIX-VI (1135 days) - Regular Plan - Growth Option;12.711;06-Jul-2021</v>
      </c>
      <c r="B15065" s="1"/>
    </row>
    <row r="15066">
      <c r="A15066" s="1" t="str">
        <f>IFERROR(__xludf.DUMMYFUNCTION("""COMPUTED_VALUE"""),"143737;INF789FC18V4;-;UTI Fixed Term Income fund - Series XXIX - VII (1135 DAYS) - Direct Plan - Quarterly IDCW;10;15-Jul-2021")</f>
        <v>143737;INF789FC18V4;-;UTI Fixed Term Income fund - Series XXIX - VII (1135 DAYS) - Direct Plan - Quarterly IDCW;10;15-Jul-2021</v>
      </c>
      <c r="B15066" s="1"/>
    </row>
    <row r="15067">
      <c r="A15067" s="1" t="str">
        <f>IFERROR(__xludf.DUMMYFUNCTION("""COMPUTED_VALUE"""),"143740;INF789FC14V3;-;UTI Fixed Term Income fund - Series XXIX - VII (1135 DAYS) - Regular Plan - Annual IDCW;10;15-Jul-2021")</f>
        <v>143740;INF789FC14V3;-;UTI Fixed Term Income fund - Series XXIX - VII (1135 DAYS) - Regular Plan - Annual IDCW;10;15-Jul-2021</v>
      </c>
      <c r="B15067" s="1"/>
    </row>
    <row r="15068">
      <c r="A15068" s="1" t="str">
        <f>IFERROR(__xludf.DUMMYFUNCTION("""COMPUTED_VALUE"""),"143745;INF789FC13V5;-;UTI Fixed Term Income fund - Series XXIX - VII (1135 DAYS) - Regular Plan - Quarterly IDCW;10;15-Jul-2021")</f>
        <v>143745;INF789FC13V5;-;UTI Fixed Term Income fund - Series XXIX - VII (1135 DAYS) - Regular Plan - Quarterly IDCW;10;15-Jul-2021</v>
      </c>
      <c r="B15068" s="1"/>
    </row>
    <row r="15069">
      <c r="A15069" s="1" t="str">
        <f>IFERROR(__xludf.DUMMYFUNCTION("""COMPUTED_VALUE"""),"143741;INF789FC11W7;-;UTI Fixed Term Income Fund Series XXIX-VII (1135 days) - Direct Plan - Growth Option;12.5388;15-Jul-2021")</f>
        <v>143741;INF789FC11W7;-;UTI Fixed Term Income Fund Series XXIX-VII (1135 days) - Direct Plan - Growth Option;12.5388;15-Jul-2021</v>
      </c>
      <c r="B15069" s="1"/>
    </row>
    <row r="15070">
      <c r="A15070" s="1" t="str">
        <f>IFERROR(__xludf.DUMMYFUNCTION("""COMPUTED_VALUE"""),"143744;INF789FC16V8;-;UTI Fixed Term Income Fund Series XXIX-VII (1135 days) - Regular Plan - Growth Option;12.4432;15-Jul-2021")</f>
        <v>143744;INF789FC16V8;-;UTI Fixed Term Income Fund Series XXIX-VII (1135 days) - Regular Plan - Growth Option;12.4432;15-Jul-2021</v>
      </c>
      <c r="B15070" s="1"/>
    </row>
    <row r="15071">
      <c r="A15071" s="1" t="str">
        <f>IFERROR(__xludf.DUMMYFUNCTION("""COMPUTED_VALUE"""),"143800;INF789FC19W0;-;UTI Fixed Term Income fund - Series XXIX - VIII (1127 DAYS) - Direct Plan - Annual IDCW;10;15-Jul-2021")</f>
        <v>143800;INF789FC19W0;-;UTI Fixed Term Income fund - Series XXIX - VIII (1127 DAYS) - Direct Plan - Annual IDCW;10;15-Jul-2021</v>
      </c>
      <c r="B15071" s="1"/>
    </row>
    <row r="15072">
      <c r="A15072" s="1" t="str">
        <f>IFERROR(__xludf.DUMMYFUNCTION("""COMPUTED_VALUE"""),"143808;INF789FC12X3;-;UTI Fixed Term Income fund - Series XXIX - VIII (1127 DAYS) - Direct Plan - Flexi IDCW;10;15-Jul-2021")</f>
        <v>143808;INF789FC12X3;-;UTI Fixed Term Income fund - Series XXIX - VIII (1127 DAYS) - Direct Plan - Flexi IDCW;10;15-Jul-2021</v>
      </c>
      <c r="B15072" s="1"/>
    </row>
    <row r="15073">
      <c r="A15073" s="1" t="str">
        <f>IFERROR(__xludf.DUMMYFUNCTION("""COMPUTED_VALUE"""),"143802;INF789FC10X7;-;UTI Fixed Term Income fund - Series XXIX - VIII (1127 DAYS) - Direct Plan - Maturity IDCW;10;15-Jul-2021")</f>
        <v>143802;INF789FC10X7;-;UTI Fixed Term Income fund - Series XXIX - VIII (1127 DAYS) - Direct Plan - Maturity IDCW;10;15-Jul-2021</v>
      </c>
      <c r="B15073" s="1"/>
    </row>
    <row r="15074">
      <c r="A15074" s="1" t="str">
        <f>IFERROR(__xludf.DUMMYFUNCTION("""COMPUTED_VALUE"""),"143801;INF789FC18W2;-;UTI Fixed Term Income fund - Series XXIX - VIII (1127 DAYS) - Direct Plan - Quarterly IDCW;10;15-Jul-2021")</f>
        <v>143801;INF789FC18W2;-;UTI Fixed Term Income fund - Series XXIX - VIII (1127 DAYS) - Direct Plan - Quarterly IDCW;10;15-Jul-2021</v>
      </c>
      <c r="B15074" s="1"/>
    </row>
    <row r="15075">
      <c r="A15075" s="1" t="str">
        <f>IFERROR(__xludf.DUMMYFUNCTION("""COMPUTED_VALUE"""),"143804;INF789FC14W1;-;UTI Fixed Term Income fund - Series XXIX - VIII (1127 DAYS) - Regular Plan - Annual IDCW;10;15-Jul-2021")</f>
        <v>143804;INF789FC14W1;-;UTI Fixed Term Income fund - Series XXIX - VIII (1127 DAYS) - Regular Plan - Annual IDCW;10;15-Jul-2021</v>
      </c>
      <c r="B15075" s="1"/>
    </row>
    <row r="15076">
      <c r="A15076" s="1" t="str">
        <f>IFERROR(__xludf.DUMMYFUNCTION("""COMPUTED_VALUE"""),"143806;INF789FC17W4;-;UTI Fixed Term Income fund - Series XXIX - VIII (1127 DAYS) - Regular Plan - Flexi IDCW;10;15-Jul-2021")</f>
        <v>143806;INF789FC17W4;-;UTI Fixed Term Income fund - Series XXIX - VIII (1127 DAYS) - Regular Plan - Flexi IDCW;10;15-Jul-2021</v>
      </c>
      <c r="B15076" s="1"/>
    </row>
    <row r="15077">
      <c r="A15077" s="1" t="str">
        <f>IFERROR(__xludf.DUMMYFUNCTION("""COMPUTED_VALUE"""),"143805;INF789FC13W3;-;UTI Fixed Term Income fund - Series XXIX - VIII (1127 DAYS) - Regular Plan - Quarterly IDCW;10;15-Jul-2021")</f>
        <v>143805;INF789FC13W3;-;UTI Fixed Term Income fund - Series XXIX - VIII (1127 DAYS) - Regular Plan - Quarterly IDCW;10;15-Jul-2021</v>
      </c>
      <c r="B15077" s="1"/>
    </row>
    <row r="15078">
      <c r="A15078" s="1" t="str">
        <f>IFERROR(__xludf.DUMMYFUNCTION("""COMPUTED_VALUE"""),"143799;INF789FC11X5;-;UTI Fixed Term Income Fund Series XXIX-VIII (1127 days) - Direct Plan - Growth Option;12.765;15-Jul-2021")</f>
        <v>143799;INF789FC11X5;-;UTI Fixed Term Income Fund Series XXIX-VIII (1127 days) - Direct Plan - Growth Option;12.765;15-Jul-2021</v>
      </c>
      <c r="B15078" s="1"/>
    </row>
    <row r="15079">
      <c r="A15079" s="1" t="str">
        <f>IFERROR(__xludf.DUMMYFUNCTION("""COMPUTED_VALUE"""),"143803;INF789FC16W6;-;UTI Fixed Term Income Fund Series XXIX-VIII (1127 days) - Regular Plan - Growth Option;12.6695;15-Jul-2021")</f>
        <v>143803;INF789FC16W6;-;UTI Fixed Term Income Fund Series XXIX-VIII (1127 days) - Regular Plan - Growth Option;12.6695;15-Jul-2021</v>
      </c>
      <c r="B15079" s="1"/>
    </row>
    <row r="15080">
      <c r="A15080" s="1" t="str">
        <f>IFERROR(__xludf.DUMMYFUNCTION("""COMPUTED_VALUE"""),"144003;INF789F1A033;-;UTI Fixed Term Income fund - Series XXIX - XI (1112 DAYS) - Direct Plan - Flexi IDCW;10;15-Jul-2021")</f>
        <v>144003;INF789F1A033;-;UTI Fixed Term Income fund - Series XXIX - XI (1112 DAYS) - Direct Plan - Flexi IDCW;10;15-Jul-2021</v>
      </c>
      <c r="B15080" s="1"/>
    </row>
    <row r="15081">
      <c r="A15081" s="1" t="str">
        <f>IFERROR(__xludf.DUMMYFUNCTION("""COMPUTED_VALUE"""),"143999;INF789F1A017;-;UTI Fixed Term Income fund - Series XXIX - XI (1112 DAYS) - Direct Plan - Maturity IDCW;10;15-Jul-2021")</f>
        <v>143999;INF789F1A017;-;UTI Fixed Term Income fund - Series XXIX - XI (1112 DAYS) - Direct Plan - Maturity IDCW;10;15-Jul-2021</v>
      </c>
      <c r="B15081" s="1"/>
    </row>
    <row r="15082">
      <c r="A15082" s="1" t="str">
        <f>IFERROR(__xludf.DUMMYFUNCTION("""COMPUTED_VALUE"""),"143997;INF789F1A025;-;UTI Fixed Term Income Fund Series XXIX-XI (1112 days) - Direct Plan - Growth Option;11.2868;15-Jul-2021")</f>
        <v>143997;INF789F1A025;-;UTI Fixed Term Income Fund Series XXIX-XI (1112 days) - Direct Plan - Growth Option;11.2868;15-Jul-2021</v>
      </c>
      <c r="B15082" s="1"/>
    </row>
    <row r="15083">
      <c r="A15083" s="1" t="str">
        <f>IFERROR(__xludf.DUMMYFUNCTION("""COMPUTED_VALUE"""),"144006;INF789FC16Z9;-;UTI Fixed Term Income Fund Series XXIX-XI (1112 days) - Regular Plan - Growth Option;11.2025;15-Jul-2021")</f>
        <v>144006;INF789FC16Z9;-;UTI Fixed Term Income Fund Series XXIX-XI (1112 days) - Regular Plan - Growth Option;11.2025;15-Jul-2021</v>
      </c>
      <c r="B15083" s="1"/>
    </row>
    <row r="15084">
      <c r="A15084" s="1" t="str">
        <f>IFERROR(__xludf.DUMMYFUNCTION("""COMPUTED_VALUE"""),"144103;INF789F1A108;-;UTI Fixed Term Income fund - Series XXIX - XIII (1122 DAYS) - Direct Plan - Annual IDCW;10;12-Aug-2021")</f>
        <v>144103;INF789F1A108;-;UTI Fixed Term Income fund - Series XXIX - XIII (1122 DAYS) - Direct Plan - Annual IDCW;10;12-Aug-2021</v>
      </c>
      <c r="B15084" s="1"/>
    </row>
    <row r="15085">
      <c r="A15085" s="1" t="str">
        <f>IFERROR(__xludf.DUMMYFUNCTION("""COMPUTED_VALUE"""),"144097;INF789F1A116;-;UTI Fixed Term Income fund - Series XXIX - XIII (1122 DAYS) - Direct Plan - Maturity IDCW;10;12-Aug-2021")</f>
        <v>144097;INF789F1A116;-;UTI Fixed Term Income fund - Series XXIX - XIII (1122 DAYS) - Direct Plan - Maturity IDCW;10;12-Aug-2021</v>
      </c>
      <c r="B15085" s="1"/>
    </row>
    <row r="15086">
      <c r="A15086" s="1" t="str">
        <f>IFERROR(__xludf.DUMMYFUNCTION("""COMPUTED_VALUE"""),"144095;INF789F1A090;-;UTI Fixed Term Income fund - Series XXIX - XIII (1122 DAYS) - Direct Plan - Quarterly IDCW;10;12-Aug-2021")</f>
        <v>144095;INF789F1A090;-;UTI Fixed Term Income fund - Series XXIX - XIII (1122 DAYS) - Direct Plan - Quarterly IDCW;10;12-Aug-2021</v>
      </c>
      <c r="B15086" s="1"/>
    </row>
    <row r="15087">
      <c r="A15087" s="1" t="str">
        <f>IFERROR(__xludf.DUMMYFUNCTION("""COMPUTED_VALUE"""),"144102;INF789F1A058;-;UTI Fixed Term Income fund - Series XXIX - XIII (1122 DAYS) - Regular Plan - Annual IDCW;10;12-Aug-2021")</f>
        <v>144102;INF789F1A058;-;UTI Fixed Term Income fund - Series XXIX - XIII (1122 DAYS) - Regular Plan - Annual IDCW;10;12-Aug-2021</v>
      </c>
      <c r="B15087" s="1"/>
    </row>
    <row r="15088">
      <c r="A15088" s="1" t="str">
        <f>IFERROR(__xludf.DUMMYFUNCTION("""COMPUTED_VALUE"""),"144100;INF789F1A082;-;UTI Fixed Term Income fund - Series XXIX - XIII (1122 DAYS) - Regular Plan - Flexi IDCW;10;12-Aug-2021")</f>
        <v>144100;INF789F1A082;-;UTI Fixed Term Income fund - Series XXIX - XIII (1122 DAYS) - Regular Plan - Flexi IDCW;10;12-Aug-2021</v>
      </c>
      <c r="B15088" s="1"/>
    </row>
    <row r="15089">
      <c r="A15089" s="1" t="str">
        <f>IFERROR(__xludf.DUMMYFUNCTION("""COMPUTED_VALUE"""),"144099;INF789F1A066;-;UTI Fixed Term Income fund - Series XXIX - XIII (1122 DAYS) - Regular Plan - Maturity IDCW;10;12-Aug-2021")</f>
        <v>144099;INF789F1A066;-;UTI Fixed Term Income fund - Series XXIX - XIII (1122 DAYS) - Regular Plan - Maturity IDCW;10;12-Aug-2021</v>
      </c>
      <c r="B15089" s="1"/>
    </row>
    <row r="15090">
      <c r="A15090" s="1" t="str">
        <f>IFERROR(__xludf.DUMMYFUNCTION("""COMPUTED_VALUE"""),"144104;INF789F1A041;-;UTI Fixed Term Income fund - Series XXIX - XIII (1122 DAYS) - Regular Plan - Quarterly IDCW;10;12-Aug-2021")</f>
        <v>144104;INF789F1A041;-;UTI Fixed Term Income fund - Series XXIX - XIII (1122 DAYS) - Regular Plan - Quarterly IDCW;10;12-Aug-2021</v>
      </c>
      <c r="B15090" s="1"/>
    </row>
    <row r="15091">
      <c r="A15091" s="1" t="str">
        <f>IFERROR(__xludf.DUMMYFUNCTION("""COMPUTED_VALUE"""),"144096;INF789F1A124;-;UTI Fixed Term Income Fund Series XXIX-XIII (1122 days) - Direct Plan - Growth Option;12.2971;12-Aug-2021")</f>
        <v>144096;INF789F1A124;-;UTI Fixed Term Income Fund Series XXIX-XIII (1122 days) - Direct Plan - Growth Option;12.2971;12-Aug-2021</v>
      </c>
      <c r="B15091" s="1"/>
    </row>
    <row r="15092">
      <c r="A15092" s="1" t="str">
        <f>IFERROR(__xludf.DUMMYFUNCTION("""COMPUTED_VALUE"""),"144098;INF789F1A074;-;UTI Fixed Term Income Fund Series XXIX-XIII (1122 days) - Regular Plan - Growth Option;12.1747;12-Aug-2021")</f>
        <v>144098;INF789F1A074;-;UTI Fixed Term Income Fund Series XXIX-XIII (1122 days) - Regular Plan - Growth Option;12.1747;12-Aug-2021</v>
      </c>
      <c r="B15092" s="1"/>
    </row>
    <row r="15093">
      <c r="A15093" s="1" t="str">
        <f>IFERROR(__xludf.DUMMYFUNCTION("""COMPUTED_VALUE"""),"144202;INF789F1A298;-;UTI Fixed Term Income fund - Series XXIX - XIV (1131 DAYS) - Direct Plan - Quarterly IDCW;10;10-Aug-2021")</f>
        <v>144202;INF789F1A298;-;UTI Fixed Term Income fund - Series XXIX - XIV (1131 DAYS) - Direct Plan - Quarterly IDCW;10;10-Aug-2021</v>
      </c>
      <c r="B15093" s="1"/>
    </row>
    <row r="15094">
      <c r="A15094" s="1" t="str">
        <f>IFERROR(__xludf.DUMMYFUNCTION("""COMPUTED_VALUE"""),"144209;INF789F1A264;-;UTI Fixed Term Income fund - Series XXIX - XIV (1131 DAYS) - Regular Plan - Maturity IDCW;10;10-Aug-2021")</f>
        <v>144209;INF789F1A264;-;UTI Fixed Term Income fund - Series XXIX - XIV (1131 DAYS) - Regular Plan - Maturity IDCW;10;10-Aug-2021</v>
      </c>
      <c r="B15094" s="1"/>
    </row>
    <row r="15095">
      <c r="A15095" s="1" t="str">
        <f>IFERROR(__xludf.DUMMYFUNCTION("""COMPUTED_VALUE"""),"144201;INF789F1A322;-;UTI Fixed Term Income Fund Series XXIX-XIV (1131 days) - Direct Plan - Growth Option;12.704;10-Aug-2021")</f>
        <v>144201;INF789F1A322;-;UTI Fixed Term Income Fund Series XXIX-XIV (1131 days) - Direct Plan - Growth Option;12.704;10-Aug-2021</v>
      </c>
      <c r="B15095" s="1"/>
    </row>
    <row r="15096">
      <c r="A15096" s="1" t="str">
        <f>IFERROR(__xludf.DUMMYFUNCTION("""COMPUTED_VALUE"""),"144206;INF789F1A272;-;UTI Fixed Term Income Fund Series XXIX-XIV (1131 days) - Regular Plan - Growth Option;12.609;10-Aug-2021")</f>
        <v>144206;INF789F1A272;-;UTI Fixed Term Income Fund Series XXIX-XIV (1131 days) - Regular Plan - Growth Option;12.609;10-Aug-2021</v>
      </c>
      <c r="B15096" s="1"/>
    </row>
    <row r="15097">
      <c r="A15097" s="1" t="str">
        <f>IFERROR(__xludf.DUMMYFUNCTION("""COMPUTED_VALUE"""),"144227;INF789F1A413;-;UTI Fixed Term Income Fund Series XXIX-XV (1124 days) - Direct Plan - Growth Option;12.6618;10-Aug-2021")</f>
        <v>144227;INF789F1A413;-;UTI Fixed Term Income Fund Series XXIX-XV (1124 days) - Direct Plan - Growth Option;12.6618;10-Aug-2021</v>
      </c>
      <c r="B15097" s="1"/>
    </row>
    <row r="15098">
      <c r="A15098" s="1" t="str">
        <f>IFERROR(__xludf.DUMMYFUNCTION("""COMPUTED_VALUE"""),"144231;INF789F1A371;-;UTI Fixed Term Income Fund Series XXIX-XV (1124 days) - Regular Plan - Growth Option;12.5669;10-Aug-2021")</f>
        <v>144231;INF789F1A371;-;UTI Fixed Term Income Fund Series XXIX-XV (1124 days) - Regular Plan - Growth Option;12.5669;10-Aug-2021</v>
      </c>
      <c r="B15098" s="1"/>
    </row>
    <row r="15099">
      <c r="A15099" s="1" t="str">
        <f>IFERROR(__xludf.DUMMYFUNCTION("""COMPUTED_VALUE"""),"144573;INF789F1A694;-;UTI Fixed Term Income fund - Series XXX - I (1104 DAYS) - Direct Plan - Maturity IDCW;10;31-Aug-2021")</f>
        <v>144573;INF789F1A694;-;UTI Fixed Term Income fund - Series XXX - I (1104 DAYS) - Direct Plan - Maturity IDCW;10;31-Aug-2021</v>
      </c>
      <c r="B15099" s="1"/>
    </row>
    <row r="15100">
      <c r="A15100" s="1" t="str">
        <f>IFERROR(__xludf.DUMMYFUNCTION("""COMPUTED_VALUE"""),"144572;INF789F1A678;-;UTI Fixed Term Income fund - Series XXX - I (1104 DAYS) - Direct Plan - Quarterly IDCW;10;31-Aug-2021")</f>
        <v>144572;INF789F1A678;-;UTI Fixed Term Income fund - Series XXX - I (1104 DAYS) - Direct Plan - Quarterly IDCW;10;31-Aug-2021</v>
      </c>
      <c r="B15100" s="1"/>
    </row>
    <row r="15101">
      <c r="A15101" s="1" t="str">
        <f>IFERROR(__xludf.DUMMYFUNCTION("""COMPUTED_VALUE"""),"144575;INF789F1A637;-;UTI Fixed Term Income fund - Series XXX - I (1104 DAYS) - Regular Plan - Annual IDCW;10;31-Aug-2021")</f>
        <v>144575;INF789F1A637;-;UTI Fixed Term Income fund - Series XXX - I (1104 DAYS) - Regular Plan - Annual IDCW;10;31-Aug-2021</v>
      </c>
      <c r="B15101" s="1"/>
    </row>
    <row r="15102">
      <c r="A15102" s="1" t="str">
        <f>IFERROR(__xludf.DUMMYFUNCTION("""COMPUTED_VALUE"""),"144577;INF789F1A660;-;UTI Fixed Term Income fund - Series XXX - I (1104 DAYS) - Regular Plan - Flexi IDCW;10;31-Aug-2021")</f>
        <v>144577;INF789F1A660;-;UTI Fixed Term Income fund - Series XXX - I (1104 DAYS) - Regular Plan - Flexi IDCW;10;31-Aug-2021</v>
      </c>
      <c r="B15102" s="1"/>
    </row>
    <row r="15103">
      <c r="A15103" s="1" t="str">
        <f>IFERROR(__xludf.DUMMYFUNCTION("""COMPUTED_VALUE"""),"144576;INF789F1A645;-;UTI Fixed Term Income fund - Series XXX - I (1104 DAYS) - Regular Plan - Maturity IDCW;10;31-Aug-2021")</f>
        <v>144576;INF789F1A645;-;UTI Fixed Term Income fund - Series XXX - I (1104 DAYS) - Regular Plan - Maturity IDCW;10;31-Aug-2021</v>
      </c>
      <c r="B15103" s="1"/>
    </row>
    <row r="15104">
      <c r="A15104" s="1" t="str">
        <f>IFERROR(__xludf.DUMMYFUNCTION("""COMPUTED_VALUE"""),"144579;INF789F1A629;-;UTI Fixed Term Income fund - Series XXX - I (1104 DAYS) - Regular Plan - Quarterly IDCW;10;31-Aug-2021")</f>
        <v>144579;INF789F1A629;-;UTI Fixed Term Income fund - Series XXX - I (1104 DAYS) - Regular Plan - Quarterly IDCW;10;31-Aug-2021</v>
      </c>
      <c r="B15104" s="1"/>
    </row>
    <row r="15105">
      <c r="A15105" s="1" t="str">
        <f>IFERROR(__xludf.DUMMYFUNCTION("""COMPUTED_VALUE"""),"144571;INF789F1A702;-;UTI Fixed Term Income Fund Series XXX-I (1104 days) - Direct Plan - Growth Option;12.2092;31-Aug-2021")</f>
        <v>144571;INF789F1A702;-;UTI Fixed Term Income Fund Series XXX-I (1104 days) - Direct Plan - Growth Option;12.2092;31-Aug-2021</v>
      </c>
      <c r="B15105" s="1"/>
    </row>
    <row r="15106">
      <c r="A15106" s="1" t="str">
        <f>IFERROR(__xludf.DUMMYFUNCTION("""COMPUTED_VALUE"""),"144574;INF789F1A652;-;UTI Fixed Term Income Fund Series XXX-I (1104 days) - Regular Plan - Growth Option;12.0875;31-Aug-2021")</f>
        <v>144574;INF789F1A652;-;UTI Fixed Term Income Fund Series XXX-I (1104 days) - Regular Plan - Growth Option;12.0875;31-Aug-2021</v>
      </c>
      <c r="B15106" s="1"/>
    </row>
    <row r="15107">
      <c r="A15107" s="1" t="str">
        <f>IFERROR(__xludf.DUMMYFUNCTION("""COMPUTED_VALUE"""),"144659;INF789F1A926;-;UTI Fixed Term Income fund - Series XXX - II (1107 DAYS) - Direct Plan - Annual IDCW;10;31-Aug-2021")</f>
        <v>144659;INF789F1A926;-;UTI Fixed Term Income fund - Series XXX - II (1107 DAYS) - Direct Plan - Annual IDCW;10;31-Aug-2021</v>
      </c>
      <c r="B15107" s="1"/>
    </row>
    <row r="15108">
      <c r="A15108" s="1" t="str">
        <f>IFERROR(__xludf.DUMMYFUNCTION("""COMPUTED_VALUE"""),"144661;INF789F1A868;-;UTI Fixed Term Income fund - Series XXX - II (1107 DAYS) - Regular Plan - Quarterly IDCW;10;31-Aug-2021")</f>
        <v>144661;INF789F1A868;-;UTI Fixed Term Income fund - Series XXX - II (1107 DAYS) - Regular Plan - Quarterly IDCW;10;31-Aug-2021</v>
      </c>
      <c r="B15108" s="1"/>
    </row>
    <row r="15109">
      <c r="A15109" s="1" t="str">
        <f>IFERROR(__xludf.DUMMYFUNCTION("""COMPUTED_VALUE"""),"144666;INF789F1A942;-;UTI Fixed Term Income Fund Series XXX-II (1107 days) - Direct Plan - Growth Option;12.6748;31-Aug-2021")</f>
        <v>144666;INF789F1A942;-;UTI Fixed Term Income Fund Series XXX-II (1107 days) - Direct Plan - Growth Option;12.6748;31-Aug-2021</v>
      </c>
      <c r="B15109" s="1"/>
    </row>
    <row r="15110">
      <c r="A15110" s="1" t="str">
        <f>IFERROR(__xludf.DUMMYFUNCTION("""COMPUTED_VALUE"""),"144663;INF789F1A892;-;UTI Fixed Term Income Fund Series XXX-II (1107 days) - Regular Plan - Growth Option;12.5801;31-Aug-2021")</f>
        <v>144663;INF789F1A892;-;UTI Fixed Term Income Fund Series XXX-II (1107 days) - Regular Plan - Growth Option;12.5801;31-Aug-2021</v>
      </c>
      <c r="B15110" s="1"/>
    </row>
    <row r="15111">
      <c r="A15111" s="1" t="str">
        <f>IFERROR(__xludf.DUMMYFUNCTION("""COMPUTED_VALUE"""),"144731;INF789F1AAC3;-;UTI Fixed Term Income Fund Series XXX-III (1106 Days) - Direct Plan - Annual IDCW;10;21-Sep-2021")</f>
        <v>144731;INF789F1AAC3;-;UTI Fixed Term Income Fund Series XXX-III (1106 Days) - Direct Plan - Annual IDCW;10;21-Sep-2021</v>
      </c>
      <c r="B15111" s="1"/>
    </row>
    <row r="15112">
      <c r="A15112" s="1" t="str">
        <f>IFERROR(__xludf.DUMMYFUNCTION("""COMPUTED_VALUE"""),"144732;INF789F1AAF6;-;UTI Fixed Term Income Fund Series XXX-III (1106 Days) - Direct Plan - Flexi IDCW;10;21-Sep-2021")</f>
        <v>144732;INF789F1AAF6;-;UTI Fixed Term Income Fund Series XXX-III (1106 Days) - Direct Plan - Flexi IDCW;10;21-Sep-2021</v>
      </c>
      <c r="B15112" s="1"/>
    </row>
    <row r="15113">
      <c r="A15113" s="1" t="str">
        <f>IFERROR(__xludf.DUMMYFUNCTION("""COMPUTED_VALUE"""),"144736;INF789F1AAE9;-;UTI Fixed Term Income Fund Series XXX-III (1106 days) - Direct Plan - Growth Option;11.8575;21-Sep-2021")</f>
        <v>144736;INF789F1AAE9;-;UTI Fixed Term Income Fund Series XXX-III (1106 days) - Direct Plan - Growth Option;11.8575;21-Sep-2021</v>
      </c>
      <c r="B15113" s="1"/>
    </row>
    <row r="15114">
      <c r="A15114" s="1" t="str">
        <f>IFERROR(__xludf.DUMMYFUNCTION("""COMPUTED_VALUE"""),"144739;INF789F1AAD1;-;UTI Fixed Term Income Fund Series XXX-III (1106 Days) - Direct Plan - Maturity IDCW;10;21-Sep-2021")</f>
        <v>144739;INF789F1AAD1;-;UTI Fixed Term Income Fund Series XXX-III (1106 Days) - Direct Plan - Maturity IDCW;10;21-Sep-2021</v>
      </c>
      <c r="B15114" s="1"/>
    </row>
    <row r="15115">
      <c r="A15115" s="1" t="str">
        <f>IFERROR(__xludf.DUMMYFUNCTION("""COMPUTED_VALUE"""),"144738;INF789F1AAB5;-;UTI Fixed Term Income Fund Series XXX-III (1106 Days) - Direct Plan - Quarterly IDCW;10;21-Sep-2021")</f>
        <v>144738;INF789F1AAB5;-;UTI Fixed Term Income Fund Series XXX-III (1106 Days) - Direct Plan - Quarterly IDCW;10;21-Sep-2021</v>
      </c>
      <c r="B15115" s="1"/>
    </row>
    <row r="15116">
      <c r="A15116" s="1" t="str">
        <f>IFERROR(__xludf.DUMMYFUNCTION("""COMPUTED_VALUE"""),"144734;INF789F1A975;-;UTI Fixed Term Income Fund Series XXX-III (1106 Days) - Regular Plan - Annual IDCW;10;21-Sep-2021")</f>
        <v>144734;INF789F1A975;-;UTI Fixed Term Income Fund Series XXX-III (1106 Days) - Regular Plan - Annual IDCW;10;21-Sep-2021</v>
      </c>
      <c r="B15116" s="1"/>
    </row>
    <row r="15117">
      <c r="A15117" s="1" t="str">
        <f>IFERROR(__xludf.DUMMYFUNCTION("""COMPUTED_VALUE"""),"144740;INF789F1AAA7;-;UTI Fixed Term Income Fund Series XXX-III (1106 Days) - Regular Plan - Flexi IDCW;10;21-Sep-2021")</f>
        <v>144740;INF789F1AAA7;-;UTI Fixed Term Income Fund Series XXX-III (1106 Days) - Regular Plan - Flexi IDCW;10;21-Sep-2021</v>
      </c>
      <c r="B15117" s="1"/>
    </row>
    <row r="15118">
      <c r="A15118" s="1" t="str">
        <f>IFERROR(__xludf.DUMMYFUNCTION("""COMPUTED_VALUE"""),"144733;INF789F1A991;-;UTI Fixed Term Income Fund Series XXX-III (1106 days) - Regular Plan - Growth Option;11.7394;21-Sep-2021")</f>
        <v>144733;INF789F1A991;-;UTI Fixed Term Income Fund Series XXX-III (1106 days) - Regular Plan - Growth Option;11.7394;21-Sep-2021</v>
      </c>
      <c r="B15118" s="1"/>
    </row>
    <row r="15119">
      <c r="A15119" s="1" t="str">
        <f>IFERROR(__xludf.DUMMYFUNCTION("""COMPUTED_VALUE"""),"144737;INF789F1A983;-;UTI Fixed Term Income Fund Series XXX-III (1106 Days) - Regular Plan - Maturity IDCW;10;21-Sep-2021")</f>
        <v>144737;INF789F1A983;-;UTI Fixed Term Income Fund Series XXX-III (1106 Days) - Regular Plan - Maturity IDCW;10;21-Sep-2021</v>
      </c>
      <c r="B15119" s="1"/>
    </row>
    <row r="15120">
      <c r="A15120" s="1" t="str">
        <f>IFERROR(__xludf.DUMMYFUNCTION("""COMPUTED_VALUE"""),"144735;INF789F1A967;-;UTI Fixed Term Income Fund Series XXX-III (1106 Days) - Regular Plan - Quarterly IDCW;10;21-Sep-2021")</f>
        <v>144735;INF789F1A967;-;UTI Fixed Term Income Fund Series XXX-III (1106 Days) - Regular Plan - Quarterly IDCW;10;21-Sep-2021</v>
      </c>
      <c r="B15120" s="1"/>
    </row>
    <row r="15121">
      <c r="A15121" s="1" t="str">
        <f>IFERROR(__xludf.DUMMYFUNCTION("""COMPUTED_VALUE"""),"144954;INF789F1AAL4;-;UTI - Fixed Term Income Fund Series XXX-IV (1125 Days) - Direct Plan - Growth Option;12.8672;26-Oct-2021")</f>
        <v>144954;INF789F1AAL4;-;UTI - Fixed Term Income Fund Series XXX-IV (1125 Days) - Direct Plan - Growth Option;12.8672;26-Oct-2021</v>
      </c>
      <c r="B15121" s="1"/>
    </row>
    <row r="15122">
      <c r="A15122" s="1" t="str">
        <f>IFERROR(__xludf.DUMMYFUNCTION("""COMPUTED_VALUE"""),"144956;INF789F1AAG4;-;UTI - Fixed Term Income Fund Series XXX-IV (1125 Days) - Regular Plan - Growth Option;12.7392;26-Oct-2021")</f>
        <v>144956;INF789F1AAG4;-;UTI - Fixed Term Income Fund Series XXX-IV (1125 Days) - Regular Plan - Growth Option;12.7392;26-Oct-2021</v>
      </c>
      <c r="B15122" s="1"/>
    </row>
    <row r="15123">
      <c r="A15123" s="1" t="str">
        <f>IFERROR(__xludf.DUMMYFUNCTION("""COMPUTED_VALUE"""),"144955;INF789F1AAN0;-;UTI Fixed Term Income Fund Series XXX-IV (1125 Days) - Direct Plan - Annual IDCW;10;26-Oct-2021")</f>
        <v>144955;INF789F1AAN0;-;UTI Fixed Term Income Fund Series XXX-IV (1125 Days) - Direct Plan - Annual IDCW;10;26-Oct-2021</v>
      </c>
      <c r="B15123" s="1"/>
    </row>
    <row r="15124">
      <c r="A15124" s="1" t="str">
        <f>IFERROR(__xludf.DUMMYFUNCTION("""COMPUTED_VALUE"""),"144950;INF789F1AAP5;-;UTI Fixed Term Income Fund Series XXX-IV (1125 Days) - Direct Plan - Flexi IDCW;10;26-Oct-2021")</f>
        <v>144950;INF789F1AAP5;-;UTI Fixed Term Income Fund Series XXX-IV (1125 Days) - Direct Plan - Flexi IDCW;10;26-Oct-2021</v>
      </c>
      <c r="B15124" s="1"/>
    </row>
    <row r="15125">
      <c r="A15125" s="1" t="str">
        <f>IFERROR(__xludf.DUMMYFUNCTION("""COMPUTED_VALUE"""),"144949;INF789F1AAO8;-;UTI Fixed Term Income Fund Series XXX-IV (1125 Days) - Direct Plan - Maturity IDCW;10;26-Oct-2021")</f>
        <v>144949;INF789F1AAO8;-;UTI Fixed Term Income Fund Series XXX-IV (1125 Days) - Direct Plan - Maturity IDCW;10;26-Oct-2021</v>
      </c>
      <c r="B15125" s="1"/>
    </row>
    <row r="15126">
      <c r="A15126" s="1" t="str">
        <f>IFERROR(__xludf.DUMMYFUNCTION("""COMPUTED_VALUE"""),"144948;INF789F1AAM2;-;UTI Fixed Term Income Fund Series XXX-IV (1125 Days) - Direct Plan - Quarterly IDCW;10;26-Oct-2021")</f>
        <v>144948;INF789F1AAM2;-;UTI Fixed Term Income Fund Series XXX-IV (1125 Days) - Direct Plan - Quarterly IDCW;10;26-Oct-2021</v>
      </c>
      <c r="B15126" s="1"/>
    </row>
    <row r="15127">
      <c r="A15127" s="1" t="str">
        <f>IFERROR(__xludf.DUMMYFUNCTION("""COMPUTED_VALUE"""),"144951;INF789F1AAI0;-;UTI Fixed Term Income Fund Series XXX-IV (1125 Days) - Regular Plan - Annual IDCW;10;26-Oct-2021")</f>
        <v>144951;INF789F1AAI0;-;UTI Fixed Term Income Fund Series XXX-IV (1125 Days) - Regular Plan - Annual IDCW;10;26-Oct-2021</v>
      </c>
      <c r="B15127" s="1"/>
    </row>
    <row r="15128">
      <c r="A15128" s="1" t="str">
        <f>IFERROR(__xludf.DUMMYFUNCTION("""COMPUTED_VALUE"""),"144957;INF789F1AAK6;-;UTI Fixed Term Income Fund Series XXX-IV (1125 Days) - Regular Plan - Flexi IDCW;10;26-Oct-2021")</f>
        <v>144957;INF789F1AAK6;-;UTI Fixed Term Income Fund Series XXX-IV (1125 Days) - Regular Plan - Flexi IDCW;10;26-Oct-2021</v>
      </c>
      <c r="B15128" s="1"/>
    </row>
    <row r="15129">
      <c r="A15129" s="1" t="str">
        <f>IFERROR(__xludf.DUMMYFUNCTION("""COMPUTED_VALUE"""),"144953;INF789F1AAJ8;-;UTI Fixed Term Income Fund Series XXX-IV (1125 Days) - Regular Plan - Maturity IDCW;10.0001;26-Oct-2021")</f>
        <v>144953;INF789F1AAJ8;-;UTI Fixed Term Income Fund Series XXX-IV (1125 Days) - Regular Plan - Maturity IDCW;10.0001;26-Oct-2021</v>
      </c>
      <c r="B15129" s="1"/>
    </row>
    <row r="15130">
      <c r="A15130" s="1" t="str">
        <f>IFERROR(__xludf.DUMMYFUNCTION("""COMPUTED_VALUE"""),"144952;INF789F1AAH2;-;UTI Fixed Term Income Fund Series XXX-IV (1125 Days) - Regular Plan - Quarterly IDCW;10;26-Oct-2021")</f>
        <v>144952;INF789F1AAH2;-;UTI Fixed Term Income Fund Series XXX-IV (1125 Days) - Regular Plan - Quarterly IDCW;10;26-Oct-2021</v>
      </c>
      <c r="B15130" s="1"/>
    </row>
    <row r="15131">
      <c r="A15131" s="1" t="str">
        <f>IFERROR(__xludf.DUMMYFUNCTION("""COMPUTED_VALUE"""),"145339;INF789F1ABZ2;-;UTI - Fixed Term Income Fund Series XXX-IX (1266 Days) - Direct Plan - Growth Option;13.377;19-Apr-2022")</f>
        <v>145339;INF789F1ABZ2;-;UTI - Fixed Term Income Fund Series XXX-IX (1266 Days) - Direct Plan - Growth Option;13.377;19-Apr-2022</v>
      </c>
      <c r="B15131" s="1"/>
    </row>
    <row r="15132">
      <c r="A15132" s="1" t="str">
        <f>IFERROR(__xludf.DUMMYFUNCTION("""COMPUTED_VALUE"""),"145334;INF789F1ABU3;-;UTI - Fixed Term Income Fund Series XXX-IX (1266 Days) - Regular Plan - Growth Option;13.2154;19-Apr-2022")</f>
        <v>145334;INF789F1ABU3;-;UTI - Fixed Term Income Fund Series XXX-IX (1266 Days) - Regular Plan - Growth Option;13.2154;19-Apr-2022</v>
      </c>
      <c r="B15132" s="1"/>
    </row>
    <row r="15133">
      <c r="A15133" s="1" t="str">
        <f>IFERROR(__xludf.DUMMYFUNCTION("""COMPUTED_VALUE"""),"145341;INF789F1ACC9;-;UTI Fixed Term Income Fund Series XXX-IX (1266 Days) - Direct Plan - Maturity IDCW;10;19-Apr-2022")</f>
        <v>145341;INF789F1ACC9;-;UTI Fixed Term Income Fund Series XXX-IX (1266 Days) - Direct Plan - Maturity IDCW;10;19-Apr-2022</v>
      </c>
      <c r="B15133" s="1"/>
    </row>
    <row r="15134">
      <c r="A15134" s="1" t="str">
        <f>IFERROR(__xludf.DUMMYFUNCTION("""COMPUTED_VALUE"""),"145340;INF789F1ACA3;-;UTI Fixed Term Income Fund Series XXX-IX (1266 Days) - Direct Plan - Quarterly IDCW;10;19-Apr-2022")</f>
        <v>145340;INF789F1ACA3;-;UTI Fixed Term Income Fund Series XXX-IX (1266 Days) - Direct Plan - Quarterly IDCW;10;19-Apr-2022</v>
      </c>
      <c r="B15134" s="1"/>
    </row>
    <row r="15135">
      <c r="A15135" s="1" t="str">
        <f>IFERROR(__xludf.DUMMYFUNCTION("""COMPUTED_VALUE"""),"145337;INF789F1ABW9;-;UTI Fixed Term Income Fund Series XXX-IX (1266 Days) - Regular Plan - Annual IDCW;10;19-Apr-2022")</f>
        <v>145337;INF789F1ABW9;-;UTI Fixed Term Income Fund Series XXX-IX (1266 Days) - Regular Plan - Annual IDCW;10;19-Apr-2022</v>
      </c>
      <c r="B15135" s="1"/>
    </row>
    <row r="15136">
      <c r="A15136" s="1" t="str">
        <f>IFERROR(__xludf.DUMMYFUNCTION("""COMPUTED_VALUE"""),"145336;INF789F1ABY5;-;UTI Fixed Term Income Fund Series XXX-IX (1266 Days) - Regular Plan - Flexi IDCW;10;19-Apr-2022")</f>
        <v>145336;INF789F1ABY5;-;UTI Fixed Term Income Fund Series XXX-IX (1266 Days) - Regular Plan - Flexi IDCW;10;19-Apr-2022</v>
      </c>
      <c r="B15136" s="1"/>
    </row>
    <row r="15137">
      <c r="A15137" s="1" t="str">
        <f>IFERROR(__xludf.DUMMYFUNCTION("""COMPUTED_VALUE"""),"145335;INF789F1ABX7;-;UTI Fixed Term Income Fund Series XXX-IX (1266 Days) - Regular Plan - Maturity IDCW;10;19-Apr-2022")</f>
        <v>145335;INF789F1ABX7;-;UTI Fixed Term Income Fund Series XXX-IX (1266 Days) - Regular Plan - Maturity IDCW;10;19-Apr-2022</v>
      </c>
      <c r="B15137" s="1"/>
    </row>
    <row r="15138">
      <c r="A15138" s="1" t="str">
        <f>IFERROR(__xludf.DUMMYFUNCTION("""COMPUTED_VALUE"""),"145338;INF789F1ABV1;-;UTI Fixed Term Income Fund Series XXX-IX (1266 Days) - Regular Plan - Quarterly IDCW;10;19-Apr-2022")</f>
        <v>145338;INF789F1ABV1;-;UTI Fixed Term Income Fund Series XXX-IX (1266 Days) - Regular Plan - Quarterly IDCW;10;19-Apr-2022</v>
      </c>
      <c r="B15138" s="1"/>
    </row>
    <row r="15139">
      <c r="A15139" s="1" t="str">
        <f>IFERROR(__xludf.DUMMYFUNCTION("""COMPUTED_VALUE"""),"145009;INF789F1AAV3;-;UTI - Fixed Term Income Fund Series XXX-V (1135 Days) - Direct Plan - Growth Option;12.7941;26-Oct-2021")</f>
        <v>145009;INF789F1AAV3;-;UTI - Fixed Term Income Fund Series XXX-V (1135 Days) - Direct Plan - Growth Option;12.7941;26-Oct-2021</v>
      </c>
      <c r="B15139" s="1"/>
    </row>
    <row r="15140">
      <c r="A15140" s="1" t="str">
        <f>IFERROR(__xludf.DUMMYFUNCTION("""COMPUTED_VALUE"""),"145016;INF789F1AAQ3;-;UTI - Fixed Term Income Fund Series XXX-V (1135 Days) - Regular Plan - Growth Option;12.6986;26-Oct-2021")</f>
        <v>145016;INF789F1AAQ3;-;UTI - Fixed Term Income Fund Series XXX-V (1135 Days) - Regular Plan - Growth Option;12.6986;26-Oct-2021</v>
      </c>
      <c r="B15140" s="1"/>
    </row>
    <row r="15141">
      <c r="A15141" s="1" t="str">
        <f>IFERROR(__xludf.DUMMYFUNCTION("""COMPUTED_VALUE"""),"145010;INF789F1AAY7;-;UTI Fixed Term Income Fund Series XXX-V (1135 Days) - Direct Plan - Maturity IDCW;10;26-Oct-2021")</f>
        <v>145010;INF789F1AAY7;-;UTI Fixed Term Income Fund Series XXX-V (1135 Days) - Direct Plan - Maturity IDCW;10;26-Oct-2021</v>
      </c>
      <c r="B15141" s="1"/>
    </row>
    <row r="15142">
      <c r="A15142" s="1" t="str">
        <f>IFERROR(__xludf.DUMMYFUNCTION("""COMPUTED_VALUE"""),"145014;INF789F1AAR1;-;UTI Fixed Term Income Fund Series XXX-V (1135 Days) - Regular Plan - Quarterly IDCW;10;26-Oct-2021")</f>
        <v>145014;INF789F1AAR1;-;UTI Fixed Term Income Fund Series XXX-V (1135 Days) - Regular Plan - Quarterly IDCW;10;26-Oct-2021</v>
      </c>
      <c r="B15142" s="1"/>
    </row>
    <row r="15143">
      <c r="A15143" s="1" t="str">
        <f>IFERROR(__xludf.DUMMYFUNCTION("""COMPUTED_VALUE"""),"145145;INF789F1ABF4;-;UTI - Fixed Term Income Fund Series XXX-VI (1107 Days) - Direct Plan - Growth Option;12.313;26-Oct-2021")</f>
        <v>145145;INF789F1ABF4;-;UTI - Fixed Term Income Fund Series XXX-VI (1107 Days) - Direct Plan - Growth Option;12.313;26-Oct-2021</v>
      </c>
      <c r="B15143" s="1"/>
    </row>
    <row r="15144">
      <c r="A15144" s="1" t="str">
        <f>IFERROR(__xludf.DUMMYFUNCTION("""COMPUTED_VALUE"""),"145153;INF789F1ABA5;-;UTI - Fixed Term Income Fund Series XXX-VI (1107 Days) - Regular Plan - Growth Option;12.1829;26-Oct-2021")</f>
        <v>145153;INF789F1ABA5;-;UTI - Fixed Term Income Fund Series XXX-VI (1107 Days) - Regular Plan - Growth Option;12.1829;26-Oct-2021</v>
      </c>
      <c r="B15144" s="1"/>
    </row>
    <row r="15145">
      <c r="A15145" s="1" t="str">
        <f>IFERROR(__xludf.DUMMYFUNCTION("""COMPUTED_VALUE"""),"145146;INF789F1ABH0;-;UTI Fixed Term Income Fund Series XXX-VI (1107 Days) - Direct Plan - Annual IDCW;10;26-Oct-2021")</f>
        <v>145146;INF789F1ABH0;-;UTI Fixed Term Income Fund Series XXX-VI (1107 Days) - Direct Plan - Annual IDCW;10;26-Oct-2021</v>
      </c>
      <c r="B15145" s="1"/>
    </row>
    <row r="15146">
      <c r="A15146" s="1" t="str">
        <f>IFERROR(__xludf.DUMMYFUNCTION("""COMPUTED_VALUE"""),"145154;INF789F1ABI8;-;UTI Fixed Term Income Fund Series XXX-VI (1107 Days) - Direct Plan - Maturity IDCW;10;26-Oct-2021")</f>
        <v>145154;INF789F1ABI8;-;UTI Fixed Term Income Fund Series XXX-VI (1107 Days) - Direct Plan - Maturity IDCW;10;26-Oct-2021</v>
      </c>
      <c r="B15146" s="1"/>
    </row>
    <row r="15147">
      <c r="A15147" s="1" t="str">
        <f>IFERROR(__xludf.DUMMYFUNCTION("""COMPUTED_VALUE"""),"145152;INF789F1ABG2;-;UTI Fixed Term Income Fund Series XXX-VI (1107 Days) - Direct Plan - Quarterly IDCW;10;26-Oct-2021")</f>
        <v>145152;INF789F1ABG2;-;UTI Fixed Term Income Fund Series XXX-VI (1107 Days) - Direct Plan - Quarterly IDCW;10;26-Oct-2021</v>
      </c>
      <c r="B15147" s="1"/>
    </row>
    <row r="15148">
      <c r="A15148" s="1" t="str">
        <f>IFERROR(__xludf.DUMMYFUNCTION("""COMPUTED_VALUE"""),"145148;INF789F1ABC1;-;UTI Fixed Term Income Fund Series XXX-VI (1107 Days) - Regular Plan - Annual IDCW;10;26-Oct-2021")</f>
        <v>145148;INF789F1ABC1;-;UTI Fixed Term Income Fund Series XXX-VI (1107 Days) - Regular Plan - Annual IDCW;10;26-Oct-2021</v>
      </c>
      <c r="B15148" s="1"/>
    </row>
    <row r="15149">
      <c r="A15149" s="1" t="str">
        <f>IFERROR(__xludf.DUMMYFUNCTION("""COMPUTED_VALUE"""),"145150;INF789F1ABD9;-;UTI Fixed Term Income Fund Series XXX-VI (1107 Days) - Regular Plan - Maturity IDCW;10;26-Oct-2021")</f>
        <v>145150;INF789F1ABD9;-;UTI Fixed Term Income Fund Series XXX-VI (1107 Days) - Regular Plan - Maturity IDCW;10;26-Oct-2021</v>
      </c>
      <c r="B15149" s="1"/>
    </row>
    <row r="15150">
      <c r="A15150" s="1" t="str">
        <f>IFERROR(__xludf.DUMMYFUNCTION("""COMPUTED_VALUE"""),"145149;INF789F1ABB3;-;UTI Fixed Term Income Fund Series XXX-VI (1107 Days) - Regular Plan - Quarterly IDCW;10;26-Oct-2021")</f>
        <v>145149;INF789F1ABB3;-;UTI Fixed Term Income Fund Series XXX-VI (1107 Days) - Regular Plan - Quarterly IDCW;10;26-Oct-2021</v>
      </c>
      <c r="B15150" s="1"/>
    </row>
    <row r="15151">
      <c r="A15151" s="1" t="str">
        <f>IFERROR(__xludf.DUMMYFUNCTION("""COMPUTED_VALUE"""),"145329;INF789F1ACJ4;-;UTI - Fixed Term Income Fund Series XXX-VIII (1286 Days) - Direct Plan - Growth Option;13.3189;19-Apr-2022")</f>
        <v>145329;INF789F1ACJ4;-;UTI - Fixed Term Income Fund Series XXX-VIII (1286 Days) - Direct Plan - Growth Option;13.3189;19-Apr-2022</v>
      </c>
      <c r="B15151" s="1"/>
    </row>
    <row r="15152">
      <c r="A15152" s="1" t="str">
        <f>IFERROR(__xludf.DUMMYFUNCTION("""COMPUTED_VALUE"""),"145325;INF789F1ACE5;-;UTI - Fixed Term Income Fund Series XXX-VIII (1286 Days) - Regular Plan - Growth Option;13.202;19-Apr-2022")</f>
        <v>145325;INF789F1ACE5;-;UTI - Fixed Term Income Fund Series XXX-VIII (1286 Days) - Regular Plan - Growth Option;13.202;19-Apr-2022</v>
      </c>
      <c r="B15152" s="1"/>
    </row>
    <row r="15153">
      <c r="A15153" s="1" t="str">
        <f>IFERROR(__xludf.DUMMYFUNCTION("""COMPUTED_VALUE"""),"145415;INF789F1ADL8;-;UTI - Fixed Term Income Fund Series XXX-X (1267 Days) - Direct Plan - Growth Option;13.2146;19-Apr-2022")</f>
        <v>145415;INF789F1ADL8;-;UTI - Fixed Term Income Fund Series XXX-X (1267 Days) - Direct Plan - Growth Option;13.2146;19-Apr-2022</v>
      </c>
      <c r="B15153" s="1"/>
    </row>
    <row r="15154">
      <c r="A15154" s="1" t="str">
        <f>IFERROR(__xludf.DUMMYFUNCTION("""COMPUTED_VALUE"""),"145419;INF789F1ADG8;-;UTI - Fixed Term Income Fund Series XXX-X (1267 Days) - Regular Plan - Growth Option;13.1003;19-Apr-2022")</f>
        <v>145419;INF789F1ADG8;-;UTI - Fixed Term Income Fund Series XXX-X (1267 Days) - Regular Plan - Growth Option;13.1003;19-Apr-2022</v>
      </c>
      <c r="B15154" s="1"/>
    </row>
    <row r="15155">
      <c r="A15155" s="1" t="str">
        <f>IFERROR(__xludf.DUMMYFUNCTION("""COMPUTED_VALUE"""),"145422;INF789F1ADM6;-;UTI Fixed Term Income Fund Series XXX-X (1267 Days) - Direct Plan - Quarterly IDCW;10;19-Apr-2022")</f>
        <v>145422;INF789F1ADM6;-;UTI Fixed Term Income Fund Series XXX-X (1267 Days) - Direct Plan - Quarterly IDCW;10;19-Apr-2022</v>
      </c>
      <c r="B15155" s="1"/>
    </row>
    <row r="15156">
      <c r="A15156" s="1" t="str">
        <f>IFERROR(__xludf.DUMMYFUNCTION("""COMPUTED_VALUE"""),"145423;INF789F1ADI4;-;UTI Fixed Term Income Fund Series XXX-X (1267 Days) - Regular Plan - Annual IDCW;10;19-Apr-2022")</f>
        <v>145423;INF789F1ADI4;-;UTI Fixed Term Income Fund Series XXX-X (1267 Days) - Regular Plan - Annual IDCW;10;19-Apr-2022</v>
      </c>
      <c r="B15156" s="1"/>
    </row>
    <row r="15157">
      <c r="A15157" s="1" t="str">
        <f>IFERROR(__xludf.DUMMYFUNCTION("""COMPUTED_VALUE"""),"145424;INF789F1ADH6;-;UTI Fixed Term Income Fund Series XXX-X (1267 Days) - Regular Plan - Quarterly IDCW;10;19-Apr-2022")</f>
        <v>145424;INF789F1ADH6;-;UTI Fixed Term Income Fund Series XXX-X (1267 Days) - Regular Plan - Quarterly IDCW;10;19-Apr-2022</v>
      </c>
      <c r="B15157" s="1"/>
    </row>
    <row r="15158">
      <c r="A15158" s="1" t="str">
        <f>IFERROR(__xludf.DUMMYFUNCTION("""COMPUTED_VALUE"""),"145505;INF789F1ADV7;-;UTI - Fixed Term Income Fund Series XXX-XI (1246 Days) - Direct Plan - Growth Option;13.2615;26-Apr-2022")</f>
        <v>145505;INF789F1ADV7;-;UTI - Fixed Term Income Fund Series XXX-XI (1246 Days) - Direct Plan - Growth Option;13.2615;26-Apr-2022</v>
      </c>
      <c r="B15158" s="1"/>
    </row>
    <row r="15159">
      <c r="A15159" s="1" t="str">
        <f>IFERROR(__xludf.DUMMYFUNCTION("""COMPUTED_VALUE"""),"145512;INF789F1ADQ7;-;UTI - Fixed Term Income Fund Series XXX-XI (1246 Days) - Regular Plan - Growth Option;13.1039;26-Apr-2022")</f>
        <v>145512;INF789F1ADQ7;-;UTI - Fixed Term Income Fund Series XXX-XI (1246 Days) - Regular Plan - Growth Option;13.1039;26-Apr-2022</v>
      </c>
      <c r="B15159" s="1"/>
    </row>
    <row r="15160">
      <c r="A15160" s="1" t="str">
        <f>IFERROR(__xludf.DUMMYFUNCTION("""COMPUTED_VALUE"""),"145506;INF789F1ADX3;-;UTI Fixed Term Income Fund Series XXX-XI (1246 Days) - Direct Plan - Annual IDCW;10;26-Apr-2022")</f>
        <v>145506;INF789F1ADX3;-;UTI Fixed Term Income Fund Series XXX-XI (1246 Days) - Direct Plan - Annual IDCW;10;26-Apr-2022</v>
      </c>
      <c r="B15160" s="1"/>
    </row>
    <row r="15161">
      <c r="A15161" s="1" t="str">
        <f>IFERROR(__xludf.DUMMYFUNCTION("""COMPUTED_VALUE"""),"145511;INF789F1ADZ8;-;UTI Fixed Term Income Fund Series XXX-XI (1246 Days) - Direct Plan - Flexi IDCW;10;26-Apr-2022")</f>
        <v>145511;INF789F1ADZ8;-;UTI Fixed Term Income Fund Series XXX-XI (1246 Days) - Direct Plan - Flexi IDCW;10;26-Apr-2022</v>
      </c>
      <c r="B15161" s="1"/>
    </row>
    <row r="15162">
      <c r="A15162" s="1" t="str">
        <f>IFERROR(__xludf.DUMMYFUNCTION("""COMPUTED_VALUE"""),"145507;INF789F1ADY1;-;UTI Fixed Term Income Fund Series XXX-XI (1246 Days) - Direct Plan - Maturity IDCW;10;26-Apr-2022")</f>
        <v>145507;INF789F1ADY1;-;UTI Fixed Term Income Fund Series XXX-XI (1246 Days) - Direct Plan - Maturity IDCW;10;26-Apr-2022</v>
      </c>
      <c r="B15162" s="1"/>
    </row>
    <row r="15163">
      <c r="A15163" s="1" t="str">
        <f>IFERROR(__xludf.DUMMYFUNCTION("""COMPUTED_VALUE"""),"145513;INF789F1ADW5;-;UTI Fixed Term Income Fund Series XXX-XI (1246 Days) - Direct Plan - Quarterly IDCW;10;26-Apr-2022")</f>
        <v>145513;INF789F1ADW5;-;UTI Fixed Term Income Fund Series XXX-XI (1246 Days) - Direct Plan - Quarterly IDCW;10;26-Apr-2022</v>
      </c>
      <c r="B15163" s="1"/>
    </row>
    <row r="15164">
      <c r="A15164" s="1" t="str">
        <f>IFERROR(__xludf.DUMMYFUNCTION("""COMPUTED_VALUE"""),"145508;INF789F1ADS3;-;UTI Fixed Term Income Fund Series XXX-XI (1246 Days) - Regular Plan - Annual IDCW;10;26-Apr-2022")</f>
        <v>145508;INF789F1ADS3;-;UTI Fixed Term Income Fund Series XXX-XI (1246 Days) - Regular Plan - Annual IDCW;10;26-Apr-2022</v>
      </c>
      <c r="B15164" s="1"/>
    </row>
    <row r="15165">
      <c r="A15165" s="1" t="str">
        <f>IFERROR(__xludf.DUMMYFUNCTION("""COMPUTED_VALUE"""),"145514;INF789F1ADU9;-;UTI Fixed Term Income Fund Series XXX-XI (1246 Days) - Regular Plan - Flexi IDCW;10;26-Apr-2022")</f>
        <v>145514;INF789F1ADU9;-;UTI Fixed Term Income Fund Series XXX-XI (1246 Days) - Regular Plan - Flexi IDCW;10;26-Apr-2022</v>
      </c>
      <c r="B15165" s="1"/>
    </row>
    <row r="15166">
      <c r="A15166" s="1" t="str">
        <f>IFERROR(__xludf.DUMMYFUNCTION("""COMPUTED_VALUE"""),"145510;INF789F1ADR5;-;UTI Fixed Term Income Fund Series XXX-XI (1246 Days) - Regular Plan - Quarterly IDCW;10;26-Apr-2022")</f>
        <v>145510;INF789F1ADR5;-;UTI Fixed Term Income Fund Series XXX-XI (1246 Days) - Regular Plan - Quarterly IDCW;10;26-Apr-2022</v>
      </c>
      <c r="B15166" s="1"/>
    </row>
    <row r="15167">
      <c r="A15167" s="1" t="str">
        <f>IFERROR(__xludf.DUMMYFUNCTION("""COMPUTED_VALUE"""),"145553;INF789F1AEF8;-;UTI - Fixed Term Income Fund Series XXX-XII (1254 Days) - Direct Plan - Growth Option;13.1559;04-May-2022")</f>
        <v>145553;INF789F1AEF8;-;UTI - Fixed Term Income Fund Series XXX-XII (1254 Days) - Direct Plan - Growth Option;13.1559;04-May-2022</v>
      </c>
      <c r="B15167" s="1"/>
    </row>
    <row r="15168">
      <c r="A15168" s="1" t="str">
        <f>IFERROR(__xludf.DUMMYFUNCTION("""COMPUTED_VALUE"""),"145555;INF789F1AEA9;-;UTI - Fixed Term Income Fund Series XXX-XII (1254 Days) - Regular Plan - Growth Option;13.0209;04-May-2022")</f>
        <v>145555;INF789F1AEA9;-;UTI - Fixed Term Income Fund Series XXX-XII (1254 Days) - Regular Plan - Growth Option;13.0209;04-May-2022</v>
      </c>
      <c r="B15168" s="1"/>
    </row>
    <row r="15169">
      <c r="A15169" s="1" t="str">
        <f>IFERROR(__xludf.DUMMYFUNCTION("""COMPUTED_VALUE"""),"145556;INF789F1AEC5;-;UTI Fixed Term Income Fund Series XXX-XII (1254 Days) - Regular Plan - Annual IDCW;10;04-May-2022")</f>
        <v>145556;INF789F1AEC5;-;UTI Fixed Term Income Fund Series XXX-XII (1254 Days) - Regular Plan - Annual IDCW;10;04-May-2022</v>
      </c>
      <c r="B15169" s="1"/>
    </row>
    <row r="15170">
      <c r="A15170" s="1" t="str">
        <f>IFERROR(__xludf.DUMMYFUNCTION("""COMPUTED_VALUE"""),"145558;INF789F1AEE1;-;UTI Fixed Term Income Fund Series XXX-XII (1254 Days) - Regular Plan - Flexi IDCW;10;04-May-2022")</f>
        <v>145558;INF789F1AEE1;-;UTI Fixed Term Income Fund Series XXX-XII (1254 Days) - Regular Plan - Flexi IDCW;10;04-May-2022</v>
      </c>
      <c r="B15170" s="1"/>
    </row>
    <row r="15171">
      <c r="A15171" s="1" t="str">
        <f>IFERROR(__xludf.DUMMYFUNCTION("""COMPUTED_VALUE"""),"145557;INF789F1AED3;-;UTI Fixed Term Income Fund Series XXX-XII (1254 Days) - Regular Plan - Maturity IDCW;10;04-May-2022")</f>
        <v>145557;INF789F1AED3;-;UTI Fixed Term Income Fund Series XXX-XII (1254 Days) - Regular Plan - Maturity IDCW;10;04-May-2022</v>
      </c>
      <c r="B15171" s="1"/>
    </row>
    <row r="15172">
      <c r="A15172" s="1" t="str">
        <f>IFERROR(__xludf.DUMMYFUNCTION("""COMPUTED_VALUE"""),"145561;INF789F1AEB7;-;UTI Fixed Term Income Fund Series XXX-XII (1254 Days) - Regular Plan - Quarterly IDCW;10;04-May-2022")</f>
        <v>145561;INF789F1AEB7;-;UTI Fixed Term Income Fund Series XXX-XII (1254 Days) - Regular Plan - Quarterly IDCW;10;04-May-2022</v>
      </c>
      <c r="B15172" s="1"/>
    </row>
    <row r="15173">
      <c r="A15173" s="1" t="str">
        <f>IFERROR(__xludf.DUMMYFUNCTION("""COMPUTED_VALUE"""),"145654;INF789F1AEP7;-;UTI - Fixed Term Income Fund Series XXX-XIII (1224 Days) - Direct Plan - Growth Option;13.1517;19-Apr-2022")</f>
        <v>145654;INF789F1AEP7;-;UTI - Fixed Term Income Fund Series XXX-XIII (1224 Days) - Direct Plan - Growth Option;13.1517;19-Apr-2022</v>
      </c>
      <c r="B15173" s="1"/>
    </row>
    <row r="15174">
      <c r="A15174" s="1" t="str">
        <f>IFERROR(__xludf.DUMMYFUNCTION("""COMPUTED_VALUE"""),"145650;INF789F1AEK8;-;UTI - Fixed Term Income Fund Series XXX-XIII (1224 Days) - Regular Plan - Growth Option;12.9982;19-Apr-2022")</f>
        <v>145650;INF789F1AEK8;-;UTI - Fixed Term Income Fund Series XXX-XIII (1224 Days) - Regular Plan - Growth Option;12.9982;19-Apr-2022</v>
      </c>
      <c r="B15174" s="1"/>
    </row>
    <row r="15175">
      <c r="A15175" s="1" t="str">
        <f>IFERROR(__xludf.DUMMYFUNCTION("""COMPUTED_VALUE"""),"145655;INF789F1AER3;-;UTI Fixed Term Income Fund Series XXX-XIII (1224 Days) - Direct Plan - Annual IDCW;10;19-Apr-2022")</f>
        <v>145655;INF789F1AER3;-;UTI Fixed Term Income Fund Series XXX-XIII (1224 Days) - Direct Plan - Annual IDCW;10;19-Apr-2022</v>
      </c>
      <c r="B15175" s="1"/>
    </row>
    <row r="15176">
      <c r="A15176" s="1" t="str">
        <f>IFERROR(__xludf.DUMMYFUNCTION("""COMPUTED_VALUE"""),"145653;INF789F1AES1;-;UTI Fixed Term Income Fund Series XXX-XIII (1224 Days) - Direct Plan - Maturity IDCW;10;19-Apr-2022")</f>
        <v>145653;INF789F1AES1;-;UTI Fixed Term Income Fund Series XXX-XIII (1224 Days) - Direct Plan - Maturity IDCW;10;19-Apr-2022</v>
      </c>
      <c r="B15176" s="1"/>
    </row>
    <row r="15177">
      <c r="A15177" s="1" t="str">
        <f>IFERROR(__xludf.DUMMYFUNCTION("""COMPUTED_VALUE"""),"145651;INF789F1AEM4;-;UTI Fixed Term Income Fund Series XXX-XIII (1224 Days) - Regular Plan - Annual IDCW;10;19-Apr-2022")</f>
        <v>145651;INF789F1AEM4;-;UTI Fixed Term Income Fund Series XXX-XIII (1224 Days) - Regular Plan - Annual IDCW;10;19-Apr-2022</v>
      </c>
      <c r="B15177" s="1"/>
    </row>
    <row r="15178">
      <c r="A15178" s="1" t="str">
        <f>IFERROR(__xludf.DUMMYFUNCTION("""COMPUTED_VALUE"""),"145658;INF789F1AEO0;-;UTI Fixed Term Income Fund Series XXX-XIII (1224 Days) - Regular Plan - Flexi IDCW;10;19-Apr-2022")</f>
        <v>145658;INF789F1AEO0;-;UTI Fixed Term Income Fund Series XXX-XIII (1224 Days) - Regular Plan - Flexi IDCW;10;19-Apr-2022</v>
      </c>
      <c r="B15178" s="1"/>
    </row>
    <row r="15179">
      <c r="A15179" s="1" t="str">
        <f>IFERROR(__xludf.DUMMYFUNCTION("""COMPUTED_VALUE"""),"145657;INF789F1AEN2;-;UTI Fixed Term Income Fund Series XXX-XIII (1224 Days) - Regular Plan - Maturity IDCW;10;19-Apr-2022")</f>
        <v>145657;INF789F1AEN2;-;UTI Fixed Term Income Fund Series XXX-XIII (1224 Days) - Regular Plan - Maturity IDCW;10;19-Apr-2022</v>
      </c>
      <c r="B15179" s="1"/>
    </row>
    <row r="15180">
      <c r="A15180" s="1" t="str">
        <f>IFERROR(__xludf.DUMMYFUNCTION("""COMPUTED_VALUE"""),"145652;INF789F1AEL6;-;UTI Fixed Term Income Fund Series XXX-XIII (1224 Days) - Regular Plan - Quarterly IDCW;10;19-Apr-2022")</f>
        <v>145652;INF789F1AEL6;-;UTI Fixed Term Income Fund Series XXX-XIII (1224 Days) - Regular Plan - Quarterly IDCW;10;19-Apr-2022</v>
      </c>
      <c r="B15180" s="1"/>
    </row>
    <row r="15181">
      <c r="A15181" s="1" t="str">
        <f>IFERROR(__xludf.DUMMYFUNCTION("""COMPUTED_VALUE"""),"145838;INF789F1AEZ6;-;UTI - Fixed Term Income Fund Series XXX-XIV (1209 Days) - Direct Plan - Growth Option;13.1348;19-Apr-2022")</f>
        <v>145838;INF789F1AEZ6;-;UTI - Fixed Term Income Fund Series XXX-XIV (1209 Days) - Direct Plan - Growth Option;13.1348;19-Apr-2022</v>
      </c>
      <c r="B15181" s="1"/>
    </row>
    <row r="15182">
      <c r="A15182" s="1" t="str">
        <f>IFERROR(__xludf.DUMMYFUNCTION("""COMPUTED_VALUE"""),"145842;INF789F1AEU7;-;UTI - Fixed Term Income Fund Series XXX-XIV (1209 Days) - Regular Plan - Growth Option;12.9832;19-Apr-2022")</f>
        <v>145842;INF789F1AEU7;-;UTI - Fixed Term Income Fund Series XXX-XIV (1209 Days) - Regular Plan - Growth Option;12.9832;19-Apr-2022</v>
      </c>
      <c r="B15182" s="1"/>
    </row>
    <row r="15183">
      <c r="A15183" s="1" t="str">
        <f>IFERROR(__xludf.DUMMYFUNCTION("""COMPUTED_VALUE"""),"145835;INF789F1AFB4;-;UTI Fixed Term Income Fund Series XXX-XIV (1209 Days) - Direct Plan - Annual IDCW;10;19-Apr-2022")</f>
        <v>145835;INF789F1AFB4;-;UTI Fixed Term Income Fund Series XXX-XIV (1209 Days) - Direct Plan - Annual IDCW;10;19-Apr-2022</v>
      </c>
      <c r="B15183" s="1"/>
    </row>
    <row r="15184">
      <c r="A15184" s="1" t="str">
        <f>IFERROR(__xludf.DUMMYFUNCTION("""COMPUTED_VALUE"""),"145840;INF789F1AFC2;-;UTI Fixed Term Income Fund Series XXX-XIV (1209 Days) - Direct Plan - Maturity IDCW;10;19-Apr-2022")</f>
        <v>145840;INF789F1AFC2;-;UTI Fixed Term Income Fund Series XXX-XIV (1209 Days) - Direct Plan - Maturity IDCW;10;19-Apr-2022</v>
      </c>
      <c r="B15184" s="1"/>
    </row>
    <row r="15185">
      <c r="A15185" s="1" t="str">
        <f>IFERROR(__xludf.DUMMYFUNCTION("""COMPUTED_VALUE"""),"145839;INF789F1AFA6;-;UTI Fixed Term Income Fund Series XXX-XIV (1209 Days) - Direct Plan - Quarterly IDCW;10;19-Apr-2022")</f>
        <v>145839;INF789F1AFA6;-;UTI Fixed Term Income Fund Series XXX-XIV (1209 Days) - Direct Plan - Quarterly IDCW;10;19-Apr-2022</v>
      </c>
      <c r="B15185" s="1"/>
    </row>
    <row r="15186">
      <c r="A15186" s="1" t="str">
        <f>IFERROR(__xludf.DUMMYFUNCTION("""COMPUTED_VALUE"""),"145836;INF789F1AEW3;-;UTI Fixed Term Income Fund Series XXX-XIV (1209 Days) - Regular Plan - Annual IDCW;10;19-Apr-2022")</f>
        <v>145836;INF789F1AEW3;-;UTI Fixed Term Income Fund Series XXX-XIV (1209 Days) - Regular Plan - Annual IDCW;10;19-Apr-2022</v>
      </c>
      <c r="B15186" s="1"/>
    </row>
    <row r="15187">
      <c r="A15187" s="1" t="str">
        <f>IFERROR(__xludf.DUMMYFUNCTION("""COMPUTED_VALUE"""),"145837;INF789F1AEY9;-;UTI Fixed Term Income Fund Series XXX-XIV (1209 Days) - Regular Plan - Flexi IDCW;10;19-Apr-2022")</f>
        <v>145837;INF789F1AEY9;-;UTI Fixed Term Income Fund Series XXX-XIV (1209 Days) - Regular Plan - Flexi IDCW;10;19-Apr-2022</v>
      </c>
      <c r="B15187" s="1"/>
    </row>
    <row r="15188">
      <c r="A15188" s="1" t="str">
        <f>IFERROR(__xludf.DUMMYFUNCTION("""COMPUTED_VALUE"""),"145844;INF789F1AEX1;-;UTI Fixed Term Income Fund Series XXX-XIV (1209 Days) - Regular Plan - Maturity IDCW;10;19-Apr-2022")</f>
        <v>145844;INF789F1AEX1;-;UTI Fixed Term Income Fund Series XXX-XIV (1209 Days) - Regular Plan - Maturity IDCW;10;19-Apr-2022</v>
      </c>
      <c r="B15188" s="1"/>
    </row>
    <row r="15189">
      <c r="A15189" s="1" t="str">
        <f>IFERROR(__xludf.DUMMYFUNCTION("""COMPUTED_VALUE"""),"145843;INF789F1AEV5;-;UTI Fixed Term Income Fund Series XXX-XIV (1209 Days) - Regular Plan - Quarterly IDCW;10;19-Apr-2022")</f>
        <v>145843;INF789F1AEV5;-;UTI Fixed Term Income Fund Series XXX-XIV (1209 Days) - Regular Plan - Quarterly IDCW;10;19-Apr-2022</v>
      </c>
      <c r="B15189" s="1"/>
    </row>
    <row r="15190">
      <c r="A15190" s="1" t="str">
        <f>IFERROR(__xludf.DUMMYFUNCTION("""COMPUTED_VALUE"""),"145845;INF789F1AFJ7;-;UTI - Fixed Term Income Fund Series XXX-XV (1223 Days) - Direct Plan - Growth Option;12.9412;19-Apr-2022")</f>
        <v>145845;INF789F1AFJ7;-;UTI - Fixed Term Income Fund Series XXX-XV (1223 Days) - Direct Plan - Growth Option;12.9412;19-Apr-2022</v>
      </c>
      <c r="B15190" s="1"/>
    </row>
    <row r="15191">
      <c r="A15191" s="1" t="str">
        <f>IFERROR(__xludf.DUMMYFUNCTION("""COMPUTED_VALUE"""),"145848;INF789F1AFE8;-;UTI - Fixed Term Income Fund Series XXX-XV (1223 Days) - Regular Plan - Growth Option;12.8331;19-Apr-2022")</f>
        <v>145848;INF789F1AFE8;-;UTI - Fixed Term Income Fund Series XXX-XV (1223 Days) - Regular Plan - Growth Option;12.8331;19-Apr-2022</v>
      </c>
      <c r="B15191" s="1"/>
    </row>
    <row r="15192">
      <c r="A15192" s="1" t="str">
        <f>IFERROR(__xludf.DUMMYFUNCTION("""COMPUTED_VALUE"""),"145851;INF789F1AFF5;-;UTI Fixed Term Income Fund Series XXX-XV (1223 Days) - Regular Plan - Quarterly IDCW;10;19-Apr-2022")</f>
        <v>145851;INF789F1AFF5;-;UTI Fixed Term Income Fund Series XXX-XV (1223 Days) - Regular Plan - Quarterly IDCW;10;19-Apr-2022</v>
      </c>
      <c r="B15192" s="1"/>
    </row>
    <row r="15193">
      <c r="A15193" s="1" t="str">
        <f>IFERROR(__xludf.DUMMYFUNCTION("""COMPUTED_VALUE"""),"145939;INF789F1AFT6;-;UTI - Fixed Term Income Fund Series XXXI-I (1209 Days) - Direct Plan - Growth Option;12.8898;19-Apr-2022")</f>
        <v>145939;INF789F1AFT6;-;UTI - Fixed Term Income Fund Series XXXI-I (1209 Days) - Direct Plan - Growth Option;12.8898;19-Apr-2022</v>
      </c>
      <c r="B15193" s="1"/>
    </row>
    <row r="15194">
      <c r="A15194" s="1" t="str">
        <f>IFERROR(__xludf.DUMMYFUNCTION("""COMPUTED_VALUE"""),"145940;INF789F1AFO7;-;UTI - Fixed Term Income Fund Series XXXI-I (1209 Days) - Regular Plan - Growth Option;12.7752;19-Apr-2022")</f>
        <v>145940;INF789F1AFO7;-;UTI - Fixed Term Income Fund Series XXXI-I (1209 Days) - Regular Plan - Growth Option;12.7752;19-Apr-2022</v>
      </c>
      <c r="B15194" s="1"/>
    </row>
    <row r="15195">
      <c r="A15195" s="1" t="str">
        <f>IFERROR(__xludf.DUMMYFUNCTION("""COMPUTED_VALUE"""),"145941;INF789F1AFU4;-;UTI Fixed Term Income Fund Series XXXI-I (1209 Days) - Direct Plan - Quarterly IDCW;10;19-Apr-2022")</f>
        <v>145941;INF789F1AFU4;-;UTI Fixed Term Income Fund Series XXXI-I (1209 Days) - Direct Plan - Quarterly IDCW;10;19-Apr-2022</v>
      </c>
      <c r="B15195" s="1"/>
    </row>
    <row r="15196">
      <c r="A15196" s="1" t="str">
        <f>IFERROR(__xludf.DUMMYFUNCTION("""COMPUTED_VALUE"""),"145936;INF789F1AFR0;-;UTI Fixed Term Income Fund Series XXXI-I (1209 Days) - Regular Plan - Maturity IDCW;10;19-Apr-2022")</f>
        <v>145936;INF789F1AFR0;-;UTI Fixed Term Income Fund Series XXXI-I (1209 Days) - Regular Plan - Maturity IDCW;10;19-Apr-2022</v>
      </c>
      <c r="B15196" s="1"/>
    </row>
    <row r="15197">
      <c r="A15197" s="1" t="str">
        <f>IFERROR(__xludf.DUMMYFUNCTION("""COMPUTED_VALUE"""),"145935;INF789F1AFP4;-;UTI Fixed Term Income Fund Series XXXI-I (1209 Days) - Regular Plan - Quarterly IDCW;10;19-Apr-2022")</f>
        <v>145935;INF789F1AFP4;-;UTI Fixed Term Income Fund Series XXXI-I (1209 Days) - Regular Plan - Quarterly IDCW;10;19-Apr-2022</v>
      </c>
      <c r="B15197" s="1"/>
    </row>
    <row r="15198">
      <c r="A15198" s="1" t="str">
        <f>IFERROR(__xludf.DUMMYFUNCTION("""COMPUTED_VALUE"""),"146037;INF789F1AGE6;-;UTI - Fixed Term Income Fund Series XXXI-II (1222 Days) - Direct Plan - Growth Option;13.1941;24-May-2022")</f>
        <v>146037;INF789F1AGE6;-;UTI - Fixed Term Income Fund Series XXXI-II (1222 Days) - Direct Plan - Growth Option;13.1941;24-May-2022</v>
      </c>
      <c r="B15198" s="1"/>
    </row>
    <row r="15199">
      <c r="A15199" s="1" t="str">
        <f>IFERROR(__xludf.DUMMYFUNCTION("""COMPUTED_VALUE"""),"146031;INF789F1AFY6;-;UTI - Fixed Term Income Fund Series XXXI-II (1222 Days) - Regular Plan - Growth Option;13.0375;24-May-2022")</f>
        <v>146031;INF789F1AFY6;-;UTI - Fixed Term Income Fund Series XXXI-II (1222 Days) - Regular Plan - Growth Option;13.0375;24-May-2022</v>
      </c>
      <c r="B15199" s="1"/>
    </row>
    <row r="15200">
      <c r="A15200" s="1" t="str">
        <f>IFERROR(__xludf.DUMMYFUNCTION("""COMPUTED_VALUE"""),"146039;INF789F1AGG1;-;UTI Fixed Term Income Fund Series XXXI-II (1222 Days) - Direct Plan - Annual IDCW;10;24-May-2022")</f>
        <v>146039;INF789F1AGG1;-;UTI Fixed Term Income Fund Series XXXI-II (1222 Days) - Direct Plan - Annual IDCW;10;24-May-2022</v>
      </c>
      <c r="B15200" s="1"/>
    </row>
    <row r="15201">
      <c r="A15201" s="1" t="str">
        <f>IFERROR(__xludf.DUMMYFUNCTION("""COMPUTED_VALUE"""),"146036;INF789F1AGI7;-;UTI Fixed Term Income Fund Series XXXI-II (1222 Days) - Direct Plan - Flexi IDCW;10;24-May-2022")</f>
        <v>146036;INF789F1AGI7;-;UTI Fixed Term Income Fund Series XXXI-II (1222 Days) - Direct Plan - Flexi IDCW;10;24-May-2022</v>
      </c>
      <c r="B15201" s="1"/>
    </row>
    <row r="15202">
      <c r="A15202" s="1" t="str">
        <f>IFERROR(__xludf.DUMMYFUNCTION("""COMPUTED_VALUE"""),"146040;INF789F1AGH9;-;UTI Fixed Term Income Fund Series XXXI-II (1222 Days) - Direct Plan - Maturity IDCW;10;24-May-2022")</f>
        <v>146040;INF789F1AGH9;-;UTI Fixed Term Income Fund Series XXXI-II (1222 Days) - Direct Plan - Maturity IDCW;10;24-May-2022</v>
      </c>
      <c r="B15202" s="1"/>
    </row>
    <row r="15203">
      <c r="A15203" s="1" t="str">
        <f>IFERROR(__xludf.DUMMYFUNCTION("""COMPUTED_VALUE"""),"146033;INF789F1AGF3;-;UTI Fixed Term Income Fund Series XXXI-II (1222 Days) - Direct Plan - Quarterly IDCW;10;24-May-2022")</f>
        <v>146033;INF789F1AGF3;-;UTI Fixed Term Income Fund Series XXXI-II (1222 Days) - Direct Plan - Quarterly IDCW;10;24-May-2022</v>
      </c>
      <c r="B15203" s="1"/>
    </row>
    <row r="15204">
      <c r="A15204" s="1" t="str">
        <f>IFERROR(__xludf.DUMMYFUNCTION("""COMPUTED_VALUE"""),"146035;INF789F1AGB2;-;UTI Fixed Term Income Fund Series XXXI-II (1222 Days) - Regular Plan - Annual IDCW;10;24-May-2022")</f>
        <v>146035;INF789F1AGB2;-;UTI Fixed Term Income Fund Series XXXI-II (1222 Days) - Regular Plan - Annual IDCW;10;24-May-2022</v>
      </c>
      <c r="B15204" s="1"/>
    </row>
    <row r="15205">
      <c r="A15205" s="1" t="str">
        <f>IFERROR(__xludf.DUMMYFUNCTION("""COMPUTED_VALUE"""),"146032;INF789F1AGD8;-;UTI Fixed Term Income Fund Series XXXI-II (1222 Days) - Regular Plan - Flexi IDCW;10;24-May-2022")</f>
        <v>146032;INF789F1AGD8;-;UTI Fixed Term Income Fund Series XXXI-II (1222 Days) - Regular Plan - Flexi IDCW;10;24-May-2022</v>
      </c>
      <c r="B15205" s="1"/>
    </row>
    <row r="15206">
      <c r="A15206" s="1" t="str">
        <f>IFERROR(__xludf.DUMMYFUNCTION("""COMPUTED_VALUE"""),"146034;INF789F1AGC0;-;UTI Fixed Term Income Fund Series XXXI-II (1222 Days) - Regular Plan - Maturity IDCW;10;24-May-2022")</f>
        <v>146034;INF789F1AGC0;-;UTI Fixed Term Income Fund Series XXXI-II (1222 Days) - Regular Plan - Maturity IDCW;10;24-May-2022</v>
      </c>
      <c r="B15206" s="1"/>
    </row>
    <row r="15207">
      <c r="A15207" s="1" t="str">
        <f>IFERROR(__xludf.DUMMYFUNCTION("""COMPUTED_VALUE"""),"146038;INF789F1AFZ3;-;UTI Fixed Term Income Fund Series XXXI-II (1222 Days) - Regular Plan - Quarterly IDCW;10;24-May-2022")</f>
        <v>146038;INF789F1AFZ3;-;UTI Fixed Term Income Fund Series XXXI-II (1222 Days) - Regular Plan - Quarterly IDCW;10;24-May-2022</v>
      </c>
      <c r="B15207" s="1"/>
    </row>
    <row r="15208">
      <c r="A15208" s="1" t="str">
        <f>IFERROR(__xludf.DUMMYFUNCTION("""COMPUTED_VALUE"""),"146245;INF789F1AGS6;-;UTI - Fixed Term Income Fund Series XXXI-III (1174 Days) - Direct Plan - Growth Option;12.7787;19-Apr-2022")</f>
        <v>146245;INF789F1AGS6;-;UTI - Fixed Term Income Fund Series XXXI-III (1174 Days) - Direct Plan - Growth Option;12.7787;19-Apr-2022</v>
      </c>
      <c r="B15208" s="1"/>
    </row>
    <row r="15209">
      <c r="A15209" s="1" t="str">
        <f>IFERROR(__xludf.DUMMYFUNCTION("""COMPUTED_VALUE"""),"146247;INF789F1AGN7;-;UTI - Fixed Term Income Fund Series XXXI-III (1174 Days) - Regular Plan - Growth Option;12.6763;19-Apr-2022")</f>
        <v>146247;INF789F1AGN7;-;UTI - Fixed Term Income Fund Series XXXI-III (1174 Days) - Regular Plan - Growth Option;12.6763;19-Apr-2022</v>
      </c>
      <c r="B15209" s="1"/>
    </row>
    <row r="15210">
      <c r="A15210" s="1" t="str">
        <f>IFERROR(__xludf.DUMMYFUNCTION("""COMPUTED_VALUE"""),"146246;INF789F1AGU2;-;UTI Fixed Term Income Fund Series XXXI-III (1174 Days) - Direct Plan - Annual IDCW;10;19-Apr-2022")</f>
        <v>146246;INF789F1AGU2;-;UTI Fixed Term Income Fund Series XXXI-III (1174 Days) - Direct Plan - Annual IDCW;10;19-Apr-2022</v>
      </c>
      <c r="B15210" s="1"/>
    </row>
    <row r="15211">
      <c r="A15211" s="1" t="str">
        <f>IFERROR(__xludf.DUMMYFUNCTION("""COMPUTED_VALUE"""),"146243;INF789F1AGV0;-;UTI Fixed Term Income Fund Series XXXI-III (1174 Days) - Direct Plan - Maturity IDCW;10;19-Apr-2022")</f>
        <v>146243;INF789F1AGV0;-;UTI Fixed Term Income Fund Series XXXI-III (1174 Days) - Direct Plan - Maturity IDCW;10;19-Apr-2022</v>
      </c>
      <c r="B15211" s="1"/>
    </row>
    <row r="15212">
      <c r="A15212" s="1" t="str">
        <f>IFERROR(__xludf.DUMMYFUNCTION("""COMPUTED_VALUE"""),"146239;INF789F1AGT4;-;UTI Fixed Term Income Fund Series XXXI-III (1174 Days) - Direct Plan - Quarterly IDCW;10;19-Apr-2022")</f>
        <v>146239;INF789F1AGT4;-;UTI Fixed Term Income Fund Series XXXI-III (1174 Days) - Direct Plan - Quarterly IDCW;10;19-Apr-2022</v>
      </c>
      <c r="B15212" s="1"/>
    </row>
    <row r="15213">
      <c r="A15213" s="1" t="str">
        <f>IFERROR(__xludf.DUMMYFUNCTION("""COMPUTED_VALUE"""),"146248;INF789F1AGP2;-;UTI Fixed Term Income Fund Series XXXI-III (1174 Days) - Regular Plan - Annual IDCW;10;19-Apr-2022")</f>
        <v>146248;INF789F1AGP2;-;UTI Fixed Term Income Fund Series XXXI-III (1174 Days) - Regular Plan - Annual IDCW;10;19-Apr-2022</v>
      </c>
      <c r="B15213" s="1"/>
    </row>
    <row r="15214">
      <c r="A15214" s="1" t="str">
        <f>IFERROR(__xludf.DUMMYFUNCTION("""COMPUTED_VALUE"""),"146244;INF789F1AGR8;-;UTI Fixed Term Income Fund Series XXXI-III (1174 Days) - Regular Plan - Flexi IDCW;10;19-Apr-2022")</f>
        <v>146244;INF789F1AGR8;-;UTI Fixed Term Income Fund Series XXXI-III (1174 Days) - Regular Plan - Flexi IDCW;10;19-Apr-2022</v>
      </c>
      <c r="B15214" s="1"/>
    </row>
    <row r="15215">
      <c r="A15215" s="1" t="str">
        <f>IFERROR(__xludf.DUMMYFUNCTION("""COMPUTED_VALUE"""),"146242;INF789F1AGQ0;-;UTI Fixed Term Income Fund Series XXXI-III (1174 Days) - Regular Plan - Maturity IDCW;10;19-Apr-2022")</f>
        <v>146242;INF789F1AGQ0;-;UTI Fixed Term Income Fund Series XXXI-III (1174 Days) - Regular Plan - Maturity IDCW;10;19-Apr-2022</v>
      </c>
      <c r="B15215" s="1"/>
    </row>
    <row r="15216">
      <c r="A15216" s="1" t="str">
        <f>IFERROR(__xludf.DUMMYFUNCTION("""COMPUTED_VALUE"""),"146241;INF789F1AGO5;-;UTI Fixed Term Income Fund Series XXXI-III (1174 Days) - Regular Plan - Quarterly IDCW;10;19-Apr-2022")</f>
        <v>146241;INF789F1AGO5;-;UTI Fixed Term Income Fund Series XXXI-III (1174 Days) - Regular Plan - Quarterly IDCW;10;19-Apr-2022</v>
      </c>
      <c r="B15216" s="1"/>
    </row>
    <row r="15217">
      <c r="A15217" s="1" t="str">
        <f>IFERROR(__xludf.DUMMYFUNCTION("""COMPUTED_VALUE"""),"146261;INF789F1AHB0;-;UTI - Fixed Term Income Fund Series XXXI-IV (1204 Days) - Direct Plan - Growth Option;13.1475;24-May-2022")</f>
        <v>146261;INF789F1AHB0;-;UTI - Fixed Term Income Fund Series XXXI-IV (1204 Days) - Direct Plan - Growth Option;13.1475;24-May-2022</v>
      </c>
      <c r="B15217" s="1"/>
    </row>
    <row r="15218">
      <c r="A15218" s="1" t="str">
        <f>IFERROR(__xludf.DUMMYFUNCTION("""COMPUTED_VALUE"""),"146264;INF789F1AGX6;-;UTI - Fixed Term Income Fund Series XXXI-IV (1204 Days) - Regular Plan - Growth Option;12.9965;24-May-2022")</f>
        <v>146264;INF789F1AGX6;-;UTI - Fixed Term Income Fund Series XXXI-IV (1204 Days) - Regular Plan - Growth Option;12.9965;24-May-2022</v>
      </c>
      <c r="B15218" s="1"/>
    </row>
    <row r="15219">
      <c r="A15219" s="1" t="str">
        <f>IFERROR(__xludf.DUMMYFUNCTION("""COMPUTED_VALUE"""),"146262;INF789F1AHD6;-;UTI Fixed Term Income Fund Series XXXI-IV (1204 Days) - Direct Plan - Annual IDCW;10;24-May-2022")</f>
        <v>146262;INF789F1AHD6;-;UTI Fixed Term Income Fund Series XXXI-IV (1204 Days) - Direct Plan - Annual IDCW;10;24-May-2022</v>
      </c>
      <c r="B15219" s="1"/>
    </row>
    <row r="15220">
      <c r="A15220" s="1" t="str">
        <f>IFERROR(__xludf.DUMMYFUNCTION("""COMPUTED_VALUE"""),"146263;INF789F1AHF1;-;UTI Fixed Term Income Fund Series XXXI-IV (1204 Days) - Direct Plan - Flexi IDCW;10;24-May-2022")</f>
        <v>146263;INF789F1AHF1;-;UTI Fixed Term Income Fund Series XXXI-IV (1204 Days) - Direct Plan - Flexi IDCW;10;24-May-2022</v>
      </c>
      <c r="B15220" s="1"/>
    </row>
    <row r="15221">
      <c r="A15221" s="1" t="str">
        <f>IFERROR(__xludf.DUMMYFUNCTION("""COMPUTED_VALUE"""),"146268;INF789F1AHE4;-;UTI Fixed Term Income Fund Series XXXI-IV (1204 Days) - Direct Plan - Maturity IDCW;10;24-May-2022")</f>
        <v>146268;INF789F1AHE4;-;UTI Fixed Term Income Fund Series XXXI-IV (1204 Days) - Direct Plan - Maturity IDCW;10;24-May-2022</v>
      </c>
      <c r="B15221" s="1"/>
    </row>
    <row r="15222">
      <c r="A15222" s="1" t="str">
        <f>IFERROR(__xludf.DUMMYFUNCTION("""COMPUTED_VALUE"""),"146270;INF789F1AHC8;-;UTI Fixed Term Income Fund Series XXXI-IV (1204 Days) - Direct Plan - Quarterly IDCW;10;24-May-2022")</f>
        <v>146270;INF789F1AHC8;-;UTI Fixed Term Income Fund Series XXXI-IV (1204 Days) - Direct Plan - Quarterly IDCW;10;24-May-2022</v>
      </c>
      <c r="B15222" s="1"/>
    </row>
    <row r="15223">
      <c r="A15223" s="1" t="str">
        <f>IFERROR(__xludf.DUMMYFUNCTION("""COMPUTED_VALUE"""),"146269;INF789F1AGY4;-;UTI Fixed Term Income Fund Series XXXI-IV (1204 Days) - Regular Plan - Annual IDCW;10;24-May-2022")</f>
        <v>146269;INF789F1AGY4;-;UTI Fixed Term Income Fund Series XXXI-IV (1204 Days) - Regular Plan - Annual IDCW;10;24-May-2022</v>
      </c>
      <c r="B15223" s="1"/>
    </row>
    <row r="15224">
      <c r="A15224" s="1" t="str">
        <f>IFERROR(__xludf.DUMMYFUNCTION("""COMPUTED_VALUE"""),"146266;INF789F1AGZ1;-;UTI Fixed Term Income Fund Series XXXI-IV (1204 Days) - Regular Plan - Maturity IDCW;10;24-May-2022")</f>
        <v>146266;INF789F1AGZ1;-;UTI Fixed Term Income Fund Series XXXI-IV (1204 Days) - Regular Plan - Maturity IDCW;10;24-May-2022</v>
      </c>
      <c r="B15224" s="1"/>
    </row>
    <row r="15225">
      <c r="A15225" s="1" t="str">
        <f>IFERROR(__xludf.DUMMYFUNCTION("""COMPUTED_VALUE"""),"146265;INF789F1AHG9;-;UTI Fixed Term Income Fund Series XXXI-IV (1204 Days) - Regular Plan - Quarterly IDCW;10;24-May-2022")</f>
        <v>146265;INF789F1AHG9;-;UTI Fixed Term Income Fund Series XXXI-IV (1204 Days) - Regular Plan - Quarterly IDCW;10;24-May-2022</v>
      </c>
      <c r="B15225" s="1"/>
    </row>
    <row r="15226">
      <c r="A15226" s="1" t="str">
        <f>IFERROR(__xludf.DUMMYFUNCTION("""COMPUTED_VALUE"""),"146863;INF789F1AJB6;-;UTI - Fixed Term Income Fund Series XXXI-IX (1168 Days) - Direct Plan - Growth Option;12.9603;07-Jun-2022")</f>
        <v>146863;INF789F1AJB6;-;UTI - Fixed Term Income Fund Series XXXI-IX (1168 Days) - Direct Plan - Growth Option;12.9603;07-Jun-2022</v>
      </c>
      <c r="B15226" s="1"/>
    </row>
    <row r="15227">
      <c r="A15227" s="1" t="str">
        <f>IFERROR(__xludf.DUMMYFUNCTION("""COMPUTED_VALUE"""),"146862;INF789F1AIW4;-;UTI - Fixed Term Income Fund Series XXXI-IX (1168 Days) - Regular Plan - Growth Option;12.8141;07-Jun-2022")</f>
        <v>146862;INF789F1AIW4;-;UTI - Fixed Term Income Fund Series XXXI-IX (1168 Days) - Regular Plan - Growth Option;12.8141;07-Jun-2022</v>
      </c>
      <c r="B15227" s="1"/>
    </row>
    <row r="15228">
      <c r="A15228" s="1" t="str">
        <f>IFERROR(__xludf.DUMMYFUNCTION("""COMPUTED_VALUE"""),"146864;INF789F1AJD2;-;UTI Fixed Term Income Fund Series XXXI-IX (1168 Days) - Direct Plan - Annual IDCW;10;07-Jun-2022")</f>
        <v>146864;INF789F1AJD2;-;UTI Fixed Term Income Fund Series XXXI-IX (1168 Days) - Direct Plan - Annual IDCW;10;07-Jun-2022</v>
      </c>
      <c r="B15228" s="1"/>
    </row>
    <row r="15229">
      <c r="A15229" s="1" t="str">
        <f>IFERROR(__xludf.DUMMYFUNCTION("""COMPUTED_VALUE"""),"146859;INF789F1AJF7;-;UTI Fixed Term Income Fund Series XXXI-IX (1168 Days) - Direct Plan - Flexi IDCW;10;07-Jun-2022")</f>
        <v>146859;INF789F1AJF7;-;UTI Fixed Term Income Fund Series XXXI-IX (1168 Days) - Direct Plan - Flexi IDCW;10;07-Jun-2022</v>
      </c>
      <c r="B15229" s="1"/>
    </row>
    <row r="15230">
      <c r="A15230" s="1" t="str">
        <f>IFERROR(__xludf.DUMMYFUNCTION("""COMPUTED_VALUE"""),"146858;INF789F1AJE0;-;UTI Fixed Term Income Fund Series XXXI-IX (1168 Days) - Direct Plan - Maturity IDCW;10;07-Jun-2022")</f>
        <v>146858;INF789F1AJE0;-;UTI Fixed Term Income Fund Series XXXI-IX (1168 Days) - Direct Plan - Maturity IDCW;10;07-Jun-2022</v>
      </c>
      <c r="B15230" s="1"/>
    </row>
    <row r="15231">
      <c r="A15231" s="1" t="str">
        <f>IFERROR(__xludf.DUMMYFUNCTION("""COMPUTED_VALUE"""),"146857;INF789F1AJC4;-;UTI Fixed Term Income Fund Series XXXI-IX (1168 Days) - Direct Plan - Quarterly IDCW;10;07-Jun-2022")</f>
        <v>146857;INF789F1AJC4;-;UTI Fixed Term Income Fund Series XXXI-IX (1168 Days) - Direct Plan - Quarterly IDCW;10;07-Jun-2022</v>
      </c>
      <c r="B15231" s="1"/>
    </row>
    <row r="15232">
      <c r="A15232" s="1" t="str">
        <f>IFERROR(__xludf.DUMMYFUNCTION("""COMPUTED_VALUE"""),"146860;INF789F1AIY0;-;UTI Fixed Term Income Fund Series XXXI-IX (1168 Days) - Regular Plan - Annual IDCW;10;07-Jun-2022")</f>
        <v>146860;INF789F1AIY0;-;UTI Fixed Term Income Fund Series XXXI-IX (1168 Days) - Regular Plan - Annual IDCW;10;07-Jun-2022</v>
      </c>
      <c r="B15232" s="1"/>
    </row>
    <row r="15233">
      <c r="A15233" s="1" t="str">
        <f>IFERROR(__xludf.DUMMYFUNCTION("""COMPUTED_VALUE"""),"146865;INF789F1AIZ7;-;UTI Fixed Term Income Fund Series XXXI-IX (1168 Days) - Regular Plan - Maturity IDCW;10;07-Jun-2022")</f>
        <v>146865;INF789F1AIZ7;-;UTI Fixed Term Income Fund Series XXXI-IX (1168 Days) - Regular Plan - Maturity IDCW;10;07-Jun-2022</v>
      </c>
      <c r="B15233" s="1"/>
    </row>
    <row r="15234">
      <c r="A15234" s="1" t="str">
        <f>IFERROR(__xludf.DUMMYFUNCTION("""COMPUTED_VALUE"""),"146861;INF789F1AIX2;-;UTI Fixed Term Income Fund Series XXXI-IX (1168 Days) - Regular Plan - Quarterly IDCW;10;07-Jun-2022")</f>
        <v>146861;INF789F1AIX2;-;UTI Fixed Term Income Fund Series XXXI-IX (1168 Days) - Regular Plan - Quarterly IDCW;10;07-Jun-2022</v>
      </c>
      <c r="B15234" s="1"/>
    </row>
    <row r="15235">
      <c r="A15235" s="1" t="str">
        <f>IFERROR(__xludf.DUMMYFUNCTION("""COMPUTED_VALUE"""),"146475;INF789F1AHM7;-;UTI - Fixed Term Income Fund Series XXXI-V (1174 Days) - Direct Plan - Growth Option;13.0725;10-May-2022")</f>
        <v>146475;INF789F1AHM7;-;UTI - Fixed Term Income Fund Series XXXI-V (1174 Days) - Direct Plan - Growth Option;13.0725;10-May-2022</v>
      </c>
      <c r="B15235" s="1"/>
    </row>
    <row r="15236">
      <c r="A15236" s="1" t="str">
        <f>IFERROR(__xludf.DUMMYFUNCTION("""COMPUTED_VALUE"""),"146478;INF789F1AHH7;-;UTI - Fixed Term Income Fund Series XXXI-V (1174 Days) - Regular Plan - Growth Option;12.926;10-May-2022")</f>
        <v>146478;INF789F1AHH7;-;UTI - Fixed Term Income Fund Series XXXI-V (1174 Days) - Regular Plan - Growth Option;12.926;10-May-2022</v>
      </c>
      <c r="B15236" s="1"/>
    </row>
    <row r="15237">
      <c r="A15237" s="1" t="str">
        <f>IFERROR(__xludf.DUMMYFUNCTION("""COMPUTED_VALUE"""),"146482;INF789F1AHO3;-;UTI Fixed Term Income Fund Series XXXI-V (1174 Days) - Direct Plan - Annual IDCW;10;10-May-2022")</f>
        <v>146482;INF789F1AHO3;-;UTI Fixed Term Income Fund Series XXXI-V (1174 Days) - Direct Plan - Annual IDCW;10;10-May-2022</v>
      </c>
      <c r="B15237" s="1"/>
    </row>
    <row r="15238">
      <c r="A15238" s="1" t="str">
        <f>IFERROR(__xludf.DUMMYFUNCTION("""COMPUTED_VALUE"""),"146476;INF789F1AHQ8;-;UTI Fixed Term Income Fund Series XXXI-V (1174 Days) - Direct Plan - Flexi IDCW;10;10-May-2022")</f>
        <v>146476;INF789F1AHQ8;-;UTI Fixed Term Income Fund Series XXXI-V (1174 Days) - Direct Plan - Flexi IDCW;10;10-May-2022</v>
      </c>
      <c r="B15238" s="1"/>
    </row>
    <row r="15239">
      <c r="A15239" s="1" t="str">
        <f>IFERROR(__xludf.DUMMYFUNCTION("""COMPUTED_VALUE"""),"146484;INF789F1AHP0;-;UTI Fixed Term Income Fund Series XXXI-V (1174 Days) - Direct Plan - Maturity IDCW;10;10-May-2022")</f>
        <v>146484;INF789F1AHP0;-;UTI Fixed Term Income Fund Series XXXI-V (1174 Days) - Direct Plan - Maturity IDCW;10;10-May-2022</v>
      </c>
      <c r="B15239" s="1"/>
    </row>
    <row r="15240">
      <c r="A15240" s="1" t="str">
        <f>IFERROR(__xludf.DUMMYFUNCTION("""COMPUTED_VALUE"""),"146481;INF789F1AHN5;-;UTI Fixed Term Income Fund Series XXXI-V (1174 Days) - Direct Plan - Quarterly IDCW;10;10-May-2022")</f>
        <v>146481;INF789F1AHN5;-;UTI Fixed Term Income Fund Series XXXI-V (1174 Days) - Direct Plan - Quarterly IDCW;10;10-May-2022</v>
      </c>
      <c r="B15240" s="1"/>
    </row>
    <row r="15241">
      <c r="A15241" s="1" t="str">
        <f>IFERROR(__xludf.DUMMYFUNCTION("""COMPUTED_VALUE"""),"146479;INF789F1AHJ3;-;UTI Fixed Term Income Fund Series XXXI-V (1174 Days) - Regular Plan - Annual IDCW;10;10-May-2022")</f>
        <v>146479;INF789F1AHJ3;-;UTI Fixed Term Income Fund Series XXXI-V (1174 Days) - Regular Plan - Annual IDCW;10;10-May-2022</v>
      </c>
      <c r="B15241" s="1"/>
    </row>
    <row r="15242">
      <c r="A15242" s="1" t="str">
        <f>IFERROR(__xludf.DUMMYFUNCTION("""COMPUTED_VALUE"""),"146480;INF789F1AHK1;-;UTI Fixed Term Income Fund Series XXXI-V (1174 Days) - Regular Plan - Maturity IDCW;10;10-May-2022")</f>
        <v>146480;INF789F1AHK1;-;UTI Fixed Term Income Fund Series XXXI-V (1174 Days) - Regular Plan - Maturity IDCW;10;10-May-2022</v>
      </c>
      <c r="B15242" s="1"/>
    </row>
    <row r="15243">
      <c r="A15243" s="1" t="str">
        <f>IFERROR(__xludf.DUMMYFUNCTION("""COMPUTED_VALUE"""),"146477;INF789F1AHI5;-;UTI Fixed Term Income Fund Series XXXI-V (1174 Days) - Regular Plan - Quarterly IDCW;10;10-May-2022")</f>
        <v>146477;INF789F1AHI5;-;UTI Fixed Term Income Fund Series XXXI-V (1174 Days) - Regular Plan - Quarterly IDCW;10;10-May-2022</v>
      </c>
      <c r="B15243" s="1"/>
    </row>
    <row r="15244">
      <c r="A15244" s="1" t="str">
        <f>IFERROR(__xludf.DUMMYFUNCTION("""COMPUTED_VALUE"""),"146538;INF789F1AHX4;-;UTI - Fixed Term Income Fund Series XXXI-VI (1167 Days) - Direct Plan - Growth Option;12.6927;10-May-2022")</f>
        <v>146538;INF789F1AHX4;-;UTI - Fixed Term Income Fund Series XXXI-VI (1167 Days) - Direct Plan - Growth Option;12.6927;10-May-2022</v>
      </c>
      <c r="B15244" s="1"/>
    </row>
    <row r="15245">
      <c r="A15245" s="1" t="str">
        <f>IFERROR(__xludf.DUMMYFUNCTION("""COMPUTED_VALUE"""),"146539;INF789F1AHS4;-;UTI - Fixed Term Income Fund Series XXXI-VI (1167 Days) - Regular Plan - Growth Option;12.5916;10-May-2022")</f>
        <v>146539;INF789F1AHS4;-;UTI - Fixed Term Income Fund Series XXXI-VI (1167 Days) - Regular Plan - Growth Option;12.5916;10-May-2022</v>
      </c>
      <c r="B15245" s="1"/>
    </row>
    <row r="15246">
      <c r="A15246" s="1" t="str">
        <f>IFERROR(__xludf.DUMMYFUNCTION("""COMPUTED_VALUE"""),"146541;INF789F1AHZ9;-;UTI Fixed Term Income Fund Series XXXI-VI (1167 Days) - Direct Plan - Annual IDCW;10;10-May-2022")</f>
        <v>146541;INF789F1AHZ9;-;UTI Fixed Term Income Fund Series XXXI-VI (1167 Days) - Direct Plan - Annual IDCW;10;10-May-2022</v>
      </c>
      <c r="B15246" s="1"/>
    </row>
    <row r="15247">
      <c r="A15247" s="1" t="str">
        <f>IFERROR(__xludf.DUMMYFUNCTION("""COMPUTED_VALUE"""),"146540;INF789F1AIB8;-;UTI Fixed Term Income Fund Series XXXI-VI (1167 Days) - Direct Plan - Flexi IDCW;10;10-May-2022")</f>
        <v>146540;INF789F1AIB8;-;UTI Fixed Term Income Fund Series XXXI-VI (1167 Days) - Direct Plan - Flexi IDCW;10;10-May-2022</v>
      </c>
      <c r="B15247" s="1"/>
    </row>
    <row r="15248">
      <c r="A15248" s="1" t="str">
        <f>IFERROR(__xludf.DUMMYFUNCTION("""COMPUTED_VALUE"""),"146537;INF789F1AIA0;-;UTI Fixed Term Income Fund Series XXXI-VI (1167 Days) - Direct Plan - Maturity IDCW;10;10-May-2022")</f>
        <v>146537;INF789F1AIA0;-;UTI Fixed Term Income Fund Series XXXI-VI (1167 Days) - Direct Plan - Maturity IDCW;10;10-May-2022</v>
      </c>
      <c r="B15248" s="1"/>
    </row>
    <row r="15249">
      <c r="A15249" s="1" t="str">
        <f>IFERROR(__xludf.DUMMYFUNCTION("""COMPUTED_VALUE"""),"146536;INF789F1AHY2;-;UTI Fixed Term Income Fund Series XXXI-VI (1167 Days) - Direct Plan - Quarterly IDCW;10;10-May-2022")</f>
        <v>146536;INF789F1AHY2;-;UTI Fixed Term Income Fund Series XXXI-VI (1167 Days) - Direct Plan - Quarterly IDCW;10;10-May-2022</v>
      </c>
      <c r="B15249" s="1"/>
    </row>
    <row r="15250">
      <c r="A15250" s="1" t="str">
        <f>IFERROR(__xludf.DUMMYFUNCTION("""COMPUTED_VALUE"""),"146544;INF789F1AHT2;-;UTI Fixed Term Income Fund Series XXXI-VI (1167 Days) - Regular Plan - Quarterly IDCW;10;10-May-2022")</f>
        <v>146544;INF789F1AHT2;-;UTI Fixed Term Income Fund Series XXXI-VI (1167 Days) - Regular Plan - Quarterly IDCW;10;10-May-2022</v>
      </c>
      <c r="B15250" s="1"/>
    </row>
    <row r="15251">
      <c r="A15251" s="1" t="str">
        <f>IFERROR(__xludf.DUMMYFUNCTION("""COMPUTED_VALUE"""),"146608;INF789F1AIH5;-;UTI - Fixed Term Income Fund Series XXXI-VII (1155 Days) - Direct Plan - Growth Option;12.8711;10-May-2022")</f>
        <v>146608;INF789F1AIH5;-;UTI - Fixed Term Income Fund Series XXXI-VII (1155 Days) - Direct Plan - Growth Option;12.8711;10-May-2022</v>
      </c>
      <c r="B15251" s="1"/>
    </row>
    <row r="15252">
      <c r="A15252" s="1" t="str">
        <f>IFERROR(__xludf.DUMMYFUNCTION("""COMPUTED_VALUE"""),"146613;INF789F1AIC6;-;UTI - Fixed Term Income Fund Series XXXI-VII (1155 Days) - Regular Plan - Growth Option;12.7293;10-May-2022")</f>
        <v>146613;INF789F1AIC6;-;UTI - Fixed Term Income Fund Series XXXI-VII (1155 Days) - Regular Plan - Growth Option;12.7293;10-May-2022</v>
      </c>
      <c r="B15252" s="1"/>
    </row>
    <row r="15253">
      <c r="A15253" s="1" t="str">
        <f>IFERROR(__xludf.DUMMYFUNCTION("""COMPUTED_VALUE"""),"146609;INF789F1AIJ1;-;UTI Fixed Term Income Fund Series XXXI-VII (1155 Days) - Direct Plan - Annual IDCW;10;10-May-2022")</f>
        <v>146609;INF789F1AIJ1;-;UTI Fixed Term Income Fund Series XXXI-VII (1155 Days) - Direct Plan - Annual IDCW;10;10-May-2022</v>
      </c>
      <c r="B15253" s="1"/>
    </row>
    <row r="15254">
      <c r="A15254" s="1" t="str">
        <f>IFERROR(__xludf.DUMMYFUNCTION("""COMPUTED_VALUE"""),"146611;INF789F1AIK9;-;UTI Fixed Term Income Fund Series XXXI-VII (1155 Days) - Direct Plan - Maturity IDCW;10;10-May-2022")</f>
        <v>146611;INF789F1AIK9;-;UTI Fixed Term Income Fund Series XXXI-VII (1155 Days) - Direct Plan - Maturity IDCW;10;10-May-2022</v>
      </c>
      <c r="B15254" s="1"/>
    </row>
    <row r="15255">
      <c r="A15255" s="1" t="str">
        <f>IFERROR(__xludf.DUMMYFUNCTION("""COMPUTED_VALUE"""),"146610;INF789F1AII3;-;UTI Fixed Term Income Fund Series XXXI-VII (1155 Days) - Direct Plan - Quarterly IDCW;10;10-May-2022")</f>
        <v>146610;INF789F1AII3;-;UTI Fixed Term Income Fund Series XXXI-VII (1155 Days) - Direct Plan - Quarterly IDCW;10;10-May-2022</v>
      </c>
      <c r="B15255" s="1"/>
    </row>
    <row r="15256">
      <c r="A15256" s="1" t="str">
        <f>IFERROR(__xludf.DUMMYFUNCTION("""COMPUTED_VALUE"""),"146614;INF789F1AIE2;-;UTI Fixed Term Income Fund Series XXXI-VII (1155 Days) - Regular Plan - Annual IDCW;10;10-May-2022")</f>
        <v>146614;INF789F1AIE2;-;UTI Fixed Term Income Fund Series XXXI-VII (1155 Days) - Regular Plan - Annual IDCW;10;10-May-2022</v>
      </c>
      <c r="B15256" s="1"/>
    </row>
    <row r="15257">
      <c r="A15257" s="1" t="str">
        <f>IFERROR(__xludf.DUMMYFUNCTION("""COMPUTED_VALUE"""),"146615;INF789F1AIG7;-;UTI Fixed Term Income Fund Series XXXI-VII (1155 Days) - Regular Plan - Flexi IDCW;10;10-May-2022")</f>
        <v>146615;INF789F1AIG7;-;UTI Fixed Term Income Fund Series XXXI-VII (1155 Days) - Regular Plan - Flexi IDCW;10;10-May-2022</v>
      </c>
      <c r="B15257" s="1"/>
    </row>
    <row r="15258">
      <c r="A15258" s="1" t="str">
        <f>IFERROR(__xludf.DUMMYFUNCTION("""COMPUTED_VALUE"""),"146617;INF789F1AIF9;-;UTI Fixed Term Income Fund Series XXXI-VII (1155 Days) - Regular Plan - Maturity IDCW;10;10-May-2022")</f>
        <v>146617;INF789F1AIF9;-;UTI Fixed Term Income Fund Series XXXI-VII (1155 Days) - Regular Plan - Maturity IDCW;10;10-May-2022</v>
      </c>
      <c r="B15258" s="1"/>
    </row>
    <row r="15259">
      <c r="A15259" s="1" t="str">
        <f>IFERROR(__xludf.DUMMYFUNCTION("""COMPUTED_VALUE"""),"146616;INF789F1AID4;-;UTI Fixed Term Income Fund Series XXXI-VII (1155 Days) - Regular Plan - Quarterly IDCW;10;10-May-2022")</f>
        <v>146616;INF789F1AID4;-;UTI Fixed Term Income Fund Series XXXI-VII (1155 Days) - Regular Plan - Quarterly IDCW;10;10-May-2022</v>
      </c>
      <c r="B15259" s="1"/>
    </row>
    <row r="15260">
      <c r="A15260" s="1" t="str">
        <f>IFERROR(__xludf.DUMMYFUNCTION("""COMPUTED_VALUE"""),"146706;INF789F1AIU8;-;UTI - Fixed Term Income Fund Series XXXI-VIII (1153 Days) - Direct Plan - Growth Option;12.5966;04-May-2022")</f>
        <v>146706;INF789F1AIU8;-;UTI - Fixed Term Income Fund Series XXXI-VIII (1153 Days) - Direct Plan - Growth Option;12.5966;04-May-2022</v>
      </c>
      <c r="B15260" s="1"/>
    </row>
    <row r="15261">
      <c r="A15261" s="1" t="str">
        <f>IFERROR(__xludf.DUMMYFUNCTION("""COMPUTED_VALUE"""),"146709;INF789F1AIP8;-;UTI - Fixed Term Income Fund Series XXXI-VIII (1153 Days) - Regular Plan - Growth Option;12.4974;04-May-2022")</f>
        <v>146709;INF789F1AIP8;-;UTI - Fixed Term Income Fund Series XXXI-VIII (1153 Days) - Regular Plan - Growth Option;12.4974;04-May-2022</v>
      </c>
      <c r="B15261" s="1"/>
    </row>
    <row r="15262">
      <c r="A15262" s="1" t="str">
        <f>IFERROR(__xludf.DUMMYFUNCTION("""COMPUTED_VALUE"""),"146715;INF789F1AIS2;-;UTI Fixed Term Income Fund Series XXXI-VIII (1153 Days) - Direct Plan - Annual IDCW;10;04-May-2022")</f>
        <v>146715;INF789F1AIS2;-;UTI Fixed Term Income Fund Series XXXI-VIII (1153 Days) - Direct Plan - Annual IDCW;10;04-May-2022</v>
      </c>
      <c r="B15262" s="1"/>
    </row>
    <row r="15263">
      <c r="A15263" s="1" t="str">
        <f>IFERROR(__xludf.DUMMYFUNCTION("""COMPUTED_VALUE"""),"146708;INF789F1AIV6;-;UTI Fixed Term Income Fund Series XXXI-VIII (1153 Days) - Direct Plan - Flexi IDCW;10;04-May-2022")</f>
        <v>146708;INF789F1AIV6;-;UTI Fixed Term Income Fund Series XXXI-VIII (1153 Days) - Direct Plan - Flexi IDCW;10;04-May-2022</v>
      </c>
      <c r="B15263" s="1"/>
    </row>
    <row r="15264">
      <c r="A15264" s="1" t="str">
        <f>IFERROR(__xludf.DUMMYFUNCTION("""COMPUTED_VALUE"""),"146713;INF789F1AIT0;-;UTI Fixed Term Income Fund Series XXXI-VIII (1153 Days) - Direct Plan - Maturity IDCW;10;04-May-2022")</f>
        <v>146713;INF789F1AIT0;-;UTI Fixed Term Income Fund Series XXXI-VIII (1153 Days) - Direct Plan - Maturity IDCW;10;04-May-2022</v>
      </c>
      <c r="B15264" s="1"/>
    </row>
    <row r="15265">
      <c r="A15265" s="1" t="str">
        <f>IFERROR(__xludf.DUMMYFUNCTION("""COMPUTED_VALUE"""),"146707;INF789F1AIR4;-;UTI Fixed Term Income Fund Series XXXI-VIII (1153 Days) - Direct Plan - Quarterly IDCW;10;04-May-2022")</f>
        <v>146707;INF789F1AIR4;-;UTI Fixed Term Income Fund Series XXXI-VIII (1153 Days) - Direct Plan - Quarterly IDCW;10;04-May-2022</v>
      </c>
      <c r="B15265" s="1"/>
    </row>
    <row r="15266">
      <c r="A15266" s="1" t="str">
        <f>IFERROR(__xludf.DUMMYFUNCTION("""COMPUTED_VALUE"""),"146714;INF789F1AIQ6;-;UTI Fixed Term Income Fund Series XXXI-VIII (1153 Days) - Regular Plan - Flexi IDCW;10.0001;04-May-2022")</f>
        <v>146714;INF789F1AIQ6;-;UTI Fixed Term Income Fund Series XXXI-VIII (1153 Days) - Regular Plan - Flexi IDCW;10.0001;04-May-2022</v>
      </c>
      <c r="B15266" s="1"/>
    </row>
    <row r="15267">
      <c r="A15267" s="1" t="str">
        <f>IFERROR(__xludf.DUMMYFUNCTION("""COMPUTED_VALUE"""),"146711;INF789F1AIM5;-;UTI Fixed Term Income Fund Series XXXI-VIII (1153 Days) - Regular Plan - Quarterly IDCW;10;04-May-2022")</f>
        <v>146711;INF789F1AIM5;-;UTI Fixed Term Income Fund Series XXXI-VIII (1153 Days) - Regular Plan - Quarterly IDCW;10;04-May-2022</v>
      </c>
      <c r="B15267" s="1"/>
    </row>
    <row r="15268">
      <c r="A15268" s="1" t="str">
        <f>IFERROR(__xludf.DUMMYFUNCTION("""COMPUTED_VALUE"""),"146872;INF789F1AJL5;-;UTI - Fixed Term Income Fund Series XXXI-X (1168 Days) - Direct Plan - Growth Option;12.6754;30-May-2022")</f>
        <v>146872;INF789F1AJL5;-;UTI - Fixed Term Income Fund Series XXXI-X (1168 Days) - Direct Plan - Growth Option;12.6754;30-May-2022</v>
      </c>
      <c r="B15268" s="1"/>
    </row>
    <row r="15269">
      <c r="A15269" s="1" t="str">
        <f>IFERROR(__xludf.DUMMYFUNCTION("""COMPUTED_VALUE"""),"146876;INF789F1AJG5;-;UTI - Fixed Term Income Fund Series XXXI-X (1168 Days) - Regular Plan - Growth Option;12.5743;30-May-2022")</f>
        <v>146876;INF789F1AJG5;-;UTI - Fixed Term Income Fund Series XXXI-X (1168 Days) - Regular Plan - Growth Option;12.5743;30-May-2022</v>
      </c>
      <c r="B15269" s="1"/>
    </row>
    <row r="15270">
      <c r="A15270" s="1" t="str">
        <f>IFERROR(__xludf.DUMMYFUNCTION("""COMPUTED_VALUE"""),"146874;INF789F1AJN1;-;UTI Fixed Term Income Fund Series XXXI-X (1168 Days) - Direct Plan - Annual IDCW;10;30-May-2022")</f>
        <v>146874;INF789F1AJN1;-;UTI Fixed Term Income Fund Series XXXI-X (1168 Days) - Direct Plan - Annual IDCW;10;30-May-2022</v>
      </c>
      <c r="B15270" s="1"/>
    </row>
    <row r="15271">
      <c r="A15271" s="1" t="str">
        <f>IFERROR(__xludf.DUMMYFUNCTION("""COMPUTED_VALUE"""),"146873;INF789F1AJO9;-;UTI Fixed Term Income Fund Series XXXI-X (1168 Days) - Direct Plan - Maturity IDCW;10;30-May-2022")</f>
        <v>146873;INF789F1AJO9;-;UTI Fixed Term Income Fund Series XXXI-X (1168 Days) - Direct Plan - Maturity IDCW;10;30-May-2022</v>
      </c>
      <c r="B15271" s="1"/>
    </row>
    <row r="15272">
      <c r="A15272" s="1" t="str">
        <f>IFERROR(__xludf.DUMMYFUNCTION("""COMPUTED_VALUE"""),"146867;INF789F1AJM3;-;UTI Fixed Term Income Fund Series XXXI-X (1168 Days) - Direct Plan - Quarterly IDCW;10;30-May-2022")</f>
        <v>146867;INF789F1AJM3;-;UTI Fixed Term Income Fund Series XXXI-X (1168 Days) - Direct Plan - Quarterly IDCW;10;30-May-2022</v>
      </c>
      <c r="B15272" s="1"/>
    </row>
    <row r="15273">
      <c r="A15273" s="1" t="str">
        <f>IFERROR(__xludf.DUMMYFUNCTION("""COMPUTED_VALUE"""),"146871;INF789F1AJH3;-;UTI Fixed Term Income Fund Series XXXI-X (1168 Days) - Regular Plan - Quarterly IDCW;10;30-May-2022")</f>
        <v>146871;INF789F1AJH3;-;UTI Fixed Term Income Fund Series XXXI-X (1168 Days) - Regular Plan - Quarterly IDCW;10;30-May-2022</v>
      </c>
      <c r="B15273" s="1"/>
    </row>
    <row r="15274">
      <c r="A15274" s="1" t="str">
        <f>IFERROR(__xludf.DUMMYFUNCTION("""COMPUTED_VALUE"""),"146987;INF789F1AJV4;-;UTI - Fixed Term Income Fund Series XXXI-XI (1169 Days) - Direct Plan - Growth Option;12.4599;08-Jun-2022")</f>
        <v>146987;INF789F1AJV4;-;UTI - Fixed Term Income Fund Series XXXI-XI (1169 Days) - Direct Plan - Growth Option;12.4599;08-Jun-2022</v>
      </c>
      <c r="B15274" s="1"/>
    </row>
    <row r="15275">
      <c r="A15275" s="1" t="str">
        <f>IFERROR(__xludf.DUMMYFUNCTION("""COMPUTED_VALUE"""),"146990;INF789F1AJQ4;-;UTI - Fixed Term Income Fund Series XXXI-XI (1169 Days) - Regular Plan - Growth Option;12.3604;08-Jun-2022")</f>
        <v>146990;INF789F1AJQ4;-;UTI - Fixed Term Income Fund Series XXXI-XI (1169 Days) - Regular Plan - Growth Option;12.3604;08-Jun-2022</v>
      </c>
      <c r="B15275" s="1"/>
    </row>
    <row r="15276">
      <c r="A15276" s="1" t="str">
        <f>IFERROR(__xludf.DUMMYFUNCTION("""COMPUTED_VALUE"""),"146995;INF789F1AJX0;-;UTI Fixed Term Income Fund Series XXXI-XI (1169 Days) - Direct Plan - Annual IDCW;10;08-Jun-2022")</f>
        <v>146995;INF789F1AJX0;-;UTI Fixed Term Income Fund Series XXXI-XI (1169 Days) - Direct Plan - Annual IDCW;10;08-Jun-2022</v>
      </c>
      <c r="B15276" s="1"/>
    </row>
    <row r="15277">
      <c r="A15277" s="1" t="str">
        <f>IFERROR(__xludf.DUMMYFUNCTION("""COMPUTED_VALUE"""),"146989;INF789F1AJY8;-;UTI Fixed Term Income Fund Series XXXI-XI (1169 Days) - Direct Plan - Maturity IDCW;10;08-Jun-2022")</f>
        <v>146989;INF789F1AJY8;-;UTI Fixed Term Income Fund Series XXXI-XI (1169 Days) - Direct Plan - Maturity IDCW;10;08-Jun-2022</v>
      </c>
      <c r="B15277" s="1"/>
    </row>
    <row r="15278">
      <c r="A15278" s="1" t="str">
        <f>IFERROR(__xludf.DUMMYFUNCTION("""COMPUTED_VALUE"""),"146988;INF789F1AJW2;-;UTI Fixed Term Income Fund Series XXXI-XI (1169 Days) - Direct Plan - Quarterly IDCW;10;08-Jun-2022")</f>
        <v>146988;INF789F1AJW2;-;UTI Fixed Term Income Fund Series XXXI-XI (1169 Days) - Direct Plan - Quarterly IDCW;10;08-Jun-2022</v>
      </c>
      <c r="B15278" s="1"/>
    </row>
    <row r="15279">
      <c r="A15279" s="1" t="str">
        <f>IFERROR(__xludf.DUMMYFUNCTION("""COMPUTED_VALUE"""),"146996;INF789F1AJS0;-;UTI Fixed Term Income Fund Series XXXI-XI (1169 Days) - Regular Plan - Annual IDCW;10;08-Jun-2022")</f>
        <v>146996;INF789F1AJS0;-;UTI Fixed Term Income Fund Series XXXI-XI (1169 Days) - Regular Plan - Annual IDCW;10;08-Jun-2022</v>
      </c>
      <c r="B15279" s="1"/>
    </row>
    <row r="15280">
      <c r="A15280" s="1" t="str">
        <f>IFERROR(__xludf.DUMMYFUNCTION("""COMPUTED_VALUE"""),"146994;INF789F1AJT8;-;UTI Fixed Term Income Fund Series XXXI-XI (1169 Days) - Regular Plan - Maturity IDCW;10;08-Jun-2022")</f>
        <v>146994;INF789F1AJT8;-;UTI Fixed Term Income Fund Series XXXI-XI (1169 Days) - Regular Plan - Maturity IDCW;10;08-Jun-2022</v>
      </c>
      <c r="B15280" s="1"/>
    </row>
    <row r="15281">
      <c r="A15281" s="1" t="str">
        <f>IFERROR(__xludf.DUMMYFUNCTION("""COMPUTED_VALUE"""),"146991;INF789F1AJR2;-;UTI Fixed Term Income Fund Series XXXI-XI (1169 Days) - Regular Plan - Quarterly IDCW;10;08-Jun-2022")</f>
        <v>146991;INF789F1AJR2;-;UTI Fixed Term Income Fund Series XXXI-XI (1169 Days) - Regular Plan - Quarterly IDCW;10;08-Jun-2022</v>
      </c>
      <c r="B15281" s="1"/>
    </row>
    <row r="15282">
      <c r="A15282" s="1" t="str">
        <f>IFERROR(__xludf.DUMMYFUNCTION("""COMPUTED_VALUE"""),"147071;INF789F1AKF5;-;UTI - Fixed Term Income Fund Series XXXI-XII (1148 Days) - Direct Plan - Growth Option;12.7521;07-Jun-2022")</f>
        <v>147071;INF789F1AKF5;-;UTI - Fixed Term Income Fund Series XXXI-XII (1148 Days) - Direct Plan - Growth Option;12.7521;07-Jun-2022</v>
      </c>
      <c r="B15282" s="1"/>
    </row>
    <row r="15283">
      <c r="A15283" s="1" t="str">
        <f>IFERROR(__xludf.DUMMYFUNCTION("""COMPUTED_VALUE"""),"147076;INF789F1AKA6;-;UTI - Fixed Term Income Fund Series XXXI-XII (1148 Days) - Regular Plan - Growth Option;12.6124;07-Jun-2022")</f>
        <v>147076;INF789F1AKA6;-;UTI - Fixed Term Income Fund Series XXXI-XII (1148 Days) - Regular Plan - Growth Option;12.6124;07-Jun-2022</v>
      </c>
      <c r="B15283" s="1"/>
    </row>
    <row r="15284">
      <c r="A15284" s="1" t="str">
        <f>IFERROR(__xludf.DUMMYFUNCTION("""COMPUTED_VALUE"""),"147072;INF789F1AKH1;-;UTI Fixed Term Income Fund Series XXXI-XII (1148 Days) - Direct Plan - Annual IDCW;10;07-Jun-2022")</f>
        <v>147072;INF789F1AKH1;-;UTI Fixed Term Income Fund Series XXXI-XII (1148 Days) - Direct Plan - Annual IDCW;10;07-Jun-2022</v>
      </c>
      <c r="B15284" s="1"/>
    </row>
    <row r="15285">
      <c r="A15285" s="1" t="str">
        <f>IFERROR(__xludf.DUMMYFUNCTION("""COMPUTED_VALUE"""),"147073;INF789F1AKG3;-;UTI Fixed Term Income Fund Series XXXI-XII (1148 Days) - Direct Plan - Quarterly IDCW;10;07-Jun-2022")</f>
        <v>147073;INF789F1AKG3;-;UTI Fixed Term Income Fund Series XXXI-XII (1148 Days) - Direct Plan - Quarterly IDCW;10;07-Jun-2022</v>
      </c>
      <c r="B15285" s="1"/>
    </row>
    <row r="15286">
      <c r="A15286" s="1" t="str">
        <f>IFERROR(__xludf.DUMMYFUNCTION("""COMPUTED_VALUE"""),"147077;INF789F1AKC2;-;UTI Fixed Term Income Fund Series XXXI-XII (1148 Days) - Regular Plan - Annual IDCW;10;07-Jun-2022")</f>
        <v>147077;INF789F1AKC2;-;UTI Fixed Term Income Fund Series XXXI-XII (1148 Days) - Regular Plan - Annual IDCW;10;07-Jun-2022</v>
      </c>
      <c r="B15286" s="1"/>
    </row>
    <row r="15287">
      <c r="A15287" s="1" t="str">
        <f>IFERROR(__xludf.DUMMYFUNCTION("""COMPUTED_VALUE"""),"147079;INF789F1AKD0;-;UTI Fixed Term Income Fund Series XXXI-XII (1148 Days) - Regular Plan - Maturity IDCW;10;07-Jun-2022")</f>
        <v>147079;INF789F1AKD0;-;UTI Fixed Term Income Fund Series XXXI-XII (1148 Days) - Regular Plan - Maturity IDCW;10;07-Jun-2022</v>
      </c>
      <c r="B15287" s="1"/>
    </row>
    <row r="15288">
      <c r="A15288" s="1" t="str">
        <f>IFERROR(__xludf.DUMMYFUNCTION("""COMPUTED_VALUE"""),"147078;INF789F1AKB4;-;UTI Fixed Term Income Fund Series XXXI-XII (1148 Days) - Regular Plan - Quarterly IDCW;10;07-Jun-2022")</f>
        <v>147078;INF789F1AKB4;-;UTI Fixed Term Income Fund Series XXXI-XII (1148 Days) - Regular Plan - Quarterly IDCW;10;07-Jun-2022</v>
      </c>
      <c r="B15288" s="1"/>
    </row>
    <row r="15289">
      <c r="A15289" s="1" t="str">
        <f>IFERROR(__xludf.DUMMYFUNCTION("""COMPUTED_VALUE"""),"147165;INF789F1AKP4;-;UTI - Fixed Term Income Fund Series XXXI-XIII (1127 Days) - Direct Plan - Growth Option;12.7008;07-Jun-2022")</f>
        <v>147165;INF789F1AKP4;-;UTI - Fixed Term Income Fund Series XXXI-XIII (1127 Days) - Direct Plan - Growth Option;12.7008;07-Jun-2022</v>
      </c>
      <c r="B15289" s="1"/>
    </row>
    <row r="15290">
      <c r="A15290" s="1" t="str">
        <f>IFERROR(__xludf.DUMMYFUNCTION("""COMPUTED_VALUE"""),"147168;INF789F1AKK5;-;UTI - Fixed Term Income Fund Series XXXI-XIII (1127 Days) - Regular Plan - Growth Option;12.5641;07-Jun-2022")</f>
        <v>147168;INF789F1AKK5;-;UTI - Fixed Term Income Fund Series XXXI-XIII (1127 Days) - Regular Plan - Growth Option;12.5641;07-Jun-2022</v>
      </c>
      <c r="B15290" s="1"/>
    </row>
    <row r="15291">
      <c r="A15291" s="1" t="str">
        <f>IFERROR(__xludf.DUMMYFUNCTION("""COMPUTED_VALUE"""),"147166;INF789F1AKR0;-;UTI Fixed Term Income Fund Series XXXI-XIII (1127 Days) - Direct Plan - Annual IDCW;10;07-Jun-2022")</f>
        <v>147166;INF789F1AKR0;-;UTI Fixed Term Income Fund Series XXXI-XIII (1127 Days) - Direct Plan - Annual IDCW;10;07-Jun-2022</v>
      </c>
      <c r="B15291" s="1"/>
    </row>
    <row r="15292">
      <c r="A15292" s="1" t="str">
        <f>IFERROR(__xludf.DUMMYFUNCTION("""COMPUTED_VALUE"""),"147172;INF789F1AKQ2;-;UTI Fixed Term Income Fund Series XXXI-XIII (1127 Days) - Direct Plan - Quarterly IDCW;10;07-Jun-2022")</f>
        <v>147172;INF789F1AKQ2;-;UTI Fixed Term Income Fund Series XXXI-XIII (1127 Days) - Direct Plan - Quarterly IDCW;10;07-Jun-2022</v>
      </c>
      <c r="B15292" s="1"/>
    </row>
    <row r="15293">
      <c r="A15293" s="1" t="str">
        <f>IFERROR(__xludf.DUMMYFUNCTION("""COMPUTED_VALUE"""),"147174;INF789F1AKN9;-;UTI Fixed Term Income Fund Series XXXI-XIII (1127 Days) - Regular Plan - Maturity IDCW;10;07-Jun-2022")</f>
        <v>147174;INF789F1AKN9;-;UTI Fixed Term Income Fund Series XXXI-XIII (1127 Days) - Regular Plan - Maturity IDCW;10;07-Jun-2022</v>
      </c>
      <c r="B15293" s="1"/>
    </row>
    <row r="15294">
      <c r="A15294" s="1" t="str">
        <f>IFERROR(__xludf.DUMMYFUNCTION("""COMPUTED_VALUE"""),"147169;INF789F1AKL3;-;UTI Fixed Term Income Fund Series XXXI-XIII (1127 Days) - Regular Plan - Quarterly IDCW;10;07-Jun-2022")</f>
        <v>147169;INF789F1AKL3;-;UTI Fixed Term Income Fund Series XXXI-XIII (1127 Days) - Regular Plan - Quarterly IDCW;10;07-Jun-2022</v>
      </c>
      <c r="B15294" s="1"/>
    </row>
    <row r="15295">
      <c r="A15295" s="1" t="str">
        <f>IFERROR(__xludf.DUMMYFUNCTION("""COMPUTED_VALUE"""),"147255;INF789F1AKZ3;-;UTI - Fixed Term Income Fund Series XXXI-XIV (1111 Days) - Direct Plan - Growth Option;12.6339;07-Jun-2022")</f>
        <v>147255;INF789F1AKZ3;-;UTI - Fixed Term Income Fund Series XXXI-XIV (1111 Days) - Direct Plan - Growth Option;12.6339;07-Jun-2022</v>
      </c>
      <c r="B15295" s="1"/>
    </row>
    <row r="15296">
      <c r="A15296" s="1" t="str">
        <f>IFERROR(__xludf.DUMMYFUNCTION("""COMPUTED_VALUE"""),"147257;INF789F1AKU4;-;UTI - Fixed Term Income Fund Series XXXI-XIV (1111 Days) - Regular Plan - Growth Option;12.4998;07-Jun-2022")</f>
        <v>147257;INF789F1AKU4;-;UTI - Fixed Term Income Fund Series XXXI-XIV (1111 Days) - Regular Plan - Growth Option;12.4998;07-Jun-2022</v>
      </c>
      <c r="B15296" s="1"/>
    </row>
    <row r="15297">
      <c r="A15297" s="1" t="str">
        <f>IFERROR(__xludf.DUMMYFUNCTION("""COMPUTED_VALUE"""),"147259;INF789F1ALC0;-;UTI Fixed Term Income Fund Series XXXI-XIV (1111 Days) - Direct Plan - Maturity IDCW;10;07-Jun-2022")</f>
        <v>147259;INF789F1ALC0;-;UTI Fixed Term Income Fund Series XXXI-XIV (1111 Days) - Direct Plan - Maturity IDCW;10;07-Jun-2022</v>
      </c>
      <c r="B15297" s="1"/>
    </row>
    <row r="15298">
      <c r="A15298" s="1" t="str">
        <f>IFERROR(__xludf.DUMMYFUNCTION("""COMPUTED_VALUE"""),"147256;INF789F1ALA4;-;UTI Fixed Term Income Fund Series XXXI-XIV (1111 Days) - Direct Plan - Quarterly IDCW;10;07-Jun-2022")</f>
        <v>147256;INF789F1ALA4;-;UTI Fixed Term Income Fund Series XXXI-XIV (1111 Days) - Direct Plan - Quarterly IDCW;10;07-Jun-2022</v>
      </c>
      <c r="B15298" s="1"/>
    </row>
    <row r="15299">
      <c r="A15299" s="1" t="str">
        <f>IFERROR(__xludf.DUMMYFUNCTION("""COMPUTED_VALUE"""),"147261;INF789F1AKW0;-;UTI Fixed Term Income Fund Series XXXI-XIV (1111 Days) - Regular Plan - Annual IDCW;10;07-Jun-2022")</f>
        <v>147261;INF789F1AKW0;-;UTI Fixed Term Income Fund Series XXXI-XIV (1111 Days) - Regular Plan - Annual IDCW;10;07-Jun-2022</v>
      </c>
      <c r="B15299" s="1"/>
    </row>
    <row r="15300">
      <c r="A15300" s="1" t="str">
        <f>IFERROR(__xludf.DUMMYFUNCTION("""COMPUTED_VALUE"""),"147263;INF789F1AKY6;-;UTI Fixed Term Income Fund Series XXXI-XIV (1111 Days) - Regular Plan - Flexi IDCW;10;07-Jun-2022")</f>
        <v>147263;INF789F1AKY6;-;UTI Fixed Term Income Fund Series XXXI-XIV (1111 Days) - Regular Plan - Flexi IDCW;10;07-Jun-2022</v>
      </c>
      <c r="B15300" s="1"/>
    </row>
    <row r="15301">
      <c r="A15301" s="1" t="str">
        <f>IFERROR(__xludf.DUMMYFUNCTION("""COMPUTED_VALUE"""),"147264;INF789F1AKX8;-;UTI Fixed Term Income Fund Series XXXI-XIV (1111 Days) - Regular Plan - Maturity IDCW;10;07-Jun-2022")</f>
        <v>147264;INF789F1AKX8;-;UTI Fixed Term Income Fund Series XXXI-XIV (1111 Days) - Regular Plan - Maturity IDCW;10;07-Jun-2022</v>
      </c>
      <c r="B15301" s="1"/>
    </row>
    <row r="15302">
      <c r="A15302" s="1" t="str">
        <f>IFERROR(__xludf.DUMMYFUNCTION("""COMPUTED_VALUE"""),"147262;INF789F1AKV2;-;UTI Fixed Term Income Fund Series XXXI-XIV (1111 Days) - Regular Plan - Quarterly IDCW;10;07-Jun-2022")</f>
        <v>147262;INF789F1AKV2;-;UTI Fixed Term Income Fund Series XXXI-XIV (1111 Days) - Regular Plan - Quarterly IDCW;10;07-Jun-2022</v>
      </c>
      <c r="B15302" s="1"/>
    </row>
    <row r="15303">
      <c r="A15303" s="1" t="str">
        <f>IFERROR(__xludf.DUMMYFUNCTION("""COMPUTED_VALUE"""),"147322;INF789F1ALJ5;-;UTI - Fixed Term Income Fund Series XXXI-XV (1099 Days) - Direct Plan - Growth Option;12.5504;07-Jun-2022")</f>
        <v>147322;INF789F1ALJ5;-;UTI - Fixed Term Income Fund Series XXXI-XV (1099 Days) - Direct Plan - Growth Option;12.5504;07-Jun-2022</v>
      </c>
      <c r="B15303" s="1"/>
    </row>
    <row r="15304">
      <c r="A15304" s="1" t="str">
        <f>IFERROR(__xludf.DUMMYFUNCTION("""COMPUTED_VALUE"""),"147328;INF789F1ALE6;-;UTI - Fixed Term Income Fund Series XXXI-XV (1099 Days) - Regular Plan - Growth Option;12.4187;07-Jun-2022")</f>
        <v>147328;INF789F1ALE6;-;UTI - Fixed Term Income Fund Series XXXI-XV (1099 Days) - Regular Plan - Growth Option;12.4187;07-Jun-2022</v>
      </c>
      <c r="B15304" s="1"/>
    </row>
    <row r="15305">
      <c r="A15305" s="1" t="str">
        <f>IFERROR(__xludf.DUMMYFUNCTION("""COMPUTED_VALUE"""),"147321;INF789F1ALL1;-;UTI Fixed Term Income Fund Series XXXI-XV (1099 Days) - Direct Plan - Annual IDCW;10;07-Jun-2022")</f>
        <v>147321;INF789F1ALL1;-;UTI Fixed Term Income Fund Series XXXI-XV (1099 Days) - Direct Plan - Annual IDCW;10;07-Jun-2022</v>
      </c>
      <c r="B15305" s="1"/>
    </row>
    <row r="15306">
      <c r="A15306" s="1" t="str">
        <f>IFERROR(__xludf.DUMMYFUNCTION("""COMPUTED_VALUE"""),"147324;INF789F1ALM9;-;UTI Fixed Term Income Fund Series XXXI-XV (1099 Days) - Direct Plan - Maturity IDCW;10;07-Jun-2022")</f>
        <v>147324;INF789F1ALM9;-;UTI Fixed Term Income Fund Series XXXI-XV (1099 Days) - Direct Plan - Maturity IDCW;10;07-Jun-2022</v>
      </c>
      <c r="B15306" s="1"/>
    </row>
    <row r="15307">
      <c r="A15307" s="1" t="str">
        <f>IFERROR(__xludf.DUMMYFUNCTION("""COMPUTED_VALUE"""),"147323;INF789F1ALK3;-;UTI Fixed Term Income Fund Series XXXI-XV (1099 Days) - Direct Plan - Quarterly IDCW;10;07-Jun-2022")</f>
        <v>147323;INF789F1ALK3;-;UTI Fixed Term Income Fund Series XXXI-XV (1099 Days) - Direct Plan - Quarterly IDCW;10;07-Jun-2022</v>
      </c>
      <c r="B15307" s="1"/>
    </row>
    <row r="15308">
      <c r="A15308" s="1" t="str">
        <f>IFERROR(__xludf.DUMMYFUNCTION("""COMPUTED_VALUE"""),"147329;INF789F1ALG1;-;UTI Fixed Term Income Fund Series XXXI-XV (1099 Days) - Regular Plan - Annual IDCW;10;07-Jun-2022")</f>
        <v>147329;INF789F1ALG1;-;UTI Fixed Term Income Fund Series XXXI-XV (1099 Days) - Regular Plan - Annual IDCW;10;07-Jun-2022</v>
      </c>
      <c r="B15308" s="1"/>
    </row>
    <row r="15309">
      <c r="A15309" s="1" t="str">
        <f>IFERROR(__xludf.DUMMYFUNCTION("""COMPUTED_VALUE"""),"147327;INF789F1ALI7;-;UTI Fixed Term Income Fund Series XXXI-XV (1099 Days) - Regular Plan - Flexi IDCW;10;07-Jun-2022")</f>
        <v>147327;INF789F1ALI7;-;UTI Fixed Term Income Fund Series XXXI-XV (1099 Days) - Regular Plan - Flexi IDCW;10;07-Jun-2022</v>
      </c>
      <c r="B15309" s="1"/>
    </row>
    <row r="15310">
      <c r="A15310" s="1" t="str">
        <f>IFERROR(__xludf.DUMMYFUNCTION("""COMPUTED_VALUE"""),"147326;INF789F1ALH9;-;UTI Fixed Term Income Fund Series XXXI-XV (1099 Days) - Regular Plan - Maturity IDCW;10;07-Jun-2022")</f>
        <v>147326;INF789F1ALH9;-;UTI Fixed Term Income Fund Series XXXI-XV (1099 Days) - Regular Plan - Maturity IDCW;10;07-Jun-2022</v>
      </c>
      <c r="B15310" s="1"/>
    </row>
    <row r="15311">
      <c r="A15311" s="1" t="str">
        <f>IFERROR(__xludf.DUMMYFUNCTION("""COMPUTED_VALUE"""),"147330;INF789F1ALF3;-;UTI Fixed Term Income Fund Series XXXI-XV (1099 Days) - Regular Plan - Quarterly IDCW;10;07-Jun-2022")</f>
        <v>147330;INF789F1ALF3;-;UTI Fixed Term Income Fund Series XXXI-XV (1099 Days) - Regular Plan - Quarterly IDCW;10;07-Jun-2022</v>
      </c>
      <c r="B15311" s="1"/>
    </row>
    <row r="15312">
      <c r="A15312" s="1" t="str">
        <f>IFERROR(__xludf.DUMMYFUNCTION("""COMPUTED_VALUE"""),"147363;INF789F1ALT4;-;UTI - Fixed Term Income Fund Series XXXII-I (1126 days) Direct Plan Growth Option;12.5772;19-Jul-2022")</f>
        <v>147363;INF789F1ALT4;-;UTI - Fixed Term Income Fund Series XXXII-I (1126 days) Direct Plan Growth Option;12.5772;19-Jul-2022</v>
      </c>
      <c r="B15312" s="1"/>
    </row>
    <row r="15313">
      <c r="A15313" s="1" t="str">
        <f>IFERROR(__xludf.DUMMYFUNCTION("""COMPUTED_VALUE"""),"147364;INF789F1ALO5;-;UTI - Fixed Term Income Fund Series XXXII-I (1126 days) Regular Plan Growth Option;12.442;19-Jul-2022")</f>
        <v>147364;INF789F1ALO5;-;UTI - Fixed Term Income Fund Series XXXII-I (1126 days) Regular Plan Growth Option;12.442;19-Jul-2022</v>
      </c>
      <c r="B15313" s="1"/>
    </row>
    <row r="15314">
      <c r="A15314" s="1" t="str">
        <f>IFERROR(__xludf.DUMMYFUNCTION("""COMPUTED_VALUE"""),"147362;INF789F1ALV0;-;UTI Fixed Term Income Fund Series XXXII-I(1126 Days) - Direct Plan - Annual IDCW;10;19-Jul-2022")</f>
        <v>147362;INF789F1ALV0;-;UTI Fixed Term Income Fund Series XXXII-I(1126 Days) - Direct Plan - Annual IDCW;10;19-Jul-2022</v>
      </c>
      <c r="B15314" s="1"/>
    </row>
    <row r="15315">
      <c r="A15315" s="1" t="str">
        <f>IFERROR(__xludf.DUMMYFUNCTION("""COMPUTED_VALUE"""),"147369;INF789F1ALX6;-;UTI Fixed Term Income Fund Series XXXII-I(1126 Days) - Direct Plan - Flexi IDCW;10;19-Jul-2022")</f>
        <v>147369;INF789F1ALX6;-;UTI Fixed Term Income Fund Series XXXII-I(1126 Days) - Direct Plan - Flexi IDCW;10;19-Jul-2022</v>
      </c>
      <c r="B15315" s="1"/>
    </row>
    <row r="15316">
      <c r="A15316" s="1" t="str">
        <f>IFERROR(__xludf.DUMMYFUNCTION("""COMPUTED_VALUE"""),"147365;INF789F1ALW8;-;UTI Fixed Term Income Fund Series XXXII-I(1126 Days) - Direct Plan - Maturity IDCW;10;19-Jul-2022")</f>
        <v>147365;INF789F1ALW8;-;UTI Fixed Term Income Fund Series XXXII-I(1126 Days) - Direct Plan - Maturity IDCW;10;19-Jul-2022</v>
      </c>
      <c r="B15316" s="1"/>
    </row>
    <row r="15317">
      <c r="A15317" s="1" t="str">
        <f>IFERROR(__xludf.DUMMYFUNCTION("""COMPUTED_VALUE"""),"147367;INF789F1ALU2;-;UTI Fixed Term Income Fund Series XXXII-I(1126 Days) - Direct Plan - Quarterly IDCW;10;19-Jul-2022")</f>
        <v>147367;INF789F1ALU2;-;UTI Fixed Term Income Fund Series XXXII-I(1126 Days) - Direct Plan - Quarterly IDCW;10;19-Jul-2022</v>
      </c>
      <c r="B15317" s="1"/>
    </row>
    <row r="15318">
      <c r="A15318" s="1" t="str">
        <f>IFERROR(__xludf.DUMMYFUNCTION("""COMPUTED_VALUE"""),"147361;INF789F1ALQ0;-;UTI Fixed Term Income Fund Series XXXII-I(1126 Days) - Regular Plan - Annual IDCW;10;19-Jul-2022")</f>
        <v>147361;INF789F1ALQ0;-;UTI Fixed Term Income Fund Series XXXII-I(1126 Days) - Regular Plan - Annual IDCW;10;19-Jul-2022</v>
      </c>
      <c r="B15318" s="1"/>
    </row>
    <row r="15319">
      <c r="A15319" s="1" t="str">
        <f>IFERROR(__xludf.DUMMYFUNCTION("""COMPUTED_VALUE"""),"147366;INF789F1ALR8;-;UTI Fixed Term Income Fund Series XXXII-I(1126 Days) - Regular Plan - Maturity IDCW;10;19-Jul-2022")</f>
        <v>147366;INF789F1ALR8;-;UTI Fixed Term Income Fund Series XXXII-I(1126 Days) - Regular Plan - Maturity IDCW;10;19-Jul-2022</v>
      </c>
      <c r="B15319" s="1"/>
    </row>
    <row r="15320">
      <c r="A15320" s="1" t="str">
        <f>IFERROR(__xludf.DUMMYFUNCTION("""COMPUTED_VALUE"""),"147368;INF789F1ALP2;-;UTI Fixed Term Income Fund Series XXXII-I(1126 Days) - Regular Plan - Quarterly IDCW;10;19-Jul-2022")</f>
        <v>147368;INF789F1ALP2;-;UTI Fixed Term Income Fund Series XXXII-I(1126 Days) - Regular Plan - Quarterly IDCW;10;19-Jul-2022</v>
      </c>
      <c r="B15320" s="1"/>
    </row>
    <row r="15321">
      <c r="A15321" s="1" t="str">
        <f>IFERROR(__xludf.DUMMYFUNCTION("""COMPUTED_VALUE"""),"147411;INF789F1AMD6;-;UTI - Fixed Term Income Fund Series XXXII-II (1111 Days) - Direct Plan - Growth Option;12.5072;19-Jul-2022")</f>
        <v>147411;INF789F1AMD6;-;UTI - Fixed Term Income Fund Series XXXII-II (1111 Days) - Direct Plan - Growth Option;12.5072;19-Jul-2022</v>
      </c>
      <c r="B15321" s="1"/>
    </row>
    <row r="15322">
      <c r="A15322" s="1" t="str">
        <f>IFERROR(__xludf.DUMMYFUNCTION("""COMPUTED_VALUE"""),"147420;INF789F1ALY4;-;UTI - Fixed Term Income Fund Series XXXII-II (1111 Days) - Regular Plan - Growth Option;12.3749;19-Jul-2022")</f>
        <v>147420;INF789F1ALY4;-;UTI - Fixed Term Income Fund Series XXXII-II (1111 Days) - Regular Plan - Growth Option;12.3749;19-Jul-2022</v>
      </c>
      <c r="B15322" s="1"/>
    </row>
    <row r="15323">
      <c r="A15323" s="1" t="str">
        <f>IFERROR(__xludf.DUMMYFUNCTION("""COMPUTED_VALUE"""),"147414;INF789F1AMF1;-;UTI Fixed Term Income Fund Series XXXII-II(1111 Days) - Direct Plan - Annual IDCW;10;19-Jul-2022")</f>
        <v>147414;INF789F1AMF1;-;UTI Fixed Term Income Fund Series XXXII-II(1111 Days) - Direct Plan - Annual IDCW;10;19-Jul-2022</v>
      </c>
      <c r="B15323" s="1"/>
    </row>
    <row r="15324">
      <c r="A15324" s="1" t="str">
        <f>IFERROR(__xludf.DUMMYFUNCTION("""COMPUTED_VALUE"""),"147415;INF789F1AMH7;-;UTI Fixed Term Income Fund Series XXXII-II(1111 Days) - Direct Plan - Flexi IDCW;10;19-Jul-2022")</f>
        <v>147415;INF789F1AMH7;-;UTI Fixed Term Income Fund Series XXXII-II(1111 Days) - Direct Plan - Flexi IDCW;10;19-Jul-2022</v>
      </c>
      <c r="B15324" s="1"/>
    </row>
    <row r="15325">
      <c r="A15325" s="1" t="str">
        <f>IFERROR(__xludf.DUMMYFUNCTION("""COMPUTED_VALUE"""),"147412;INF789F1AME4;-;UTI Fixed Term Income Fund Series XXXII-II(1111 Days) - Direct Plan - Quarterly IDCW;10;19-Jul-2022")</f>
        <v>147412;INF789F1AME4;-;UTI Fixed Term Income Fund Series XXXII-II(1111 Days) - Direct Plan - Quarterly IDCW;10;19-Jul-2022</v>
      </c>
      <c r="B15325" s="1"/>
    </row>
    <row r="15326">
      <c r="A15326" s="1" t="str">
        <f>IFERROR(__xludf.DUMMYFUNCTION("""COMPUTED_VALUE"""),"147416;INF789F1AMA2;-;UTI Fixed Term Income Fund Series XXXII-II(1111 Days) - Regular Plan - Annual IDCW;10;19-Jul-2022")</f>
        <v>147416;INF789F1AMA2;-;UTI Fixed Term Income Fund Series XXXII-II(1111 Days) - Regular Plan - Annual IDCW;10;19-Jul-2022</v>
      </c>
      <c r="B15326" s="1"/>
    </row>
    <row r="15327">
      <c r="A15327" s="1" t="str">
        <f>IFERROR(__xludf.DUMMYFUNCTION("""COMPUTED_VALUE"""),"147419;INF789F1AMC8;-;UTI Fixed Term Income Fund Series XXXII-II(1111 Days) - Regular Plan - Flexi IDCW;10;19-Jul-2022")</f>
        <v>147419;INF789F1AMC8;-;UTI Fixed Term Income Fund Series XXXII-II(1111 Days) - Regular Plan - Flexi IDCW;10;19-Jul-2022</v>
      </c>
      <c r="B15327" s="1"/>
    </row>
    <row r="15328">
      <c r="A15328" s="1" t="str">
        <f>IFERROR(__xludf.DUMMYFUNCTION("""COMPUTED_VALUE"""),"147418;INF789F1AMB0;-;UTI Fixed Term Income Fund Series XXXII-II(1111 Days) - Regular Plan - Maturity IDCW;10.0001;19-Jul-2022")</f>
        <v>147418;INF789F1AMB0;-;UTI Fixed Term Income Fund Series XXXII-II(1111 Days) - Regular Plan - Maturity IDCW;10.0001;19-Jul-2022</v>
      </c>
      <c r="B15328" s="1"/>
    </row>
    <row r="15329">
      <c r="A15329" s="1" t="str">
        <f>IFERROR(__xludf.DUMMYFUNCTION("""COMPUTED_VALUE"""),"147417;INF789F1ALZ1;-;UTI Fixed Term Income Fund Series XXXII-II(1111 Days) - Regular Plan - Quarterly IDCW;10;19-Jul-2022")</f>
        <v>147417;INF789F1ALZ1;-;UTI Fixed Term Income Fund Series XXXII-II(1111 Days) - Regular Plan - Quarterly IDCW;10;19-Jul-2022</v>
      </c>
      <c r="B15329" s="1"/>
    </row>
    <row r="15330">
      <c r="A15330" s="1" t="str">
        <f>IFERROR(__xludf.DUMMYFUNCTION("""COMPUTED_VALUE"""),"148197;INF789F1ARA1;-;UTI - Fixed Term Income Fund Series XXXIII-I (1135 Days) - Direct Plan - Growth Option;12.1742;25-Apr-2023")</f>
        <v>148197;INF789F1ARA1;-;UTI - Fixed Term Income Fund Series XXXIII-I (1135 Days) - Direct Plan - Growth Option;12.1742;25-Apr-2023</v>
      </c>
      <c r="B15330" s="1"/>
    </row>
    <row r="15331">
      <c r="A15331" s="1" t="str">
        <f>IFERROR(__xludf.DUMMYFUNCTION("""COMPUTED_VALUE"""),"148205;INF789F1AQV9;-;UTI - Fixed Term Income Fund Series XXXIII-I (1135 Days) - Regular Plan - Growth Option;12.0764;25-Apr-2023")</f>
        <v>148205;INF789F1AQV9;-;UTI - Fixed Term Income Fund Series XXXIII-I (1135 Days) - Regular Plan - Growth Option;12.0764;25-Apr-2023</v>
      </c>
      <c r="B15331" s="1"/>
    </row>
    <row r="15332">
      <c r="A15332" s="1" t="str">
        <f>IFERROR(__xludf.DUMMYFUNCTION("""COMPUTED_VALUE"""),"148198;INF789F1AQY3;-;UTI Fixed Term Income Fund Series XXXIII-I (1135 Days) - Direct Plan - Annual IDCW;10.3742;25-Apr-2023")</f>
        <v>148198;INF789F1AQY3;-;UTI Fixed Term Income Fund Series XXXIII-I (1135 Days) - Direct Plan - Annual IDCW;10.3742;25-Apr-2023</v>
      </c>
      <c r="B15332" s="1"/>
    </row>
    <row r="15333">
      <c r="A15333" s="1" t="str">
        <f>IFERROR(__xludf.DUMMYFUNCTION("""COMPUTED_VALUE"""),"148200;INF789F1ARB9;-;UTI Fixed Term Income Fund Series XXXIII-I (1135 Days) - Direct Plan - Flexi IDCW;10;25-Apr-2023")</f>
        <v>148200;INF789F1ARB9;-;UTI Fixed Term Income Fund Series XXXIII-I (1135 Days) - Direct Plan - Flexi IDCW;10;25-Apr-2023</v>
      </c>
      <c r="B15333" s="1"/>
    </row>
    <row r="15334">
      <c r="A15334" s="1" t="str">
        <f>IFERROR(__xludf.DUMMYFUNCTION("""COMPUTED_VALUE"""),"148199;INF789F1AQZ0;-;UTI Fixed Term Income Fund Series XXXIII-I (1135 Days) - Direct Plan - Maturity IDCW;10;25-Apr-2023")</f>
        <v>148199;INF789F1AQZ0;-;UTI Fixed Term Income Fund Series XXXIII-I (1135 Days) - Direct Plan - Maturity IDCW;10;25-Apr-2023</v>
      </c>
      <c r="B15334" s="1"/>
    </row>
    <row r="15335">
      <c r="A15335" s="1" t="str">
        <f>IFERROR(__xludf.DUMMYFUNCTION("""COMPUTED_VALUE"""),"148196;INF789F1AQX5;-;UTI Fixed Term Income Fund Series XXXIII-I (1135 Days) - Direct Plan - Quarterly IDCW;10.6186;25-Apr-2023")</f>
        <v>148196;INF789F1AQX5;-;UTI Fixed Term Income Fund Series XXXIII-I (1135 Days) - Direct Plan - Quarterly IDCW;10.6186;25-Apr-2023</v>
      </c>
      <c r="B15335" s="1"/>
    </row>
    <row r="15336">
      <c r="A15336" s="1" t="str">
        <f>IFERROR(__xludf.DUMMYFUNCTION("""COMPUTED_VALUE"""),"148204;INF789F1AQT3;-;UTI Fixed Term Income Fund Series XXXIII-I (1135 Days) - Regular Plan - Annual IDCW;10.3777;25-Apr-2023")</f>
        <v>148204;INF789F1AQT3;-;UTI Fixed Term Income Fund Series XXXIII-I (1135 Days) - Regular Plan - Annual IDCW;10.3777;25-Apr-2023</v>
      </c>
      <c r="B15336" s="1"/>
    </row>
    <row r="15337">
      <c r="A15337" s="1" t="str">
        <f>IFERROR(__xludf.DUMMYFUNCTION("""COMPUTED_VALUE"""),"148203;INF789F1AQU1;-;UTI Fixed Term Income Fund Series XXXIII-I (1135 Days) - Regular Plan - Maturity IDCW;10;25-Apr-2023")</f>
        <v>148203;INF789F1AQU1;-;UTI Fixed Term Income Fund Series XXXIII-I (1135 Days) - Regular Plan - Maturity IDCW;10;25-Apr-2023</v>
      </c>
      <c r="B15337" s="1"/>
    </row>
    <row r="15338">
      <c r="A15338" s="1" t="str">
        <f>IFERROR(__xludf.DUMMYFUNCTION("""COMPUTED_VALUE"""),"148202;INF789F1AQS5;-;UTI Fixed Term Income Fund Series XXXIII-I (1135 Days) - Regular Plan - Quarterly IDCW;10.5926;25-Apr-2023")</f>
        <v>148202;INF789F1AQS5;-;UTI Fixed Term Income Fund Series XXXIII-I (1135 Days) - Regular Plan - Quarterly IDCW;10.5926;25-Apr-2023</v>
      </c>
      <c r="B15338" s="1"/>
    </row>
    <row r="15339">
      <c r="A15339" s="1" t="str">
        <f>IFERROR(__xludf.DUMMYFUNCTION("""COMPUTED_VALUE"""),"141175;INF789FC1MV5;-;UTI FTIF Series XXVI-IX (1113 Days)- Direct Plan - Annual Div Option;10;28-Apr-2020")</f>
        <v>141175;INF789FC1MV5;-;UTI FTIF Series XXVI-IX (1113 Days)- Direct Plan - Annual Div Option;10;28-Apr-2020</v>
      </c>
      <c r="B15339" s="1"/>
    </row>
    <row r="15340">
      <c r="A15340" s="1" t="str">
        <f>IFERROR(__xludf.DUMMYFUNCTION("""COMPUTED_VALUE"""),"141176;INF789FC1NB5;-;UTI FTIF Series XXVI-IX (1113 Days)- Direct Plan - Growth Option;12.3808;28-Apr-2020")</f>
        <v>141176;INF789FC1NB5;-;UTI FTIF Series XXVI-IX (1113 Days)- Direct Plan - Growth Option;12.3808;28-Apr-2020</v>
      </c>
      <c r="B15340" s="1"/>
    </row>
    <row r="15341">
      <c r="A15341" s="1" t="str">
        <f>IFERROR(__xludf.DUMMYFUNCTION("""COMPUTED_VALUE"""),"141168;INF789FC1NA7;-;UTI FTIF Series XXVI-IX (1113 Days)- Direct Plan - Maturity Div Option;10;28-Apr-2020")</f>
        <v>141168;INF789FC1NA7;-;UTI FTIF Series XXVI-IX (1113 Days)- Direct Plan - Maturity Div Option;10;28-Apr-2020</v>
      </c>
      <c r="B15341" s="1"/>
    </row>
    <row r="15342">
      <c r="A15342" s="1" t="str">
        <f>IFERROR(__xludf.DUMMYFUNCTION("""COMPUTED_VALUE"""),"141167;INF789FC1MU7;-;UTI FTIF Series XXVI-IX (1113 Days)- Direct Plan - Quarterly Div Option;10;28-Apr-2020")</f>
        <v>141167;INF789FC1MU7;-;UTI FTIF Series XXVI-IX (1113 Days)- Direct Plan - Quarterly Div Option;10;28-Apr-2020</v>
      </c>
      <c r="B15342" s="1"/>
    </row>
    <row r="15343">
      <c r="A15343" s="1" t="str">
        <f>IFERROR(__xludf.DUMMYFUNCTION("""COMPUTED_VALUE"""),"141169;INF789FC1MZ6;-;UTI FTIF Series XXVI-IX (1113 Days)- Regular Plan - Annual Div Option;10;28-Apr-2020")</f>
        <v>141169;INF789FC1MZ6;-;UTI FTIF Series XXVI-IX (1113 Days)- Regular Plan - Annual Div Option;10;28-Apr-2020</v>
      </c>
      <c r="B15343" s="1"/>
    </row>
    <row r="15344">
      <c r="A15344" s="1" t="str">
        <f>IFERROR(__xludf.DUMMYFUNCTION("""COMPUTED_VALUE"""),"141170;INF789FC1MX1;-;UTI FTIF Series XXVI-IX (1113 Days)- Regular Plan - Flexi Div Option;10;28-Apr-2020")</f>
        <v>141170;INF789FC1MX1;-;UTI FTIF Series XXVI-IX (1113 Days)- Regular Plan - Flexi Div Option;10;28-Apr-2020</v>
      </c>
      <c r="B15344" s="1"/>
    </row>
    <row r="15345">
      <c r="A15345" s="1" t="str">
        <f>IFERROR(__xludf.DUMMYFUNCTION("""COMPUTED_VALUE"""),"141173;INF789FC1ND1;-;UTI FTIF Series XXVI-IX (1113 Days)- Regular Plan - Growth Option;12.2577;28-Apr-2020")</f>
        <v>141173;INF789FC1ND1;-;UTI FTIF Series XXVI-IX (1113 Days)- Regular Plan - Growth Option;12.2577;28-Apr-2020</v>
      </c>
      <c r="B15345" s="1"/>
    </row>
    <row r="15346">
      <c r="A15346" s="1" t="str">
        <f>IFERROR(__xludf.DUMMYFUNCTION("""COMPUTED_VALUE"""),"141174;INF789FC1NC3;-;UTI FTIF Series XXVI-IX (1113 Days)- Regular Plan - Maturity Div Option;10;28-Apr-2020")</f>
        <v>141174;INF789FC1NC3;-;UTI FTIF Series XXVI-IX (1113 Days)- Regular Plan - Maturity Div Option;10;28-Apr-2020</v>
      </c>
      <c r="B15346" s="1"/>
    </row>
    <row r="15347">
      <c r="A15347" s="1" t="str">
        <f>IFERROR(__xludf.DUMMYFUNCTION("""COMPUTED_VALUE"""),"141171;INF789FC1MY9;-;UTI FTIF Series XXVI-IX (1113 Days)- Regular Plan - Quarterly Div Option;10;28-Apr-2020")</f>
        <v>141171;INF789FC1MY9;-;UTI FTIF Series XXVI-IX (1113 Days)- Regular Plan - Quarterly Div Option;10;28-Apr-2020</v>
      </c>
      <c r="B15347" s="1"/>
    </row>
    <row r="15348">
      <c r="A15348" s="1" t="str">
        <f>IFERROR(__xludf.DUMMYFUNCTION("""COMPUTED_VALUE"""),"141201;INF789FC1NF6;-;UTI FTIF Series XXVI-X (1107 Days)- Direct Plan - Annual Div Option;10;28-Apr-2020")</f>
        <v>141201;INF789FC1NF6;-;UTI FTIF Series XXVI-X (1107 Days)- Direct Plan - Annual Div Option;10;28-Apr-2020</v>
      </c>
      <c r="B15348" s="1"/>
    </row>
    <row r="15349">
      <c r="A15349" s="1" t="str">
        <f>IFERROR(__xludf.DUMMYFUNCTION("""COMPUTED_VALUE"""),"141200;INF789FC1NG4;-;UTI FTIF Series XXVI-X (1107 Days)- Direct Plan - Flexi Div Option;10;28-Apr-2020")</f>
        <v>141200;INF789FC1NG4;-;UTI FTIF Series XXVI-X (1107 Days)- Direct Plan - Flexi Div Option;10;28-Apr-2020</v>
      </c>
      <c r="B15349" s="1"/>
    </row>
    <row r="15350">
      <c r="A15350" s="1" t="str">
        <f>IFERROR(__xludf.DUMMYFUNCTION("""COMPUTED_VALUE"""),"141193;INF789FC1NL4;-;UTI FTIF Series XXVI-X (1107 Days)- Direct Plan - Growth Option;12.3658;28-Apr-2020")</f>
        <v>141193;INF789FC1NL4;-;UTI FTIF Series XXVI-X (1107 Days)- Direct Plan - Growth Option;12.3658;28-Apr-2020</v>
      </c>
      <c r="B15350" s="1"/>
    </row>
    <row r="15351">
      <c r="A15351" s="1" t="str">
        <f>IFERROR(__xludf.DUMMYFUNCTION("""COMPUTED_VALUE"""),"141194;INF789FC1NK6;-;UTI FTIF Series XXVI-X (1107 Days)- Direct Plan - Maturity Div Option;10;28-Apr-2020")</f>
        <v>141194;INF789FC1NK6;-;UTI FTIF Series XXVI-X (1107 Days)- Direct Plan - Maturity Div Option;10;28-Apr-2020</v>
      </c>
      <c r="B15351" s="1"/>
    </row>
    <row r="15352">
      <c r="A15352" s="1" t="str">
        <f>IFERROR(__xludf.DUMMYFUNCTION("""COMPUTED_VALUE"""),"141199;INF789FC1NE9;-;UTI FTIF Series XXVI-X (1107 Days)- Direct Plan - Quarterly Div Option;10;28-Apr-2020")</f>
        <v>141199;INF789FC1NE9;-;UTI FTIF Series XXVI-X (1107 Days)- Direct Plan - Quarterly Div Option;10;28-Apr-2020</v>
      </c>
      <c r="B15352" s="1"/>
    </row>
    <row r="15353">
      <c r="A15353" s="1" t="str">
        <f>IFERROR(__xludf.DUMMYFUNCTION("""COMPUTED_VALUE"""),"141196;INF789FC1NJ8;-;UTI FTIF Series XXVI-X (1107 Days)- Regular Plan - Annual Div Option;10;28-Apr-2020")</f>
        <v>141196;INF789FC1NJ8;-;UTI FTIF Series XXVI-X (1107 Days)- Regular Plan - Annual Div Option;10;28-Apr-2020</v>
      </c>
      <c r="B15353" s="1"/>
    </row>
    <row r="15354">
      <c r="A15354" s="1" t="str">
        <f>IFERROR(__xludf.DUMMYFUNCTION("""COMPUTED_VALUE"""),"141195;INF789FC1NN0;-;UTI FTIF Series XXVI-X (1107 Days)- Regular Plan - Growth Option;12.2428;28-Apr-2020")</f>
        <v>141195;INF789FC1NN0;-;UTI FTIF Series XXVI-X (1107 Days)- Regular Plan - Growth Option;12.2428;28-Apr-2020</v>
      </c>
      <c r="B15354" s="1"/>
    </row>
    <row r="15355">
      <c r="A15355" s="1" t="str">
        <f>IFERROR(__xludf.DUMMYFUNCTION("""COMPUTED_VALUE"""),"141197;INF789FC1NM2;-;UTI FTIF Series XXVI-X (1107 Days)- Regular Plan - Maturity Div Option;10;28-Apr-2020")</f>
        <v>141197;INF789FC1NM2;-;UTI FTIF Series XXVI-X (1107 Days)- Regular Plan - Maturity Div Option;10;28-Apr-2020</v>
      </c>
      <c r="B15355" s="1"/>
    </row>
    <row r="15356">
      <c r="A15356" s="1" t="str">
        <f>IFERROR(__xludf.DUMMYFUNCTION("""COMPUTED_VALUE"""),"141198;INF789FC1NI0;-;UTI FTIF Series XXVI-X (1107 Days)- Regular Plan - Quarterly Div Option;10;28-Apr-2020")</f>
        <v>141198;INF789FC1NI0;-;UTI FTIF Series XXVI-X (1107 Days)- Regular Plan - Quarterly Div Option;10;28-Apr-2020</v>
      </c>
      <c r="B15356" s="1"/>
    </row>
    <row r="15357">
      <c r="A15357" s="1" t="str">
        <f>IFERROR(__xludf.DUMMYFUNCTION("""COMPUTED_VALUE"""),"141242;INF789FC1ST6;-;UTI FTIF Series XXVI-XI (1105 Days)- Direct Plan - Annual Div Option;10;28-Apr-2020")</f>
        <v>141242;INF789FC1ST6;-;UTI FTIF Series XXVI-XI (1105 Days)- Direct Plan - Annual Div Option;10;28-Apr-2020</v>
      </c>
      <c r="B15357" s="1"/>
    </row>
    <row r="15358">
      <c r="A15358" s="1" t="str">
        <f>IFERROR(__xludf.DUMMYFUNCTION("""COMPUTED_VALUE"""),"141233;INF789FC1SU4;-;UTI FTIF Series XXVI-XI (1105 Days)- Direct Plan - Flexi Div Option;10;28-Apr-2020")</f>
        <v>141233;INF789FC1SU4;-;UTI FTIF Series XXVI-XI (1105 Days)- Direct Plan - Flexi Div Option;10;28-Apr-2020</v>
      </c>
      <c r="B15358" s="1"/>
    </row>
    <row r="15359">
      <c r="A15359" s="1" t="str">
        <f>IFERROR(__xludf.DUMMYFUNCTION("""COMPUTED_VALUE"""),"141236;INF789FC1SZ3;-;UTI FTIF Series XXVI-XI (1105 Days)- Direct Plan - Growth Option;12.3598;28-Apr-2020")</f>
        <v>141236;INF789FC1SZ3;-;UTI FTIF Series XXVI-XI (1105 Days)- Direct Plan - Growth Option;12.3598;28-Apr-2020</v>
      </c>
      <c r="B15359" s="1"/>
    </row>
    <row r="15360">
      <c r="A15360" s="1" t="str">
        <f>IFERROR(__xludf.DUMMYFUNCTION("""COMPUTED_VALUE"""),"141238;INF789FC1SY6;-;UTI FTIF Series XXVI-XI (1105 Days)- Direct Plan - Maturity Div Option;10;28-Apr-2020")</f>
        <v>141238;INF789FC1SY6;-;UTI FTIF Series XXVI-XI (1105 Days)- Direct Plan - Maturity Div Option;10;28-Apr-2020</v>
      </c>
      <c r="B15360" s="1"/>
    </row>
    <row r="15361">
      <c r="A15361" s="1" t="str">
        <f>IFERROR(__xludf.DUMMYFUNCTION("""COMPUTED_VALUE"""),"141237;INF789FC1SS8;-;UTI FTIF Series XXVI-XI (1105 Days)- Direct Plan - Quarterly Div  Option;10;28-Apr-2020")</f>
        <v>141237;INF789FC1SS8;-;UTI FTIF Series XXVI-XI (1105 Days)- Direct Plan - Quarterly Div  Option;10;28-Apr-2020</v>
      </c>
      <c r="B15361" s="1"/>
    </row>
    <row r="15362">
      <c r="A15362" s="1" t="str">
        <f>IFERROR(__xludf.DUMMYFUNCTION("""COMPUTED_VALUE"""),"141234;INF789FC1SX8;-;UTI FTIF Series XXVI-XI (1105 Days)- Regular Plan - Annual Div Option;10;28-Apr-2020")</f>
        <v>141234;INF789FC1SX8;-;UTI FTIF Series XXVI-XI (1105 Days)- Regular Plan - Annual Div Option;10;28-Apr-2020</v>
      </c>
      <c r="B15362" s="1"/>
    </row>
    <row r="15363">
      <c r="A15363" s="1" t="str">
        <f>IFERROR(__xludf.DUMMYFUNCTION("""COMPUTED_VALUE"""),"141235;INF789FC1SV2;-;UTI FTIF Series XXVI-XI (1105 Days)- Regular Plan - Flexi Div Option;10;28-Apr-2020")</f>
        <v>141235;INF789FC1SV2;-;UTI FTIF Series XXVI-XI (1105 Days)- Regular Plan - Flexi Div Option;10;28-Apr-2020</v>
      </c>
      <c r="B15363" s="1"/>
    </row>
    <row r="15364">
      <c r="A15364" s="1" t="str">
        <f>IFERROR(__xludf.DUMMYFUNCTION("""COMPUTED_VALUE"""),"141240;INF789FC1TB2;-;UTI FTIF Series XXVI-XI (1105 Days)- Regular Plan - Growth Option;12.2369;28-Apr-2020")</f>
        <v>141240;INF789FC1TB2;-;UTI FTIF Series XXVI-XI (1105 Days)- Regular Plan - Growth Option;12.2369;28-Apr-2020</v>
      </c>
      <c r="B15364" s="1"/>
    </row>
    <row r="15365">
      <c r="A15365" s="1" t="str">
        <f>IFERROR(__xludf.DUMMYFUNCTION("""COMPUTED_VALUE"""),"141239;INF789FC1TA4;-;UTI FTIF Series XXVI-XI (1105 Days)- Regular Plan - Maturity Div Option;10;28-Apr-2020")</f>
        <v>141239;INF789FC1TA4;-;UTI FTIF Series XXVI-XI (1105 Days)- Regular Plan - Maturity Div Option;10;28-Apr-2020</v>
      </c>
      <c r="B15365" s="1"/>
    </row>
    <row r="15366">
      <c r="A15366" s="1" t="str">
        <f>IFERROR(__xludf.DUMMYFUNCTION("""COMPUTED_VALUE"""),"141241;INF789FC1SW0;-;UTI FTIF Series XXVI-XI (1105 Days)- Regular Plan - Quarterly Div Option;10;28-Apr-2020")</f>
        <v>141241;INF789FC1SW0;-;UTI FTIF Series XXVI-XI (1105 Days)- Regular Plan - Quarterly Div Option;10;28-Apr-2020</v>
      </c>
      <c r="B15366" s="1"/>
    </row>
    <row r="15367">
      <c r="A15367" s="1" t="str">
        <f>IFERROR(__xludf.DUMMYFUNCTION("""COMPUTED_VALUE"""),"141292;INF789FC1TM9;-;UTI FTIF Series XXVI-XII (1096 Days)- Direct Plan  - Maturity Div Option;10;28-Apr-2020")</f>
        <v>141292;INF789FC1TM9;-;UTI FTIF Series XXVI-XII (1096 Days)- Direct Plan  - Maturity Div Option;10;28-Apr-2020</v>
      </c>
      <c r="B15367" s="1"/>
    </row>
    <row r="15368">
      <c r="A15368" s="1" t="str">
        <f>IFERROR(__xludf.DUMMYFUNCTION("""COMPUTED_VALUE"""),"141287;INF789FC1TH9;-;UTI FTIF Series XXVI-XII (1096 Days)- Direct Plan - Annual Div Option;10;28-Apr-2020")</f>
        <v>141287;INF789FC1TH9;-;UTI FTIF Series XXVI-XII (1096 Days)- Direct Plan - Annual Div Option;10;28-Apr-2020</v>
      </c>
      <c r="B15368" s="1"/>
    </row>
    <row r="15369">
      <c r="A15369" s="1" t="str">
        <f>IFERROR(__xludf.DUMMYFUNCTION("""COMPUTED_VALUE"""),"141293;INF789FC1TI7;-;UTI FTIF Series XXVI-XII (1096 Days)- Direct Plan - Flexi Div Option;10;28-Apr-2020")</f>
        <v>141293;INF789FC1TI7;-;UTI FTIF Series XXVI-XII (1096 Days)- Direct Plan - Flexi Div Option;10;28-Apr-2020</v>
      </c>
      <c r="B15369" s="1"/>
    </row>
    <row r="15370">
      <c r="A15370" s="1" t="str">
        <f>IFERROR(__xludf.DUMMYFUNCTION("""COMPUTED_VALUE"""),"141296;INF789FC1TN7;-;UTI FTIF Series XXVI-XII (1096 Days)- Direct Plan - Growth Option;12.3522;28-Apr-2020")</f>
        <v>141296;INF789FC1TN7;-;UTI FTIF Series XXVI-XII (1096 Days)- Direct Plan - Growth Option;12.3522;28-Apr-2020</v>
      </c>
      <c r="B15370" s="1"/>
    </row>
    <row r="15371">
      <c r="A15371" s="1" t="str">
        <f>IFERROR(__xludf.DUMMYFUNCTION("""COMPUTED_VALUE"""),"141288;INF789FC1TG1;-;UTI FTIF Series XXVI-XII (1096 Days)- Direct Plan - Quarterly Div Option;10;28-Apr-2020")</f>
        <v>141288;INF789FC1TG1;-;UTI FTIF Series XXVI-XII (1096 Days)- Direct Plan - Quarterly Div Option;10;28-Apr-2020</v>
      </c>
      <c r="B15371" s="1"/>
    </row>
    <row r="15372">
      <c r="A15372" s="1" t="str">
        <f>IFERROR(__xludf.DUMMYFUNCTION("""COMPUTED_VALUE"""),"141290;INF789FC1TL1;-;UTI FTIF Series XXVI-XII (1096 Days)- Regular Plan - Annual Div Option;10;28-Apr-2020")</f>
        <v>141290;INF789FC1TL1;-;UTI FTIF Series XXVI-XII (1096 Days)- Regular Plan - Annual Div Option;10;28-Apr-2020</v>
      </c>
      <c r="B15372" s="1"/>
    </row>
    <row r="15373">
      <c r="A15373" s="1" t="str">
        <f>IFERROR(__xludf.DUMMYFUNCTION("""COMPUTED_VALUE"""),"141289;INF789FC1TP2;-;UTI FTIF Series XXVI-XII (1096 Days)- Regular Plan - Growth Option;12.2293;28-Apr-2020")</f>
        <v>141289;INF789FC1TP2;-;UTI FTIF Series XXVI-XII (1096 Days)- Regular Plan - Growth Option;12.2293;28-Apr-2020</v>
      </c>
      <c r="B15373" s="1"/>
    </row>
    <row r="15374">
      <c r="A15374" s="1" t="str">
        <f>IFERROR(__xludf.DUMMYFUNCTION("""COMPUTED_VALUE"""),"141291;INF789FC1TO5;-;UTI FTIF Series XXVI-XII (1096 Days)- Regular Plan - Maturity Div Option;10;28-Apr-2020")</f>
        <v>141291;INF789FC1TO5;-;UTI FTIF Series XXVI-XII (1096 Days)- Regular Plan - Maturity Div Option;10;28-Apr-2020</v>
      </c>
      <c r="B15374" s="1"/>
    </row>
    <row r="15375">
      <c r="A15375" s="1" t="str">
        <f>IFERROR(__xludf.DUMMYFUNCTION("""COMPUTED_VALUE"""),"141295;INF789FC1TK3;-;UTI FTIF Series XXVI-XII (1096 Days)- Regular Plan - Quarterly Div Option;10;28-Apr-2020")</f>
        <v>141295;INF789FC1TK3;-;UTI FTIF Series XXVI-XII (1096 Days)- Regular Plan - Quarterly Div Option;10;28-Apr-2020</v>
      </c>
      <c r="B15375" s="1"/>
    </row>
    <row r="15376">
      <c r="A15376" s="1" t="str">
        <f>IFERROR(__xludf.DUMMYFUNCTION("""COMPUTED_VALUE"""),"141308;INF789FC1TR8;-;UTI FTIF Series XXVI-XIII (1124 Days)- Direct Plan - Annual Div Option;10;02-Jun-2020")</f>
        <v>141308;INF789FC1TR8;-;UTI FTIF Series XXVI-XIII (1124 Days)- Direct Plan - Annual Div Option;10;02-Jun-2020</v>
      </c>
      <c r="B15376" s="1"/>
    </row>
    <row r="15377">
      <c r="A15377" s="1" t="str">
        <f>IFERROR(__xludf.DUMMYFUNCTION("""COMPUTED_VALUE"""),"141307;INF789FC1TX6;-;UTI FTIF Series XXVI-XIII (1124 Days)- Direct Plan - Growth Option;12.626;02-Jun-2020")</f>
        <v>141307;INF789FC1TX6;-;UTI FTIF Series XXVI-XIII (1124 Days)- Direct Plan - Growth Option;12.626;02-Jun-2020</v>
      </c>
      <c r="B15377" s="1"/>
    </row>
    <row r="15378">
      <c r="A15378" s="1" t="str">
        <f>IFERROR(__xludf.DUMMYFUNCTION("""COMPUTED_VALUE"""),"141309;INF789FC1TW8;-;UTI FTIF Series XXVI-XIII (1124 Days)- Direct Plan - Maturity Div Option;10;02-Jun-2020")</f>
        <v>141309;INF789FC1TW8;-;UTI FTIF Series XXVI-XIII (1124 Days)- Direct Plan - Maturity Div Option;10;02-Jun-2020</v>
      </c>
      <c r="B15378" s="1"/>
    </row>
    <row r="15379">
      <c r="A15379" s="1" t="str">
        <f>IFERROR(__xludf.DUMMYFUNCTION("""COMPUTED_VALUE"""),"141315;INF789FC1TQ0;-;UTI FTIF Series XXVI-XIII (1124 Days)- Direct Plan - Quarterly Div Option;10;02-Jun-2020")</f>
        <v>141315;INF789FC1TQ0;-;UTI FTIF Series XXVI-XIII (1124 Days)- Direct Plan - Quarterly Div Option;10;02-Jun-2020</v>
      </c>
      <c r="B15379" s="1"/>
    </row>
    <row r="15380">
      <c r="A15380" s="1" t="str">
        <f>IFERROR(__xludf.DUMMYFUNCTION("""COMPUTED_VALUE"""),"141313;INF789FC1TV0;-;UTI FTIF Series XXVI-XIII (1124 Days)- Regular Plan - Annual Div Option;10;02-Jun-2020")</f>
        <v>141313;INF789FC1TV0;-;UTI FTIF Series XXVI-XIII (1124 Days)- Regular Plan - Annual Div Option;10;02-Jun-2020</v>
      </c>
      <c r="B15380" s="1"/>
    </row>
    <row r="15381">
      <c r="A15381" s="1" t="str">
        <f>IFERROR(__xludf.DUMMYFUNCTION("""COMPUTED_VALUE"""),"141312;INF789FC1TT4;-;UTI FTIF Series XXVI-XIII (1124 Days)- Regular Plan - Flexi Div Option;10;02-Jun-2020")</f>
        <v>141312;INF789FC1TT4;-;UTI FTIF Series XXVI-XIII (1124 Days)- Regular Plan - Flexi Div Option;10;02-Jun-2020</v>
      </c>
      <c r="B15381" s="1"/>
    </row>
    <row r="15382">
      <c r="A15382" s="1" t="str">
        <f>IFERROR(__xludf.DUMMYFUNCTION("""COMPUTED_VALUE"""),"141311;INF789FC1TZ1;-;UTI FTIF Series XXVI-XIII (1124 Days)- Regular Plan - Growth Option;12.5003;02-Jun-2020")</f>
        <v>141311;INF789FC1TZ1;-;UTI FTIF Series XXVI-XIII (1124 Days)- Regular Plan - Growth Option;12.5003;02-Jun-2020</v>
      </c>
      <c r="B15382" s="1"/>
    </row>
    <row r="15383">
      <c r="A15383" s="1" t="str">
        <f>IFERROR(__xludf.DUMMYFUNCTION("""COMPUTED_VALUE"""),"141314;INF789FC1TY4;-;UTI FTIF Series XXVI-XIII (1124 Days)- Regular Plan - Maturity Div Option;10;02-Jun-2020")</f>
        <v>141314;INF789FC1TY4;-;UTI FTIF Series XXVI-XIII (1124 Days)- Regular Plan - Maturity Div Option;10;02-Jun-2020</v>
      </c>
      <c r="B15383" s="1"/>
    </row>
    <row r="15384">
      <c r="A15384" s="1" t="str">
        <f>IFERROR(__xludf.DUMMYFUNCTION("""COMPUTED_VALUE"""),"141316;INF789FC1TU2;-;UTI FTIF Series XXVI-XIII (1124 Days)- Regular Plan - Quarterly Div Option;10;02-Jun-2020")</f>
        <v>141316;INF789FC1TU2;-;UTI FTIF Series XXVI-XIII (1124 Days)- Regular Plan - Quarterly Div Option;10;02-Jun-2020</v>
      </c>
      <c r="B15384" s="1"/>
    </row>
    <row r="15385">
      <c r="A15385" s="1" t="str">
        <f>IFERROR(__xludf.DUMMYFUNCTION("""COMPUTED_VALUE"""),"141394;INF789FC1ZP9;-;UTI FTIF Series XXVI-XIV (1105 Days) - Direct Plan - Annual Div Option;10;02-Jun-2020")</f>
        <v>141394;INF789FC1ZP9;-;UTI FTIF Series XXVI-XIV (1105 Days) - Direct Plan - Annual Div Option;10;02-Jun-2020</v>
      </c>
      <c r="B15385" s="1"/>
    </row>
    <row r="15386">
      <c r="A15386" s="1" t="str">
        <f>IFERROR(__xludf.DUMMYFUNCTION("""COMPUTED_VALUE"""),"141395;INF789FC1ZQ7;-;UTI FTIF Series XXVI-XIV (1105 Days) - Direct Plan - Flexi Div Option;10;02-Jun-2020")</f>
        <v>141395;INF789FC1ZQ7;-;UTI FTIF Series XXVI-XIV (1105 Days) - Direct Plan - Flexi Div Option;10;02-Jun-2020</v>
      </c>
      <c r="B15386" s="1"/>
    </row>
    <row r="15387">
      <c r="A15387" s="1" t="str">
        <f>IFERROR(__xludf.DUMMYFUNCTION("""COMPUTED_VALUE"""),"141402;INF789FC1ZV7;-;UTI FTIF Series XXVI-XIV (1105 Days) - Direct Plan - Growth Option;12.3488;02-Jun-2020")</f>
        <v>141402;INF789FC1ZV7;-;UTI FTIF Series XXVI-XIV (1105 Days) - Direct Plan - Growth Option;12.3488;02-Jun-2020</v>
      </c>
      <c r="B15387" s="1"/>
    </row>
    <row r="15388">
      <c r="A15388" s="1" t="str">
        <f>IFERROR(__xludf.DUMMYFUNCTION("""COMPUTED_VALUE"""),"141396;INF789FC1ZU9;-;UTI FTIF Series XXVI-XIV (1105 Days) - Direct Plan - Maturity Div Div Option;10;02-Jun-2020")</f>
        <v>141396;INF789FC1ZU9;-;UTI FTIF Series XXVI-XIV (1105 Days) - Direct Plan - Maturity Div Div Option;10;02-Jun-2020</v>
      </c>
      <c r="B15388" s="1"/>
    </row>
    <row r="15389">
      <c r="A15389" s="1" t="str">
        <f>IFERROR(__xludf.DUMMYFUNCTION("""COMPUTED_VALUE"""),"141397;INF789FC1ZO2;-;UTI FTIF Series XXVI-XIV (1105 Days) - Direct Plan - Quarterly Div Option;10;02-Jun-2020")</f>
        <v>141397;INF789FC1ZO2;-;UTI FTIF Series XXVI-XIV (1105 Days) - Direct Plan - Quarterly Div Option;10;02-Jun-2020</v>
      </c>
      <c r="B15389" s="1"/>
    </row>
    <row r="15390">
      <c r="A15390" s="1" t="str">
        <f>IFERROR(__xludf.DUMMYFUNCTION("""COMPUTED_VALUE"""),"141398;INF789FC1ZT1;-;UTI FTIF Series XXVI-XIV (1105 Days) - Regular Plan - Annual Div Option;10;02-Jun-2020")</f>
        <v>141398;INF789FC1ZT1;-;UTI FTIF Series XXVI-XIV (1105 Days) - Regular Plan - Annual Div Option;10;02-Jun-2020</v>
      </c>
      <c r="B15390" s="1"/>
    </row>
    <row r="15391">
      <c r="A15391" s="1" t="str">
        <f>IFERROR(__xludf.DUMMYFUNCTION("""COMPUTED_VALUE"""),"141399;INF789FC1ZR5;-;UTI FTIF Series XXVI-XIV (1105 Days) - Regular Plan - Flexi Div Option;10;02-Jun-2020")</f>
        <v>141399;INF789FC1ZR5;-;UTI FTIF Series XXVI-XIV (1105 Days) - Regular Plan - Flexi Div Option;10;02-Jun-2020</v>
      </c>
      <c r="B15391" s="1"/>
    </row>
    <row r="15392">
      <c r="A15392" s="1" t="str">
        <f>IFERROR(__xludf.DUMMYFUNCTION("""COMPUTED_VALUE"""),"141400;INF789FC1ZX3;-;UTI FTIF Series XXVI-XIV (1105 Days) - Regular Plan - Growth Option;12.2259;02-Jun-2020")</f>
        <v>141400;INF789FC1ZX3;-;UTI FTIF Series XXVI-XIV (1105 Days) - Regular Plan - Growth Option;12.2259;02-Jun-2020</v>
      </c>
      <c r="B15392" s="1"/>
    </row>
    <row r="15393">
      <c r="A15393" s="1" t="str">
        <f>IFERROR(__xludf.DUMMYFUNCTION("""COMPUTED_VALUE"""),"141403;INF789FC1ZW5;-;UTI FTIF Series XXVI-XIV (1105 Days) - Regular Plan - Maturity Div Option;10;02-Jun-2020")</f>
        <v>141403;INF789FC1ZW5;-;UTI FTIF Series XXVI-XIV (1105 Days) - Regular Plan - Maturity Div Option;10;02-Jun-2020</v>
      </c>
      <c r="B15393" s="1"/>
    </row>
    <row r="15394">
      <c r="A15394" s="1" t="str">
        <f>IFERROR(__xludf.DUMMYFUNCTION("""COMPUTED_VALUE"""),"141401;INF789FC1ZS3;-;UTI FTIF Series XXVI-XIV (1105 Days) - Regular Plan - Quarterly Div Option;10;02-Jun-2020")</f>
        <v>141401;INF789FC1ZS3;-;UTI FTIF Series XXVI-XIV (1105 Days) - Regular Plan - Quarterly Div Option;10;02-Jun-2020</v>
      </c>
      <c r="B15394" s="1"/>
    </row>
    <row r="15395">
      <c r="A15395" s="1" t="str">
        <f>IFERROR(__xludf.DUMMYFUNCTION("""COMPUTED_VALUE"""),"141453;INF789FC1A38;-;UTI FTIF Series XXVI-XV (1097 Days) - Direct Plan - Annual Div Option;10;02-Jun-2020")</f>
        <v>141453;INF789FC1A38;-;UTI FTIF Series XXVI-XV (1097 Days) - Direct Plan - Annual Div Option;10;02-Jun-2020</v>
      </c>
      <c r="B15395" s="1"/>
    </row>
    <row r="15396">
      <c r="A15396" s="1" t="str">
        <f>IFERROR(__xludf.DUMMYFUNCTION("""COMPUTED_VALUE"""),"141452;INF789FC1A95;-;UTI FTIF Series XXVI-XV (1097 Days) - Direct Plan - Growth Option;12.3262;02-Jun-2020")</f>
        <v>141452;INF789FC1A95;-;UTI FTIF Series XXVI-XV (1097 Days) - Direct Plan - Growth Option;12.3262;02-Jun-2020</v>
      </c>
      <c r="B15396" s="1"/>
    </row>
    <row r="15397">
      <c r="A15397" s="1" t="str">
        <f>IFERROR(__xludf.DUMMYFUNCTION("""COMPUTED_VALUE"""),"141455;INF789FC1A87;-;UTI FTIF Series XXVI-XV (1097 Days) - Direct Plan - Maturity Div Option;10.0004;02-Jun-2020")</f>
        <v>141455;INF789FC1A87;-;UTI FTIF Series XXVI-XV (1097 Days) - Direct Plan - Maturity Div Option;10.0004;02-Jun-2020</v>
      </c>
      <c r="B15397" s="1"/>
    </row>
    <row r="15398">
      <c r="A15398" s="1" t="str">
        <f>IFERROR(__xludf.DUMMYFUNCTION("""COMPUTED_VALUE"""),"141454;INF789FC1A20;-;UTI FTIF Series XXVI-XV (1097 Days) - Direct Plan - Quarterly Div Option;10;02-Jun-2020")</f>
        <v>141454;INF789FC1A20;-;UTI FTIF Series XXVI-XV (1097 Days) - Direct Plan - Quarterly Div Option;10;02-Jun-2020</v>
      </c>
      <c r="B15398" s="1"/>
    </row>
    <row r="15399">
      <c r="A15399" s="1" t="str">
        <f>IFERROR(__xludf.DUMMYFUNCTION("""COMPUTED_VALUE"""),"141456;INF789FC1A79;-;UTI FTIF Series XXVI-XV (1097 Days) - Regular Plan - Annual Div Option;10;02-Jun-2020")</f>
        <v>141456;INF789FC1A79;-;UTI FTIF Series XXVI-XV (1097 Days) - Regular Plan - Annual Div Option;10;02-Jun-2020</v>
      </c>
      <c r="B15399" s="1"/>
    </row>
    <row r="15400">
      <c r="A15400" s="1" t="str">
        <f>IFERROR(__xludf.DUMMYFUNCTION("""COMPUTED_VALUE"""),"141451;INF789FC1A53;-;UTI FTIF Series XXVI-XV (1097 Days) - Regular Plan - Flexi Div Option;10;02-Jun-2020")</f>
        <v>141451;INF789FC1A53;-;UTI FTIF Series XXVI-XV (1097 Days) - Regular Plan - Flexi Div Option;10;02-Jun-2020</v>
      </c>
      <c r="B15400" s="1"/>
    </row>
    <row r="15401">
      <c r="A15401" s="1" t="str">
        <f>IFERROR(__xludf.DUMMYFUNCTION("""COMPUTED_VALUE"""),"141449;INF789FC1B11;-;UTI FTIF Series XXVI-XV (1097 Days) - Regular Plan - Growth Option;12.2034;02-Jun-2020")</f>
        <v>141449;INF789FC1B11;-;UTI FTIF Series XXVI-XV (1097 Days) - Regular Plan - Growth Option;12.2034;02-Jun-2020</v>
      </c>
      <c r="B15401" s="1"/>
    </row>
    <row r="15402">
      <c r="A15402" s="1" t="str">
        <f>IFERROR(__xludf.DUMMYFUNCTION("""COMPUTED_VALUE"""),"141450;INF789FC1B03;-;UTI FTIF Series XXVI-XV (1097 Days) - Regular Plan - Maturity Div Option;10;02-Jun-2020")</f>
        <v>141450;INF789FC1B03;-;UTI FTIF Series XXVI-XV (1097 Days) - Regular Plan - Maturity Div Option;10;02-Jun-2020</v>
      </c>
      <c r="B15402" s="1"/>
    </row>
    <row r="15403">
      <c r="A15403" s="1" t="str">
        <f>IFERROR(__xludf.DUMMYFUNCTION("""COMPUTED_VALUE"""),"141457;INF789FC1A61;-;UTI FTIF Series XXVI-XV (1097 Days) - Regular Plan - Quarterly Div Option;10;02-Jun-2020")</f>
        <v>141457;INF789FC1A61;-;UTI FTIF Series XXVI-XV (1097 Days) - Regular Plan - Quarterly Div Option;10;02-Jun-2020</v>
      </c>
      <c r="B15403" s="1"/>
    </row>
    <row r="15404">
      <c r="A15404" s="1" t="str">
        <f>IFERROR(__xludf.DUMMYFUNCTION("""COMPUTED_VALUE"""),"141478;INF789FC1K93;-;UTI FTIF Series XXVII-I (1113 Days) - Direct Plan - Annual Div Option;10;07-Jul-2020")</f>
        <v>141478;INF789FC1K93;-;UTI FTIF Series XXVII-I (1113 Days) - Direct Plan - Annual Div Option;10;07-Jul-2020</v>
      </c>
      <c r="B15404" s="1"/>
    </row>
    <row r="15405">
      <c r="A15405" s="1" t="str">
        <f>IFERROR(__xludf.DUMMYFUNCTION("""COMPUTED_VALUE"""),"141480;INF789FC1L01;-;UTI FTIF Series XXVII-I (1113 Days) - Direct Plan - Flexi Div Option;10;07-Jul-2020")</f>
        <v>141480;INF789FC1L01;-;UTI FTIF Series XXVII-I (1113 Days) - Direct Plan - Flexi Div Option;10;07-Jul-2020</v>
      </c>
      <c r="B15405" s="1"/>
    </row>
    <row r="15406">
      <c r="A15406" s="1" t="str">
        <f>IFERROR(__xludf.DUMMYFUNCTION("""COMPUTED_VALUE"""),"141485;INF789FC1L50;-;UTI FTIF Series XXVII-I (1113 Days) - Direct Plan - Growth Option;12.3583;07-Jul-2020")</f>
        <v>141485;INF789FC1L50;-;UTI FTIF Series XXVII-I (1113 Days) - Direct Plan - Growth Option;12.3583;07-Jul-2020</v>
      </c>
      <c r="B15406" s="1"/>
    </row>
    <row r="15407">
      <c r="A15407" s="1" t="str">
        <f>IFERROR(__xludf.DUMMYFUNCTION("""COMPUTED_VALUE"""),"141479;INF789FC1L43;-;UTI FTIF Series XXVII-I (1113 Days) - Direct Plan - Maturity Div Option;10;07-Jul-2020")</f>
        <v>141479;INF789FC1L43;-;UTI FTIF Series XXVII-I (1113 Days) - Direct Plan - Maturity Div Option;10;07-Jul-2020</v>
      </c>
      <c r="B15407" s="1"/>
    </row>
    <row r="15408">
      <c r="A15408" s="1" t="str">
        <f>IFERROR(__xludf.DUMMYFUNCTION("""COMPUTED_VALUE"""),"141486;INF789FC1K85;-;UTI FTIF Series XXVII-I (1113 Days) - Direct Plan - Quarterly Div Option;10;07-Jul-2020")</f>
        <v>141486;INF789FC1K85;-;UTI FTIF Series XXVII-I (1113 Days) - Direct Plan - Quarterly Div Option;10;07-Jul-2020</v>
      </c>
      <c r="B15408" s="1"/>
    </row>
    <row r="15409">
      <c r="A15409" s="1" t="str">
        <f>IFERROR(__xludf.DUMMYFUNCTION("""COMPUTED_VALUE"""),"141482;INF789FC1L35;-;UTI FTIF Series XXVII-I (1113 Days) - Regular Plan - Annual Div Option;10;07-Jul-2020")</f>
        <v>141482;INF789FC1L35;-;UTI FTIF Series XXVII-I (1113 Days) - Regular Plan - Annual Div Option;10;07-Jul-2020</v>
      </c>
      <c r="B15409" s="1"/>
    </row>
    <row r="15410">
      <c r="A15410" s="1" t="str">
        <f>IFERROR(__xludf.DUMMYFUNCTION("""COMPUTED_VALUE"""),"141484;INF789FC1L19;-;UTI FTIF Series XXVII-I (1113 Days) - Regular Plan - Flexi Div Option;10;07-Jul-2020")</f>
        <v>141484;INF789FC1L19;-;UTI FTIF Series XXVII-I (1113 Days) - Regular Plan - Flexi Div Option;10;07-Jul-2020</v>
      </c>
      <c r="B15410" s="1"/>
    </row>
    <row r="15411">
      <c r="A15411" s="1" t="str">
        <f>IFERROR(__xludf.DUMMYFUNCTION("""COMPUTED_VALUE"""),"141481;INF789FC1L76;-;UTI FTIF Series XXVII-I (1113 Days) - Regular Plan - Growth Option;12.2354;07-Jul-2020")</f>
        <v>141481;INF789FC1L76;-;UTI FTIF Series XXVII-I (1113 Days) - Regular Plan - Growth Option;12.2354;07-Jul-2020</v>
      </c>
      <c r="B15411" s="1"/>
    </row>
    <row r="15412">
      <c r="A15412" s="1" t="str">
        <f>IFERROR(__xludf.DUMMYFUNCTION("""COMPUTED_VALUE"""),"141487;INF789FC1L68;-;UTI FTIF Series XXVII-I (1113 Days) - Regular Plan - Maturity Div Option;10;07-Jul-2020")</f>
        <v>141487;INF789FC1L68;-;UTI FTIF Series XXVII-I (1113 Days) - Regular Plan - Maturity Div Option;10;07-Jul-2020</v>
      </c>
      <c r="B15412" s="1"/>
    </row>
    <row r="15413">
      <c r="A15413" s="1" t="str">
        <f>IFERROR(__xludf.DUMMYFUNCTION("""COMPUTED_VALUE"""),"141483;INF789FC1L27;-;UTI FTIF Series XXVII-I (1113 Days) - Regular Plan - Quarterly Div Option;10;07-Jul-2020")</f>
        <v>141483;INF789FC1L27;-;UTI FTIF Series XXVII-I (1113 Days) - Regular Plan - Quarterly Div Option;10;07-Jul-2020</v>
      </c>
      <c r="B15413" s="1"/>
    </row>
    <row r="15414">
      <c r="A15414" s="1" t="str">
        <f>IFERROR(__xludf.DUMMYFUNCTION("""COMPUTED_VALUE"""),"141531;INF789FC1L92;-;UTI FTIF Series XXVII-II (1161 Days) - Direct Plan - Annual Div Option;10;02-Sep-2020")</f>
        <v>141531;INF789FC1L92;-;UTI FTIF Series XXVII-II (1161 Days) - Direct Plan - Annual Div Option;10;02-Sep-2020</v>
      </c>
      <c r="B15414" s="1"/>
    </row>
    <row r="15415">
      <c r="A15415" s="1" t="str">
        <f>IFERROR(__xludf.DUMMYFUNCTION("""COMPUTED_VALUE"""),"141534;INF789FC1M59;-;UTI FTIF Series XXVII-II (1161 Days) - Direct Plan - Growth Option;11.7477;02-Sep-2020")</f>
        <v>141534;INF789FC1M59;-;UTI FTIF Series XXVII-II (1161 Days) - Direct Plan - Growth Option;11.7477;02-Sep-2020</v>
      </c>
      <c r="B15415" s="1"/>
    </row>
    <row r="15416">
      <c r="A15416" s="1" t="str">
        <f>IFERROR(__xludf.DUMMYFUNCTION("""COMPUTED_VALUE"""),"141532;INF789FC1L84;-;UTI FTIF Series XXVII-II (1161 Days) - Direct Plan - Quarterly Div Option;10;02-Sep-2020")</f>
        <v>141532;INF789FC1L84;-;UTI FTIF Series XXVII-II (1161 Days) - Direct Plan - Quarterly Div Option;10;02-Sep-2020</v>
      </c>
      <c r="B15416" s="1"/>
    </row>
    <row r="15417">
      <c r="A15417" s="1" t="str">
        <f>IFERROR(__xludf.DUMMYFUNCTION("""COMPUTED_VALUE"""),"141537;INF789FC1M34;-;UTI FTIF Series XXVII-II (1161 Days) - Regular Plan - Annual Div Option;10;02-Sep-2020")</f>
        <v>141537;INF789FC1M34;-;UTI FTIF Series XXVII-II (1161 Days) - Regular Plan - Annual Div Option;10;02-Sep-2020</v>
      </c>
      <c r="B15417" s="1"/>
    </row>
    <row r="15418">
      <c r="A15418" s="1" t="str">
        <f>IFERROR(__xludf.DUMMYFUNCTION("""COMPUTED_VALUE"""),"141539;INF789FC1M18;-;UTI FTIF Series XXVII-II (1161 Days) - Regular Plan - Flexi Div Option;10;02-Sep-2020")</f>
        <v>141539;INF789FC1M18;-;UTI FTIF Series XXVII-II (1161 Days) - Regular Plan - Flexi Div Option;10;02-Sep-2020</v>
      </c>
      <c r="B15418" s="1"/>
    </row>
    <row r="15419">
      <c r="A15419" s="1" t="str">
        <f>IFERROR(__xludf.DUMMYFUNCTION("""COMPUTED_VALUE"""),"141536;INF789FC1M75;-;UTI FTIF Series XXVII-II (1161 Days) - Regular Plan - Growth Option;11.5387;02-Sep-2020")</f>
        <v>141536;INF789FC1M75;-;UTI FTIF Series XXVII-II (1161 Days) - Regular Plan - Growth Option;11.5387;02-Sep-2020</v>
      </c>
      <c r="B15419" s="1"/>
    </row>
    <row r="15420">
      <c r="A15420" s="1" t="str">
        <f>IFERROR(__xludf.DUMMYFUNCTION("""COMPUTED_VALUE"""),"141540;INF789FC1M67;-;UTI FTIF Series XXVII-II (1161 Days) - Regular Plan - Maturity Div Option;10;02-Sep-2020")</f>
        <v>141540;INF789FC1M67;-;UTI FTIF Series XXVII-II (1161 Days) - Regular Plan - Maturity Div Option;10;02-Sep-2020</v>
      </c>
      <c r="B15420" s="1"/>
    </row>
    <row r="15421">
      <c r="A15421" s="1" t="str">
        <f>IFERROR(__xludf.DUMMYFUNCTION("""COMPUTED_VALUE"""),"141538;INF789FC1M26;-;UTI FTIF Series XXVII-II (1161 Days) - Regular Plan - Quarterly Div Option;10;02-Sep-2020")</f>
        <v>141538;INF789FC1M26;-;UTI FTIF Series XXVII-II (1161 Days) - Regular Plan - Quarterly Div Option;10;02-Sep-2020</v>
      </c>
      <c r="B15421" s="1"/>
    </row>
    <row r="15422">
      <c r="A15422" s="1" t="str">
        <f>IFERROR(__xludf.DUMMYFUNCTION("""COMPUTED_VALUE"""),"141570;INF789FC1M91;-;UTI FTIF Series XXVII-III (1096 Days) - Direct Plan - Annual Div Option;10;07-Jul-2020")</f>
        <v>141570;INF789FC1M91;-;UTI FTIF Series XXVII-III (1096 Days) - Direct Plan - Annual Div Option;10;07-Jul-2020</v>
      </c>
      <c r="B15422" s="1"/>
    </row>
    <row r="15423">
      <c r="A15423" s="1" t="str">
        <f>IFERROR(__xludf.DUMMYFUNCTION("""COMPUTED_VALUE"""),"141572;INF789FC1N58;-;UTI FTIF Series XXVII-III (1096 Days) - Direct Plan - Growth Option;12.3068;07-Jul-2020")</f>
        <v>141572;INF789FC1N58;-;UTI FTIF Series XXVII-III (1096 Days) - Direct Plan - Growth Option;12.3068;07-Jul-2020</v>
      </c>
      <c r="B15423" s="1"/>
    </row>
    <row r="15424">
      <c r="A15424" s="1" t="str">
        <f>IFERROR(__xludf.DUMMYFUNCTION("""COMPUTED_VALUE"""),"141571;INF789FC1N41;-;UTI FTIF Series XXVII-III (1096 Days) - Direct Plan - Maturity Div Option;10;07-Jul-2020")</f>
        <v>141571;INF789FC1N41;-;UTI FTIF Series XXVII-III (1096 Days) - Direct Plan - Maturity Div Option;10;07-Jul-2020</v>
      </c>
      <c r="B15424" s="1"/>
    </row>
    <row r="15425">
      <c r="A15425" s="1" t="str">
        <f>IFERROR(__xludf.DUMMYFUNCTION("""COMPUTED_VALUE"""),"141569;INF789FC1M83;-;UTI FTIF Series XXVII-III (1096 Days) - Direct Plan - Quarterly Div Option;10;07-Jul-2020")</f>
        <v>141569;INF789FC1M83;-;UTI FTIF Series XXVII-III (1096 Days) - Direct Plan - Quarterly Div Option;10;07-Jul-2020</v>
      </c>
      <c r="B15425" s="1"/>
    </row>
    <row r="15426">
      <c r="A15426" s="1" t="str">
        <f>IFERROR(__xludf.DUMMYFUNCTION("""COMPUTED_VALUE"""),"141576;INF789FC1N33;-;UTI FTIF Series XXVII-III (1096 Days) - Regular Plan - Annual Div Option;10;07-Jul-2020")</f>
        <v>141576;INF789FC1N33;-;UTI FTIF Series XXVII-III (1096 Days) - Regular Plan - Annual Div Option;10;07-Jul-2020</v>
      </c>
      <c r="B15426" s="1"/>
    </row>
    <row r="15427">
      <c r="A15427" s="1" t="str">
        <f>IFERROR(__xludf.DUMMYFUNCTION("""COMPUTED_VALUE"""),"141573;INF789FC1N74;-;UTI FTIF Series XXVII-III (1096 Days) - Regular Plan - Growth Option;12.1843;07-Jul-2020")</f>
        <v>141573;INF789FC1N74;-;UTI FTIF Series XXVII-III (1096 Days) - Regular Plan - Growth Option;12.1843;07-Jul-2020</v>
      </c>
      <c r="B15427" s="1"/>
    </row>
    <row r="15428">
      <c r="A15428" s="1" t="str">
        <f>IFERROR(__xludf.DUMMYFUNCTION("""COMPUTED_VALUE"""),"141574;INF789FC1N66;-;UTI FTIF Series XXVII-III (1096 Days) - Regular Plan - Maturity Div Option;10;07-Jul-2020")</f>
        <v>141574;INF789FC1N66;-;UTI FTIF Series XXVII-III (1096 Days) - Regular Plan - Maturity Div Option;10;07-Jul-2020</v>
      </c>
      <c r="B15428" s="1"/>
    </row>
    <row r="15429">
      <c r="A15429" s="1" t="str">
        <f>IFERROR(__xludf.DUMMYFUNCTION("""COMPUTED_VALUE"""),"141577;INF789FC1N25;-;UTI FTIF Series XXVII-III (1096 Days) - Regular Plan - Quarterly Div Option;10;07-Jul-2020")</f>
        <v>141577;INF789FC1N25;-;UTI FTIF Series XXVII-III (1096 Days) - Regular Plan - Quarterly Div Option;10;07-Jul-2020</v>
      </c>
      <c r="B15429" s="1"/>
    </row>
    <row r="15430">
      <c r="A15430" s="1" t="str">
        <f>IFERROR(__xludf.DUMMYFUNCTION("""COMPUTED_VALUE"""),"141621;INF789FC1O08;-;UTI FTIF Series XXVII-IV (1113 Days) - Direct Plan - Annual Div Option;10;11-Aug-2020")</f>
        <v>141621;INF789FC1O08;-;UTI FTIF Series XXVII-IV (1113 Days) - Direct Plan - Annual Div Option;10;11-Aug-2020</v>
      </c>
      <c r="B15430" s="1"/>
    </row>
    <row r="15431">
      <c r="A15431" s="1" t="str">
        <f>IFERROR(__xludf.DUMMYFUNCTION("""COMPUTED_VALUE"""),"141622;INF789FC1O16;-;UTI FTIF Series XXVII-IV (1113 Days) - Direct Plan - Flexi Div Option;10;11-Aug-2020")</f>
        <v>141622;INF789FC1O16;-;UTI FTIF Series XXVII-IV (1113 Days) - Direct Plan - Flexi Div Option;10;11-Aug-2020</v>
      </c>
      <c r="B15431" s="1"/>
    </row>
    <row r="15432">
      <c r="A15432" s="1" t="str">
        <f>IFERROR(__xludf.DUMMYFUNCTION("""COMPUTED_VALUE"""),"141620;INF789FC1O65;-;UTI FTIF Series XXVII-IV (1113 Days) - Direct Plan - Growth Option;12.2803;11-Aug-2020")</f>
        <v>141620;INF789FC1O65;-;UTI FTIF Series XXVII-IV (1113 Days) - Direct Plan - Growth Option;12.2803;11-Aug-2020</v>
      </c>
      <c r="B15432" s="1"/>
    </row>
    <row r="15433">
      <c r="A15433" s="1" t="str">
        <f>IFERROR(__xludf.DUMMYFUNCTION("""COMPUTED_VALUE"""),"141626;INF789FC1O57;-;UTI FTIF Series XXVII-IV (1113 Days) - Direct Plan - Maturity Div Option;10;11-Aug-2020")</f>
        <v>141626;INF789FC1O57;-;UTI FTIF Series XXVII-IV (1113 Days) - Direct Plan - Maturity Div Option;10;11-Aug-2020</v>
      </c>
      <c r="B15433" s="1"/>
    </row>
    <row r="15434">
      <c r="A15434" s="1" t="str">
        <f>IFERROR(__xludf.DUMMYFUNCTION("""COMPUTED_VALUE"""),"141627;INF789FC1N90;-;UTI FTIF Series XXVII-IV (1113 Days) - Direct Plan - Quarterly Div Option;10;11-Aug-2020")</f>
        <v>141627;INF789FC1N90;-;UTI FTIF Series XXVII-IV (1113 Days) - Direct Plan - Quarterly Div Option;10;11-Aug-2020</v>
      </c>
      <c r="B15434" s="1"/>
    </row>
    <row r="15435">
      <c r="A15435" s="1" t="str">
        <f>IFERROR(__xludf.DUMMYFUNCTION("""COMPUTED_VALUE"""),"141629;INF789FC1O81;-;UTI FTIF Series XXVII-IV (1113 Days) - Regular - Growth Option;12.1581;11-Aug-2020")</f>
        <v>141629;INF789FC1O81;-;UTI FTIF Series XXVII-IV (1113 Days) - Regular - Growth Option;12.1581;11-Aug-2020</v>
      </c>
      <c r="B15435" s="1"/>
    </row>
    <row r="15436">
      <c r="A15436" s="1" t="str">
        <f>IFERROR(__xludf.DUMMYFUNCTION("""COMPUTED_VALUE"""),"141623;INF789FC1O40;-;UTI FTIF Series XXVII-IV (1113 Days) - Regular Plan - Annual Div Option;10;11-Aug-2020")</f>
        <v>141623;INF789FC1O40;-;UTI FTIF Series XXVII-IV (1113 Days) - Regular Plan - Annual Div Option;10;11-Aug-2020</v>
      </c>
      <c r="B15436" s="1"/>
    </row>
    <row r="15437">
      <c r="A15437" s="1" t="str">
        <f>IFERROR(__xludf.DUMMYFUNCTION("""COMPUTED_VALUE"""),"141625;INF789FC1O24;-;UTI FTIF Series XXVII-IV (1113 Days) - Regular Plan - Flexi Div Option;10;11-Aug-2020")</f>
        <v>141625;INF789FC1O24;-;UTI FTIF Series XXVII-IV (1113 Days) - Regular Plan - Flexi Div Option;10;11-Aug-2020</v>
      </c>
      <c r="B15437" s="1"/>
    </row>
    <row r="15438">
      <c r="A15438" s="1" t="str">
        <f>IFERROR(__xludf.DUMMYFUNCTION("""COMPUTED_VALUE"""),"141624;INF789FC1O73;-;UTI FTIF Series XXVII-IV (1113 Days) - Regular Plan - Maturity Div Option;10;11-Aug-2020")</f>
        <v>141624;INF789FC1O73;-;UTI FTIF Series XXVII-IV (1113 Days) - Regular Plan - Maturity Div Option;10;11-Aug-2020</v>
      </c>
      <c r="B15438" s="1"/>
    </row>
    <row r="15439">
      <c r="A15439" s="1" t="str">
        <f>IFERROR(__xludf.DUMMYFUNCTION("""COMPUTED_VALUE"""),"141628;INF789FC1O32;-;UTI FTIF Series XXVII-IV (1113 Days) - Regular Plan - Quarterly Div Option;10;11-Aug-2020")</f>
        <v>141628;INF789FC1O32;-;UTI FTIF Series XXVII-IV (1113 Days) - Regular Plan - Quarterly Div Option;10;11-Aug-2020</v>
      </c>
      <c r="B15439" s="1"/>
    </row>
    <row r="15440">
      <c r="A15440" s="1" t="str">
        <f>IFERROR(__xludf.DUMMYFUNCTION("""COMPUTED_VALUE"""),"141718;INF789FC1O99;-;UTI FTIF Series XXVII- V (1097 Days) - Direct Plan - Quarterly Div Option;10;11-Aug-2020")</f>
        <v>141718;INF789FC1O99;-;UTI FTIF Series XXVII- V (1097 Days) - Direct Plan - Quarterly Div Option;10;11-Aug-2020</v>
      </c>
      <c r="B15440" s="1"/>
    </row>
    <row r="15441">
      <c r="A15441" s="1" t="str">
        <f>IFERROR(__xludf.DUMMYFUNCTION("""COMPUTED_VALUE"""),"141715;INF789FC1P23;-;UTI FTIF Series XXVII- V (1097 Days) - Regular Plan - Flexi Div Option;10;11-Aug-2020")</f>
        <v>141715;INF789FC1P23;-;UTI FTIF Series XXVII- V (1097 Days) - Regular Plan - Flexi Div Option;10;11-Aug-2020</v>
      </c>
      <c r="B15441" s="1"/>
    </row>
    <row r="15442">
      <c r="A15442" s="1" t="str">
        <f>IFERROR(__xludf.DUMMYFUNCTION("""COMPUTED_VALUE"""),"141710;INF789FC1P07;-;UTI FTIF Series XXVII-V (1097 Days) - Direct Plan - Annual Div Option;10;11-Aug-2020")</f>
        <v>141710;INF789FC1P07;-;UTI FTIF Series XXVII-V (1097 Days) - Direct Plan - Annual Div Option;10;11-Aug-2020</v>
      </c>
      <c r="B15442" s="1"/>
    </row>
    <row r="15443">
      <c r="A15443" s="1" t="str">
        <f>IFERROR(__xludf.DUMMYFUNCTION("""COMPUTED_VALUE"""),"141717;INF789FC1P15;-;UTI FTIF Series XXVII-V (1097 Days) - Direct Plan - Flexi Div Option;10;11-Aug-2020")</f>
        <v>141717;INF789FC1P15;-;UTI FTIF Series XXVII-V (1097 Days) - Direct Plan - Flexi Div Option;10;11-Aug-2020</v>
      </c>
      <c r="B15443" s="1"/>
    </row>
    <row r="15444">
      <c r="A15444" s="1" t="str">
        <f>IFERROR(__xludf.DUMMYFUNCTION("""COMPUTED_VALUE"""),"141716;INF789FC1P64;-;UTI FTIF Series XXVII-V (1097 Days) - Direct Plan - Growth Option;12.2454;11-Aug-2020")</f>
        <v>141716;INF789FC1P64;-;UTI FTIF Series XXVII-V (1097 Days) - Direct Plan - Growth Option;12.2454;11-Aug-2020</v>
      </c>
      <c r="B15444" s="1"/>
    </row>
    <row r="15445">
      <c r="A15445" s="1" t="str">
        <f>IFERROR(__xludf.DUMMYFUNCTION("""COMPUTED_VALUE"""),"141711;INF789FC1P56;-;UTI FTIF Series XXVII-V (1097 Days) - Direct Plan - Maturity Div Option;10;11-Aug-2020")</f>
        <v>141711;INF789FC1P56;-;UTI FTIF Series XXVII-V (1097 Days) - Direct Plan - Maturity Div Option;10;11-Aug-2020</v>
      </c>
      <c r="B15445" s="1"/>
    </row>
    <row r="15446">
      <c r="A15446" s="1" t="str">
        <f>IFERROR(__xludf.DUMMYFUNCTION("""COMPUTED_VALUE"""),"141712;INF789FC1P49;-;UTI FTIF Series XXVII-V (1097 Days) - Regular Plan - Annual Div Option;10;11-Aug-2020")</f>
        <v>141712;INF789FC1P49;-;UTI FTIF Series XXVII-V (1097 Days) - Regular Plan - Annual Div Option;10;11-Aug-2020</v>
      </c>
      <c r="B15446" s="1"/>
    </row>
    <row r="15447">
      <c r="A15447" s="1" t="str">
        <f>IFERROR(__xludf.DUMMYFUNCTION("""COMPUTED_VALUE"""),"141719;INF789FC1P80;-;UTI FTIF Series XXVII-V (1097 Days) - Regular Plan - Growth Option;12.1235;11-Aug-2020")</f>
        <v>141719;INF789FC1P80;-;UTI FTIF Series XXVII-V (1097 Days) - Regular Plan - Growth Option;12.1235;11-Aug-2020</v>
      </c>
      <c r="B15447" s="1"/>
    </row>
    <row r="15448">
      <c r="A15448" s="1" t="str">
        <f>IFERROR(__xludf.DUMMYFUNCTION("""COMPUTED_VALUE"""),"141714;INF789FC1P72;-;UTI FTIF Series XXVII-V (1097 Days) - Regular Plan - Maturity Div Option;10;11-Aug-2020")</f>
        <v>141714;INF789FC1P72;-;UTI FTIF Series XXVII-V (1097 Days) - Regular Plan - Maturity Div Option;10;11-Aug-2020</v>
      </c>
      <c r="B15448" s="1"/>
    </row>
    <row r="15449">
      <c r="A15449" s="1" t="str">
        <f>IFERROR(__xludf.DUMMYFUNCTION("""COMPUTED_VALUE"""),"141713;INF789FC1P31;-;UTI FTIF Series XXVII-V (1097 Days) - Regular Plan - Quarterly Div Option;10;11-Aug-2020")</f>
        <v>141713;INF789FC1P31;-;UTI FTIF Series XXVII-V (1097 Days) - Regular Plan - Quarterly Div Option;10;11-Aug-2020</v>
      </c>
      <c r="B15449" s="1"/>
    </row>
    <row r="15450">
      <c r="A15450" s="1" t="str">
        <f>IFERROR(__xludf.DUMMYFUNCTION("""COMPUTED_VALUE"""),"141748;INF789FC1R39;-;UTI FTIF Series XXVII-VI (1113 Days) - Direct Plan - Annual Div Option;10;15-Sep-2020")</f>
        <v>141748;INF789FC1R39;-;UTI FTIF Series XXVII-VI (1113 Days) - Direct Plan - Annual Div Option;10;15-Sep-2020</v>
      </c>
      <c r="B15450" s="1"/>
    </row>
    <row r="15451">
      <c r="A15451" s="1" t="str">
        <f>IFERROR(__xludf.DUMMYFUNCTION("""COMPUTED_VALUE"""),"141750;INF789FC1R62;-;UTI FTIF Series XXVII-VI (1113 Days) - Direct Plan - Flexi Div Option;10;15-Sep-2020")</f>
        <v>141750;INF789FC1R62;-;UTI FTIF Series XXVII-VI (1113 Days) - Direct Plan - Flexi Div Option;10;15-Sep-2020</v>
      </c>
      <c r="B15451" s="1"/>
    </row>
    <row r="15452">
      <c r="A15452" s="1" t="str">
        <f>IFERROR(__xludf.DUMMYFUNCTION("""COMPUTED_VALUE"""),"141757;INF789FC1R54;-;UTI FTIF Series XXVII-VI (1113 Days) - Direct Plan - Growth Option;11.3005;15-Sep-2020")</f>
        <v>141757;INF789FC1R54;-;UTI FTIF Series XXVII-VI (1113 Days) - Direct Plan - Growth Option;11.3005;15-Sep-2020</v>
      </c>
      <c r="B15452" s="1"/>
    </row>
    <row r="15453">
      <c r="A15453" s="1" t="str">
        <f>IFERROR(__xludf.DUMMYFUNCTION("""COMPUTED_VALUE"""),"141756;INF789FC1R47;-;UTI FTIF Series XXVII-VI (1113 Days) - Direct Plan - Maturity Div Option;10;15-Sep-2020")</f>
        <v>141756;INF789FC1R47;-;UTI FTIF Series XXVII-VI (1113 Days) - Direct Plan - Maturity Div Option;10;15-Sep-2020</v>
      </c>
      <c r="B15453" s="1"/>
    </row>
    <row r="15454">
      <c r="A15454" s="1" t="str">
        <f>IFERROR(__xludf.DUMMYFUNCTION("""COMPUTED_VALUE"""),"141749;INF789FC1R21;-;UTI FTIF Series XXVII-VI (1113 Days) - Direct Plan - Quarterly Div Option;9.8832;15-Sep-2020")</f>
        <v>141749;INF789FC1R21;-;UTI FTIF Series XXVII-VI (1113 Days) - Direct Plan - Quarterly Div Option;9.8832;15-Sep-2020</v>
      </c>
      <c r="B15454" s="1"/>
    </row>
    <row r="15455">
      <c r="A15455" s="1" t="str">
        <f>IFERROR(__xludf.DUMMYFUNCTION("""COMPUTED_VALUE"""),"141752;INF789FC1Q89;-;UTI FTIF Series XXVII-VI (1113 Days) - Regular Plan - Annual Div Option;10;15-Sep-2020")</f>
        <v>141752;INF789FC1Q89;-;UTI FTIF Series XXVII-VI (1113 Days) - Regular Plan - Annual Div Option;10;15-Sep-2020</v>
      </c>
      <c r="B15455" s="1"/>
    </row>
    <row r="15456">
      <c r="A15456" s="1" t="str">
        <f>IFERROR(__xludf.DUMMYFUNCTION("""COMPUTED_VALUE"""),"141754;INF789FC1R13;-;UTI FTIF Series XXVII-VI (1113 Days) - Regular Plan - Flexi Div Option;10;15-Sep-2020")</f>
        <v>141754;INF789FC1R13;-;UTI FTIF Series XXVII-VI (1113 Days) - Regular Plan - Flexi Div Option;10;15-Sep-2020</v>
      </c>
      <c r="B15456" s="1"/>
    </row>
    <row r="15457">
      <c r="A15457" s="1" t="str">
        <f>IFERROR(__xludf.DUMMYFUNCTION("""COMPUTED_VALUE"""),"141751;INF789FC1R05;-;UTI FTIF Series XXVII-VI (1113 Days) - Regular Plan - Growth Option;11.1879;15-Sep-2020")</f>
        <v>141751;INF789FC1R05;-;UTI FTIF Series XXVII-VI (1113 Days) - Regular Plan - Growth Option;11.1879;15-Sep-2020</v>
      </c>
      <c r="B15457" s="1"/>
    </row>
    <row r="15458">
      <c r="A15458" s="1" t="str">
        <f>IFERROR(__xludf.DUMMYFUNCTION("""COMPUTED_VALUE"""),"141753;INF789FC1Q97;-;UTI FTIF Series XXVII-VI (1113 Days) - Regular Plan - Maturity Div Option;10;15-Sep-2020")</f>
        <v>141753;INF789FC1Q97;-;UTI FTIF Series XXVII-VI (1113 Days) - Regular Plan - Maturity Div Option;10;15-Sep-2020</v>
      </c>
      <c r="B15458" s="1"/>
    </row>
    <row r="15459">
      <c r="A15459" s="1" t="str">
        <f>IFERROR(__xludf.DUMMYFUNCTION("""COMPUTED_VALUE"""),"141755;INF789FC1Q71;-;UTI FTIF Series XXVII-VI (1113 Days) - Regular Plan - Quarterly Div Option;9.8784;15-Sep-2020")</f>
        <v>141755;INF789FC1Q71;-;UTI FTIF Series XXVII-VI (1113 Days) - Regular Plan - Quarterly Div Option;9.8784;15-Sep-2020</v>
      </c>
      <c r="B15459" s="1"/>
    </row>
    <row r="15460">
      <c r="A15460" s="1" t="str">
        <f>IFERROR(__xludf.DUMMYFUNCTION("""COMPUTED_VALUE"""),"141769;INF789FC1S38;-;UTI FTIF Series XXVII-VII (1104 Days) - Direct Plan - Annual Div Option;10;15-Sep-2020")</f>
        <v>141769;INF789FC1S38;-;UTI FTIF Series XXVII-VII (1104 Days) - Direct Plan - Annual Div Option;10;15-Sep-2020</v>
      </c>
      <c r="B15460" s="1"/>
    </row>
    <row r="15461">
      <c r="A15461" s="1" t="str">
        <f>IFERROR(__xludf.DUMMYFUNCTION("""COMPUTED_VALUE"""),"141778;INF789FC1S53;-;UTI FTIF Series XXVII-VII (1104 Days) - Direct Plan - Growth Option;12.2535;15-Sep-2020")</f>
        <v>141778;INF789FC1S53;-;UTI FTIF Series XXVII-VII (1104 Days) - Direct Plan - Growth Option;12.2535;15-Sep-2020</v>
      </c>
      <c r="B15461" s="1"/>
    </row>
    <row r="15462">
      <c r="A15462" s="1" t="str">
        <f>IFERROR(__xludf.DUMMYFUNCTION("""COMPUTED_VALUE"""),"141771;INF789FC1S46;-;UTI FTIF Series XXVII-VII (1104 Days) - Direct Plan - Maturity Div Option;10;15-Sep-2020")</f>
        <v>141771;INF789FC1S46;-;UTI FTIF Series XXVII-VII (1104 Days) - Direct Plan - Maturity Div Option;10;15-Sep-2020</v>
      </c>
      <c r="B15462" s="1"/>
    </row>
    <row r="15463">
      <c r="A15463" s="1" t="str">
        <f>IFERROR(__xludf.DUMMYFUNCTION("""COMPUTED_VALUE"""),"141770;INF789FC1S20;-;UTI FTIF Series XXVII-VII (1104 Days) - Direct Plan - Quarterly Div Option;10;15-Sep-2020")</f>
        <v>141770;INF789FC1S20;-;UTI FTIF Series XXVII-VII (1104 Days) - Direct Plan - Quarterly Div Option;10;15-Sep-2020</v>
      </c>
      <c r="B15463" s="1"/>
    </row>
    <row r="15464">
      <c r="A15464" s="1" t="str">
        <f>IFERROR(__xludf.DUMMYFUNCTION("""COMPUTED_VALUE"""),"141776;INF789FC1R88;-;UTI FTIF Series XXVII-VII (1104 Days) - Regular Plan - Annual Div Option;10;15-Sep-2020")</f>
        <v>141776;INF789FC1R88;-;UTI FTIF Series XXVII-VII (1104 Days) - Regular Plan - Annual Div Option;10;15-Sep-2020</v>
      </c>
      <c r="B15464" s="1"/>
    </row>
    <row r="15465">
      <c r="A15465" s="1" t="str">
        <f>IFERROR(__xludf.DUMMYFUNCTION("""COMPUTED_VALUE"""),"141777;INF789FC1S12;-;UTI FTIF Series XXVII-VII (1104 Days) - Regular Plan - Flexi Div Option;10;15-Sep-2020")</f>
        <v>141777;INF789FC1S12;-;UTI FTIF Series XXVII-VII (1104 Days) - Regular Plan - Flexi Div Option;10;15-Sep-2020</v>
      </c>
      <c r="B15465" s="1"/>
    </row>
    <row r="15466">
      <c r="A15466" s="1" t="str">
        <f>IFERROR(__xludf.DUMMYFUNCTION("""COMPUTED_VALUE"""),"141775;INF789FC1S04;-;UTI FTIF Series XXVII-VII (1104 Days) - Regular Plan - Growth Option;12.1316;15-Sep-2020")</f>
        <v>141775;INF789FC1S04;-;UTI FTIF Series XXVII-VII (1104 Days) - Regular Plan - Growth Option;12.1316;15-Sep-2020</v>
      </c>
      <c r="B15466" s="1"/>
    </row>
    <row r="15467">
      <c r="A15467" s="1" t="str">
        <f>IFERROR(__xludf.DUMMYFUNCTION("""COMPUTED_VALUE"""),"141773;INF789FC1R96;-;UTI FTIF Series XXVII-VII (1104 Days) - Regular Plan - Maturity Div Option;10;15-Sep-2020")</f>
        <v>141773;INF789FC1R96;-;UTI FTIF Series XXVII-VII (1104 Days) - Regular Plan - Maturity Div Option;10;15-Sep-2020</v>
      </c>
      <c r="B15467" s="1"/>
    </row>
    <row r="15468">
      <c r="A15468" s="1" t="str">
        <f>IFERROR(__xludf.DUMMYFUNCTION("""COMPUTED_VALUE"""),"141774;INF789FC1R70;-;UTI FTIF Series XXVII-VII (1104 Days) - Regular Plan - Quarterly Div Option;10;15-Sep-2020")</f>
        <v>141774;INF789FC1R70;-;UTI FTIF Series XXVII-VII (1104 Days) - Regular Plan - Quarterly Div Option;10;15-Sep-2020</v>
      </c>
      <c r="B15468" s="1"/>
    </row>
    <row r="15469">
      <c r="A15469" s="1" t="str">
        <f>IFERROR(__xludf.DUMMYFUNCTION("""COMPUTED_VALUE"""),"139393;INF789FC1AD8;-;UTI FTIF Series XXIV - XIV (1831 Days) - Direct Plan - Maturity IDCW;10;07-Jun-2021")</f>
        <v>139393;INF789FC1AD8;-;UTI FTIF Series XXIV - XIV (1831 Days) - Direct Plan - Maturity IDCW;10;07-Jun-2021</v>
      </c>
      <c r="B15469" s="1"/>
    </row>
    <row r="15470">
      <c r="A15470" s="1" t="str">
        <f>IFERROR(__xludf.DUMMYFUNCTION("""COMPUTED_VALUE"""),"139397;INF789FC1972;-;UTI FTIF Series XXIV - XIV (1831 Days) - Direct Plan - Quarterly IDCW;10;07-Jun-2021")</f>
        <v>139397;INF789FC1972;-;UTI FTIF Series XXIV - XIV (1831 Days) - Direct Plan - Quarterly IDCW;10;07-Jun-2021</v>
      </c>
      <c r="B15470" s="1"/>
    </row>
    <row r="15471">
      <c r="A15471" s="1" t="str">
        <f>IFERROR(__xludf.DUMMYFUNCTION("""COMPUTED_VALUE"""),"139400;INF789FC1AC0;-;UTI FTIF Series XXIV - XIV (1831 Days) - Regular Plan - Annual IDCW;10;07-Jun-2021")</f>
        <v>139400;INF789FC1AC0;-;UTI FTIF Series XXIV - XIV (1831 Days) - Regular Plan - Annual IDCW;10;07-Jun-2021</v>
      </c>
      <c r="B15471" s="1"/>
    </row>
    <row r="15472">
      <c r="A15472" s="1" t="str">
        <f>IFERROR(__xludf.DUMMYFUNCTION("""COMPUTED_VALUE"""),"139402;INF789FC1AA4;-;UTI FTIF Series XXIV - XIV (1831 Days) - Regular Plan - Flexi IDCW;10;07-Jun-2021")</f>
        <v>139402;INF789FC1AA4;-;UTI FTIF Series XXIV - XIV (1831 Days) - Regular Plan - Flexi IDCW;10;07-Jun-2021</v>
      </c>
      <c r="B15472" s="1"/>
    </row>
    <row r="15473">
      <c r="A15473" s="1" t="str">
        <f>IFERROR(__xludf.DUMMYFUNCTION("""COMPUTED_VALUE"""),"139401;INF789FC1AF3;-;UTI FTIF Series XXIV - XIV (1831 Days) - Regular Plan - Maturity IDCW;10;07-Jun-2021")</f>
        <v>139401;INF789FC1AF3;-;UTI FTIF Series XXIV - XIV (1831 Days) - Regular Plan - Maturity IDCW;10;07-Jun-2021</v>
      </c>
      <c r="B15473" s="1"/>
    </row>
    <row r="15474">
      <c r="A15474" s="1" t="str">
        <f>IFERROR(__xludf.DUMMYFUNCTION("""COMPUTED_VALUE"""),"139398;INF789FC1AB2;-;UTI FTIF Series XXIV - XIV (1831 Days) - Regular Plan - Quarterly IDCW;10;07-Jun-2021")</f>
        <v>139398;INF789FC1AB2;-;UTI FTIF Series XXIV - XIV (1831 Days) - Regular Plan - Quarterly IDCW;10;07-Jun-2021</v>
      </c>
      <c r="B15474" s="1"/>
    </row>
    <row r="15475">
      <c r="A15475" s="1" t="str">
        <f>IFERROR(__xludf.DUMMYFUNCTION("""COMPUTED_VALUE"""),"139399;INF789FC1AE6;-;UTI FTIF Series XXIV-XIV (1831 Days)- Direct Plan - Growth Option;14.6692;07-Jun-2021")</f>
        <v>139399;INF789FC1AE6;-;UTI FTIF Series XXIV-XIV (1831 Days)- Direct Plan - Growth Option;14.6692;07-Jun-2021</v>
      </c>
      <c r="B15475" s="1"/>
    </row>
    <row r="15476">
      <c r="A15476" s="1" t="str">
        <f>IFERROR(__xludf.DUMMYFUNCTION("""COMPUTED_VALUE"""),"139395;INF789FC1AG1;-;UTI FTIF Series XXIV-XIV (1831 Days)- Regular Plan - Growth Option;14.596;07-Jun-2021")</f>
        <v>139395;INF789FC1AG1;-;UTI FTIF Series XXIV-XIV (1831 Days)- Regular Plan - Growth Option;14.596;07-Jun-2021</v>
      </c>
      <c r="B15476" s="1"/>
    </row>
    <row r="15477">
      <c r="A15477" s="1" t="str">
        <f>IFERROR(__xludf.DUMMYFUNCTION("""COMPUTED_VALUE"""),"140126;INF789FC1FQ9;-;UTI FTIF Series XXV-X (1229 Days)- Direct Plan - Annual Div Option;10;07-Apr-2020")</f>
        <v>140126;INF789FC1FQ9;-;UTI FTIF Series XXV-X (1229 Days)- Direct Plan - Annual Div Option;10;07-Apr-2020</v>
      </c>
      <c r="B15477" s="1"/>
    </row>
    <row r="15478">
      <c r="A15478" s="1" t="str">
        <f>IFERROR(__xludf.DUMMYFUNCTION("""COMPUTED_VALUE"""),"140130;INF789FC1FW7;-;UTI FTIF Series XXV-X (1229 Days)- Direct Plan - Growth Option;12.6223;07-Apr-2020")</f>
        <v>140130;INF789FC1FW7;-;UTI FTIF Series XXV-X (1229 Days)- Direct Plan - Growth Option;12.6223;07-Apr-2020</v>
      </c>
      <c r="B15478" s="1"/>
    </row>
    <row r="15479">
      <c r="A15479" s="1" t="str">
        <f>IFERROR(__xludf.DUMMYFUNCTION("""COMPUTED_VALUE"""),"140121;INF789FC1FP1;-;UTI FTIF Series XXV-X (1229 Days)- Direct Plan - Quarterly Div Option;10;07-Apr-2020")</f>
        <v>140121;INF789FC1FP1;-;UTI FTIF Series XXV-X (1229 Days)- Direct Plan - Quarterly Div Option;10;07-Apr-2020</v>
      </c>
      <c r="B15479" s="1"/>
    </row>
    <row r="15480">
      <c r="A15480" s="1" t="str">
        <f>IFERROR(__xludf.DUMMYFUNCTION("""COMPUTED_VALUE"""),"140128;INF789FC1FU1;-;UTI FTIF Series XXV-X (1229 Days)- Regular Plan - Annual Div Option;10;07-Apr-2020")</f>
        <v>140128;INF789FC1FU1;-;UTI FTIF Series XXV-X (1229 Days)- Regular Plan - Annual Div Option;10;07-Apr-2020</v>
      </c>
      <c r="B15480" s="1"/>
    </row>
    <row r="15481">
      <c r="A15481" s="1" t="str">
        <f>IFERROR(__xludf.DUMMYFUNCTION("""COMPUTED_VALUE"""),"140125;INF789FC1FS5;-;UTI FTIF Series XXV-X (1229 Days)- Regular Plan - Flexi Div Option;10;07-Apr-2020")</f>
        <v>140125;INF789FC1FS5;-;UTI FTIF Series XXV-X (1229 Days)- Regular Plan - Flexi Div Option;10;07-Apr-2020</v>
      </c>
      <c r="B15481" s="1"/>
    </row>
    <row r="15482">
      <c r="A15482" s="1" t="str">
        <f>IFERROR(__xludf.DUMMYFUNCTION("""COMPUTED_VALUE"""),"140123;INF789FC1FY3;-;UTI FTIF Series XXV-X (1229 Days)- Regular Plan - Growth Option;12.4967;07-Apr-2020")</f>
        <v>140123;INF789FC1FY3;-;UTI FTIF Series XXV-X (1229 Days)- Regular Plan - Growth Option;12.4967;07-Apr-2020</v>
      </c>
      <c r="B15482" s="1"/>
    </row>
    <row r="15483">
      <c r="A15483" s="1" t="str">
        <f>IFERROR(__xludf.DUMMYFUNCTION("""COMPUTED_VALUE"""),"140129;INF789FC1FX5;-;UTI FTIF Series XXV-X (1229 Days)- Regular Plan - Maturity Div Option;10;07-Apr-2020")</f>
        <v>140129;INF789FC1FX5;-;UTI FTIF Series XXV-X (1229 Days)- Regular Plan - Maturity Div Option;10;07-Apr-2020</v>
      </c>
      <c r="B15483" s="1"/>
    </row>
    <row r="15484">
      <c r="A15484" s="1" t="str">
        <f>IFERROR(__xludf.DUMMYFUNCTION("""COMPUTED_VALUE"""),"140124;INF789FC1FT3;-;UTI FTIF Series XXV-X (1229 Days)- Regular Plan - Quarterly Div Option;10;07-Apr-2020")</f>
        <v>140124;INF789FC1FT3;-;UTI FTIF Series XXV-X (1229 Days)- Regular Plan - Quarterly Div Option;10;07-Apr-2020</v>
      </c>
      <c r="B15484" s="1"/>
    </row>
    <row r="15485">
      <c r="A15485" s="1" t="str">
        <f>IFERROR(__xludf.DUMMYFUNCTION("""COMPUTED_VALUE"""),"140375;INF789FC1GJ2;-;UTI FTIF Series XXV-XI (1211 Days)- Direct Plan - Annual Div Option;10;07-Apr-2020")</f>
        <v>140375;INF789FC1GJ2;-;UTI FTIF Series XXV-XI (1211 Days)- Direct Plan - Annual Div Option;10;07-Apr-2020</v>
      </c>
      <c r="B15485" s="1"/>
    </row>
    <row r="15486">
      <c r="A15486" s="1" t="str">
        <f>IFERROR(__xludf.DUMMYFUNCTION("""COMPUTED_VALUE"""),"140367;INF789FC1GK0;-;UTI FTIF Series XXV-XI (1211 Days)- Direct Plan - Flexi Div Option;10.0001;07-Apr-2020")</f>
        <v>140367;INF789FC1GK0;-;UTI FTIF Series XXV-XI (1211 Days)- Direct Plan - Flexi Div Option;10.0001;07-Apr-2020</v>
      </c>
      <c r="B15486" s="1"/>
    </row>
    <row r="15487">
      <c r="A15487" s="1" t="str">
        <f>IFERROR(__xludf.DUMMYFUNCTION("""COMPUTED_VALUE"""),"140373;INF789FC1GP9;-;UTI FTIF Series XXV-XI (1211 Days)- Direct Plan - Growth Option;12.5936;07-Apr-2020")</f>
        <v>140373;INF789FC1GP9;-;UTI FTIF Series XXV-XI (1211 Days)- Direct Plan - Growth Option;12.5936;07-Apr-2020</v>
      </c>
      <c r="B15487" s="1"/>
    </row>
    <row r="15488">
      <c r="A15488" s="1" t="str">
        <f>IFERROR(__xludf.DUMMYFUNCTION("""COMPUTED_VALUE"""),"140374;INF789FC1GO2;-;UTI FTIF Series XXV-XI (1211 Days)- Direct Plan - Maturity Div Option;10.0001;07-Apr-2020")</f>
        <v>140374;INF789FC1GO2;-;UTI FTIF Series XXV-XI (1211 Days)- Direct Plan - Maturity Div Option;10.0001;07-Apr-2020</v>
      </c>
      <c r="B15488" s="1"/>
    </row>
    <row r="15489">
      <c r="A15489" s="1" t="str">
        <f>IFERROR(__xludf.DUMMYFUNCTION("""COMPUTED_VALUE"""),"140376;INF789FC1GI4;-;UTI FTIF Series XXV-XI (1211 Days)- Direct Plan - Quarterly Div Option;10;07-Apr-2020")</f>
        <v>140376;INF789FC1GI4;-;UTI FTIF Series XXV-XI (1211 Days)- Direct Plan - Quarterly Div Option;10;07-Apr-2020</v>
      </c>
      <c r="B15489" s="1"/>
    </row>
    <row r="15490">
      <c r="A15490" s="1" t="str">
        <f>IFERROR(__xludf.DUMMYFUNCTION("""COMPUTED_VALUE"""),"140369;INF789FC1GN4;-;UTI FTIF Series XXV-XI (1211 Days)- Regular Plan - Annual Div Option;10;07-Apr-2020")</f>
        <v>140369;INF789FC1GN4;-;UTI FTIF Series XXV-XI (1211 Days)- Regular Plan - Annual Div Option;10;07-Apr-2020</v>
      </c>
      <c r="B15490" s="1"/>
    </row>
    <row r="15491">
      <c r="A15491" s="1" t="str">
        <f>IFERROR(__xludf.DUMMYFUNCTION("""COMPUTED_VALUE"""),"140372;INF789FC1GL8;-;UTI FTIF Series XXV-XI (1211 Days)- Regular Plan - Flexi Div Option;10.0001;07-Apr-2020")</f>
        <v>140372;INF789FC1GL8;-;UTI FTIF Series XXV-XI (1211 Days)- Regular Plan - Flexi Div Option;10.0001;07-Apr-2020</v>
      </c>
      <c r="B15491" s="1"/>
    </row>
    <row r="15492">
      <c r="A15492" s="1" t="str">
        <f>IFERROR(__xludf.DUMMYFUNCTION("""COMPUTED_VALUE"""),"140368;INF789FC1GR5;-;UTI FTIF Series XXV-XI (1211 Days)- Regular Plan - Growth Option;12.4679;07-Apr-2020")</f>
        <v>140368;INF789FC1GR5;-;UTI FTIF Series XXV-XI (1211 Days)- Regular Plan - Growth Option;12.4679;07-Apr-2020</v>
      </c>
      <c r="B15492" s="1"/>
    </row>
    <row r="15493">
      <c r="A15493" s="1" t="str">
        <f>IFERROR(__xludf.DUMMYFUNCTION("""COMPUTED_VALUE"""),"140371;INF789FC1GQ7;-;UTI FTIF Series XXV-XI (1211 Days)- Regular Plan - Maturity Div Option;10.0001;07-Apr-2020")</f>
        <v>140371;INF789FC1GQ7;-;UTI FTIF Series XXV-XI (1211 Days)- Regular Plan - Maturity Div Option;10.0001;07-Apr-2020</v>
      </c>
      <c r="B15493" s="1"/>
    </row>
    <row r="15494">
      <c r="A15494" s="1" t="str">
        <f>IFERROR(__xludf.DUMMYFUNCTION("""COMPUTED_VALUE"""),"140370;INF789FC1GM6;-;UTI FTIF Series XXV-XI (1211 Days)- Regular Plan - Quarterly Div Option;10;07-Apr-2020")</f>
        <v>140370;INF789FC1GM6;-;UTI FTIF Series XXV-XI (1211 Days)- Regular Plan - Quarterly Div Option;10;07-Apr-2020</v>
      </c>
      <c r="B15494" s="1"/>
    </row>
    <row r="15495">
      <c r="A15495" s="1" t="str">
        <f>IFERROR(__xludf.DUMMYFUNCTION("""COMPUTED_VALUE"""),"140416;INF789FC1GW5;-;UTI FTIF Series XXV-XII (1198 Days) - Regular Plan - Quarterly Div Option;10;07-Apr-2020")</f>
        <v>140416;INF789FC1GW5;-;UTI FTIF Series XXV-XII (1198 Days) - Regular Plan - Quarterly Div Option;10;07-Apr-2020</v>
      </c>
      <c r="B15495" s="1"/>
    </row>
    <row r="15496">
      <c r="A15496" s="1" t="str">
        <f>IFERROR(__xludf.DUMMYFUNCTION("""COMPUTED_VALUE"""),"140415;INF789FC1GT1;-;UTI FTIF Series XXV-XII (1198 Days)- Direct Plan - Annual Div Option;10;07-Apr-2020")</f>
        <v>140415;INF789FC1GT1;-;UTI FTIF Series XXV-XII (1198 Days)- Direct Plan - Annual Div Option;10;07-Apr-2020</v>
      </c>
      <c r="B15496" s="1"/>
    </row>
    <row r="15497">
      <c r="A15497" s="1" t="str">
        <f>IFERROR(__xludf.DUMMYFUNCTION("""COMPUTED_VALUE"""),"140419;INF789FC1GZ8;-;UTI FTIF Series XXV-XII (1198 Days)- Direct Plan - Growth Option;12.5957;07-Apr-2020")</f>
        <v>140419;INF789FC1GZ8;-;UTI FTIF Series XXV-XII (1198 Days)- Direct Plan - Growth Option;12.5957;07-Apr-2020</v>
      </c>
      <c r="B15497" s="1"/>
    </row>
    <row r="15498">
      <c r="A15498" s="1" t="str">
        <f>IFERROR(__xludf.DUMMYFUNCTION("""COMPUTED_VALUE"""),"140423;INF789FC1GY1;-;UTI FTIF Series XXV-XII (1198 Days)- Direct Plan - Maturity Div Option;10.0001;07-Apr-2020")</f>
        <v>140423;INF789FC1GY1;-;UTI FTIF Series XXV-XII (1198 Days)- Direct Plan - Maturity Div Option;10.0001;07-Apr-2020</v>
      </c>
      <c r="B15498" s="1"/>
    </row>
    <row r="15499">
      <c r="A15499" s="1" t="str">
        <f>IFERROR(__xludf.DUMMYFUNCTION("""COMPUTED_VALUE"""),"140421;INF789FC1GS3;-;UTI FTIF Series XXV-XII (1198 Days)- Direct Plan - Quarterly Div Option;10;07-Apr-2020")</f>
        <v>140421;INF789FC1GS3;-;UTI FTIF Series XXV-XII (1198 Days)- Direct Plan - Quarterly Div Option;10;07-Apr-2020</v>
      </c>
      <c r="B15499" s="1"/>
    </row>
    <row r="15500">
      <c r="A15500" s="1" t="str">
        <f>IFERROR(__xludf.DUMMYFUNCTION("""COMPUTED_VALUE"""),"140424;INF789FC1GX3;-;UTI FTIF Series XXV-XII (1198 Days)- Regular Plan - Annual Div Option;10;07-Apr-2020")</f>
        <v>140424;INF789FC1GX3;-;UTI FTIF Series XXV-XII (1198 Days)- Regular Plan - Annual Div Option;10;07-Apr-2020</v>
      </c>
      <c r="B15500" s="1"/>
    </row>
    <row r="15501">
      <c r="A15501" s="1" t="str">
        <f>IFERROR(__xludf.DUMMYFUNCTION("""COMPUTED_VALUE"""),"140418;INF789FC1GV7;-;UTI FTIF Series XXV-XII (1198 Days)- Regular Plan - Flexi Div Option;10.0001;07-Apr-2020")</f>
        <v>140418;INF789FC1GV7;-;UTI FTIF Series XXV-XII (1198 Days)- Regular Plan - Flexi Div Option;10.0001;07-Apr-2020</v>
      </c>
      <c r="B15501" s="1"/>
    </row>
    <row r="15502">
      <c r="A15502" s="1" t="str">
        <f>IFERROR(__xludf.DUMMYFUNCTION("""COMPUTED_VALUE"""),"140420;INF789FC1HB7;-;UTI FTIF Series XXV-XII (1198 Days)- Regular Plan - Growth Option;12.47;07-Apr-2020")</f>
        <v>140420;INF789FC1HB7;-;UTI FTIF Series XXV-XII (1198 Days)- Regular Plan - Growth Option;12.47;07-Apr-2020</v>
      </c>
      <c r="B15502" s="1"/>
    </row>
    <row r="15503">
      <c r="A15503" s="1" t="str">
        <f>IFERROR(__xludf.DUMMYFUNCTION("""COMPUTED_VALUE"""),"140417;INF789FC1HA9;-;UTI FTIF Series XXV-XII (1198 Days)- Regular Plan - Maturity Div Option;10.0001;07-Apr-2020")</f>
        <v>140417;INF789FC1HA9;-;UTI FTIF Series XXV-XII (1198 Days)- Regular Plan - Maturity Div Option;10.0001;07-Apr-2020</v>
      </c>
      <c r="B15503" s="1"/>
    </row>
    <row r="15504">
      <c r="A15504" s="1" t="str">
        <f>IFERROR(__xludf.DUMMYFUNCTION("""COMPUTED_VALUE"""),"140471;INF789FC1HH4;-;UTI FTIF Series XXVI-I (1182 Days)- Direct Plan - Annual Div Option;10;07-Apr-2020")</f>
        <v>140471;INF789FC1HH4;-;UTI FTIF Series XXVI-I (1182 Days)- Direct Plan - Annual Div Option;10;07-Apr-2020</v>
      </c>
      <c r="B15504" s="1"/>
    </row>
    <row r="15505">
      <c r="A15505" s="1" t="str">
        <f>IFERROR(__xludf.DUMMYFUNCTION("""COMPUTED_VALUE"""),"140468;INF789FC1HI2;-;UTI FTIF Series XXVI-I (1182 Days)- Direct Plan - Flexi Div Option;10.0001;07-Apr-2020")</f>
        <v>140468;INF789FC1HI2;-;UTI FTIF Series XXVI-I (1182 Days)- Direct Plan - Flexi Div Option;10.0001;07-Apr-2020</v>
      </c>
      <c r="B15505" s="1"/>
    </row>
    <row r="15506">
      <c r="A15506" s="1" t="str">
        <f>IFERROR(__xludf.DUMMYFUNCTION("""COMPUTED_VALUE"""),"140466;INF789FC1HN2;-;UTI FTIF Series XXVI-I (1182 Days)- Direct Plan - Growth Option;12.4812;07-Apr-2020")</f>
        <v>140466;INF789FC1HN2;-;UTI FTIF Series XXVI-I (1182 Days)- Direct Plan - Growth Option;12.4812;07-Apr-2020</v>
      </c>
      <c r="B15506" s="1"/>
    </row>
    <row r="15507">
      <c r="A15507" s="1" t="str">
        <f>IFERROR(__xludf.DUMMYFUNCTION("""COMPUTED_VALUE"""),"140474;INF789FC1HM4;-;UTI FTIF Series XXVI-I (1182 Days)- Direct Plan - Maturity Div Option;10.0001;07-Apr-2020")</f>
        <v>140474;INF789FC1HM4;-;UTI FTIF Series XXVI-I (1182 Days)- Direct Plan - Maturity Div Option;10.0001;07-Apr-2020</v>
      </c>
      <c r="B15507" s="1"/>
    </row>
    <row r="15508">
      <c r="A15508" s="1" t="str">
        <f>IFERROR(__xludf.DUMMYFUNCTION("""COMPUTED_VALUE"""),"140470;INF789FC1HG6;-;UTI FTIF Series XXVI-I (1182 Days)- Direct Plan - Quarterly Div Option;10;07-Apr-2020")</f>
        <v>140470;INF789FC1HG6;-;UTI FTIF Series XXVI-I (1182 Days)- Direct Plan - Quarterly Div Option;10;07-Apr-2020</v>
      </c>
      <c r="B15508" s="1"/>
    </row>
    <row r="15509">
      <c r="A15509" s="1" t="str">
        <f>IFERROR(__xludf.DUMMYFUNCTION("""COMPUTED_VALUE"""),"140469;INF789FC1HL6;-;UTI FTIF Series XXVI-I (1182 Days)- Regular Plan - Annual Div Option;10;07-Apr-2020")</f>
        <v>140469;INF789FC1HL6;-;UTI FTIF Series XXVI-I (1182 Days)- Regular Plan - Annual Div Option;10;07-Apr-2020</v>
      </c>
      <c r="B15509" s="1"/>
    </row>
    <row r="15510">
      <c r="A15510" s="1" t="str">
        <f>IFERROR(__xludf.DUMMYFUNCTION("""COMPUTED_VALUE"""),"140473;INF789FC1HJ0;-;UTI FTIF Series XXVI-I (1182 Days)- Regular Plan - Flexi Div Option;10.0001;07-Apr-2020")</f>
        <v>140473;INF789FC1HJ0;-;UTI FTIF Series XXVI-I (1182 Days)- Regular Plan - Flexi Div Option;10.0001;07-Apr-2020</v>
      </c>
      <c r="B15510" s="1"/>
    </row>
    <row r="15511">
      <c r="A15511" s="1" t="str">
        <f>IFERROR(__xludf.DUMMYFUNCTION("""COMPUTED_VALUE"""),"140475;INF789FC1HP7;-;UTI FTIF Series XXVI-I (1182 Days)- Regular Plan - Growth Option;12.357;07-Apr-2020")</f>
        <v>140475;INF789FC1HP7;-;UTI FTIF Series XXVI-I (1182 Days)- Regular Plan - Growth Option;12.357;07-Apr-2020</v>
      </c>
      <c r="B15511" s="1"/>
    </row>
    <row r="15512">
      <c r="A15512" s="1" t="str">
        <f>IFERROR(__xludf.DUMMYFUNCTION("""COMPUTED_VALUE"""),"140467;INF789FC1HO0;-;UTI FTIF Series XXVI-I (1182 Days)- Regular Plan - Maturity Div Option;10.0001;07-Apr-2020")</f>
        <v>140467;INF789FC1HO0;-;UTI FTIF Series XXVI-I (1182 Days)- Regular Plan - Maturity Div Option;10.0001;07-Apr-2020</v>
      </c>
      <c r="B15512" s="1"/>
    </row>
    <row r="15513">
      <c r="A15513" s="1" t="str">
        <f>IFERROR(__xludf.DUMMYFUNCTION("""COMPUTED_VALUE"""),"140472;INF789FC1HK8;-;UTI FTIF Series XXVI-I (1182 Days)- Regular Plan - Quarterly Div Option;10;07-Apr-2020")</f>
        <v>140472;INF789FC1HK8;-;UTI FTIF Series XXVI-I (1182 Days)- Regular Plan - Quarterly Div Option;10;07-Apr-2020</v>
      </c>
      <c r="B15513" s="1"/>
    </row>
    <row r="15514">
      <c r="A15514" s="1" t="str">
        <f>IFERROR(__xludf.DUMMYFUNCTION("""COMPUTED_VALUE"""),"140525;INF789FC1HZ6;-;UTI FTIF Series XXVI-II (1176 Days)- Direct Plan - Annual Div Option;10;21-Apr-2020")</f>
        <v>140525;INF789FC1HZ6;-;UTI FTIF Series XXVI-II (1176 Days)- Direct Plan - Annual Div Option;10;21-Apr-2020</v>
      </c>
      <c r="B15514" s="1"/>
    </row>
    <row r="15515">
      <c r="A15515" s="1" t="str">
        <f>IFERROR(__xludf.DUMMYFUNCTION("""COMPUTED_VALUE"""),"140519;INF789FC1IA7;-;UTI FTIF Series XXVI-II (1176 Days)- Direct Plan - Flexi Div Option;10;21-Apr-2020")</f>
        <v>140519;INF789FC1IA7;-;UTI FTIF Series XXVI-II (1176 Days)- Direct Plan - Flexi Div Option;10;21-Apr-2020</v>
      </c>
      <c r="B15515" s="1"/>
    </row>
    <row r="15516">
      <c r="A15516" s="1" t="str">
        <f>IFERROR(__xludf.DUMMYFUNCTION("""COMPUTED_VALUE"""),"140524;INF789FC1IF6;-;UTI FTIF Series XXVI-II (1176 Days)- Direct Plan - Growth Option;12.4847;21-Apr-2020")</f>
        <v>140524;INF789FC1IF6;-;UTI FTIF Series XXVI-II (1176 Days)- Direct Plan - Growth Option;12.4847;21-Apr-2020</v>
      </c>
      <c r="B15516" s="1"/>
    </row>
    <row r="15517">
      <c r="A15517" s="1" t="str">
        <f>IFERROR(__xludf.DUMMYFUNCTION("""COMPUTED_VALUE"""),"140521;INF789FC1IE9;-;UTI FTIF Series XXVI-II (1176 Days)- Direct Plan - Maturity Div Option;10;21-Apr-2020")</f>
        <v>140521;INF789FC1IE9;-;UTI FTIF Series XXVI-II (1176 Days)- Direct Plan - Maturity Div Option;10;21-Apr-2020</v>
      </c>
      <c r="B15517" s="1"/>
    </row>
    <row r="15518">
      <c r="A15518" s="1" t="str">
        <f>IFERROR(__xludf.DUMMYFUNCTION("""COMPUTED_VALUE"""),"140518;INF789FC1HY9;-;UTI FTIF Series XXVI-II (1176 Days)- Direct Plan - Quarterly Div Option;10;21-Apr-2020")</f>
        <v>140518;INF789FC1HY9;-;UTI FTIF Series XXVI-II (1176 Days)- Direct Plan - Quarterly Div Option;10;21-Apr-2020</v>
      </c>
      <c r="B15518" s="1"/>
    </row>
    <row r="15519">
      <c r="A15519" s="1" t="str">
        <f>IFERROR(__xludf.DUMMYFUNCTION("""COMPUTED_VALUE"""),"140526;INF789FC1ID1;-;UTI FTIF Series XXVI-II (1176 Days)- Regular Plan - Annual Div Option;10;21-Apr-2020")</f>
        <v>140526;INF789FC1ID1;-;UTI FTIF Series XXVI-II (1176 Days)- Regular Plan - Annual Div Option;10;21-Apr-2020</v>
      </c>
      <c r="B15519" s="1"/>
    </row>
    <row r="15520">
      <c r="A15520" s="1" t="str">
        <f>IFERROR(__xludf.DUMMYFUNCTION("""COMPUTED_VALUE"""),"140522;INF789FC1IB5;-;UTI FTIF Series XXVI-II (1176 Days)- Regular Plan - Flexi Div Option;10;21-Apr-2020")</f>
        <v>140522;INF789FC1IB5;-;UTI FTIF Series XXVI-II (1176 Days)- Regular Plan - Flexi Div Option;10;21-Apr-2020</v>
      </c>
      <c r="B15520" s="1"/>
    </row>
    <row r="15521">
      <c r="A15521" s="1" t="str">
        <f>IFERROR(__xludf.DUMMYFUNCTION("""COMPUTED_VALUE"""),"140520;INF789FC1IH2;-;UTI FTIF Series XXVI-II (1176 Days)- Regular Plan - Growth Option;12.3599;21-Apr-2020")</f>
        <v>140520;INF789FC1IH2;-;UTI FTIF Series XXVI-II (1176 Days)- Regular Plan - Growth Option;12.3599;21-Apr-2020</v>
      </c>
      <c r="B15521" s="1"/>
    </row>
    <row r="15522">
      <c r="A15522" s="1" t="str">
        <f>IFERROR(__xludf.DUMMYFUNCTION("""COMPUTED_VALUE"""),"140523;INF789FC1IG4;-;UTI FTIF Series XXVI-II (1176 Days)- Regular Plan - Maturity Div Option;10;21-Apr-2020")</f>
        <v>140523;INF789FC1IG4;-;UTI FTIF Series XXVI-II (1176 Days)- Regular Plan - Maturity Div Option;10;21-Apr-2020</v>
      </c>
      <c r="B15522" s="1"/>
    </row>
    <row r="15523">
      <c r="A15523" s="1" t="str">
        <f>IFERROR(__xludf.DUMMYFUNCTION("""COMPUTED_VALUE"""),"140527;INF789FC1IC3;-;UTI FTIF Series XXVI-II (1176 Days)- Regular Plan - Quarterly Div Option;10;21-Apr-2020")</f>
        <v>140527;INF789FC1IC3;-;UTI FTIF Series XXVI-II (1176 Days)- Regular Plan - Quarterly Div Option;10;21-Apr-2020</v>
      </c>
      <c r="B15523" s="1"/>
    </row>
    <row r="15524">
      <c r="A15524" s="1" t="str">
        <f>IFERROR(__xludf.DUMMYFUNCTION("""COMPUTED_VALUE"""),"140635;INF789FC1IX9;-;UTI FTIF Series XXVI-III (1169 Days)- Direct Plan - Growth Option;12.4915;06-May-2020")</f>
        <v>140635;INF789FC1IX9;-;UTI FTIF Series XXVI-III (1169 Days)- Direct Plan - Growth Option;12.4915;06-May-2020</v>
      </c>
      <c r="B15524" s="1"/>
    </row>
    <row r="15525">
      <c r="A15525" s="1" t="str">
        <f>IFERROR(__xludf.DUMMYFUNCTION("""COMPUTED_VALUE"""),"140636;INF789FC1IQ3;-;UTI FTIF Series XXVI-III (1169 Days)- Direct Plan - Quarterly Div Option;10;06-May-2020")</f>
        <v>140636;INF789FC1IQ3;-;UTI FTIF Series XXVI-III (1169 Days)- Direct Plan - Quarterly Div Option;10;06-May-2020</v>
      </c>
      <c r="B15525" s="1"/>
    </row>
    <row r="15526">
      <c r="A15526" s="1" t="str">
        <f>IFERROR(__xludf.DUMMYFUNCTION("""COMPUTED_VALUE"""),"140641;INF789FC1IV3;-;UTI FTIF Series XXVI-III (1169 Days)- Regular Plan - Annual Div Option;10;06-May-2020")</f>
        <v>140641;INF789FC1IV3;-;UTI FTIF Series XXVI-III (1169 Days)- Regular Plan - Annual Div Option;10;06-May-2020</v>
      </c>
      <c r="B15526" s="1"/>
    </row>
    <row r="15527">
      <c r="A15527" s="1" t="str">
        <f>IFERROR(__xludf.DUMMYFUNCTION("""COMPUTED_VALUE"""),"140643;INF789FC1IT7;-;UTI FTIF Series XXVI-III (1169 Days)- Regular Plan - Flexi Div Option;10;06-May-2020")</f>
        <v>140643;INF789FC1IT7;-;UTI FTIF Series XXVI-III (1169 Days)- Regular Plan - Flexi Div Option;10;06-May-2020</v>
      </c>
      <c r="B15527" s="1"/>
    </row>
    <row r="15528">
      <c r="A15528" s="1" t="str">
        <f>IFERROR(__xludf.DUMMYFUNCTION("""COMPUTED_VALUE"""),"140640;INF789FC1IZ4;-;UTI FTIF Series XXVI-III (1169 Days)- Regular Plan - Growth Option;12.3666;06-May-2020")</f>
        <v>140640;INF789FC1IZ4;-;UTI FTIF Series XXVI-III (1169 Days)- Regular Plan - Growth Option;12.3666;06-May-2020</v>
      </c>
      <c r="B15528" s="1"/>
    </row>
    <row r="15529">
      <c r="A15529" s="1" t="str">
        <f>IFERROR(__xludf.DUMMYFUNCTION("""COMPUTED_VALUE"""),"140644;INF789FC1IY7;-;UTI FTIF Series XXVI-III (1169 Days)- Regular Plan - Maturity Div Option;10;06-May-2020")</f>
        <v>140644;INF789FC1IY7;-;UTI FTIF Series XXVI-III (1169 Days)- Regular Plan - Maturity Div Option;10;06-May-2020</v>
      </c>
      <c r="B15529" s="1"/>
    </row>
    <row r="15530">
      <c r="A15530" s="1" t="str">
        <f>IFERROR(__xludf.DUMMYFUNCTION("""COMPUTED_VALUE"""),"140642;INF789FC1IU5;-;UTI FTIF Series XXVI-III (1169 Days)- Regular Plan - Quarterly Div Option;10;06-May-2020")</f>
        <v>140642;INF789FC1IU5;-;UTI FTIF Series XXVI-III (1169 Days)- Regular Plan - Quarterly Div Option;10;06-May-2020</v>
      </c>
      <c r="B15530" s="1"/>
    </row>
    <row r="15531">
      <c r="A15531" s="1" t="str">
        <f>IFERROR(__xludf.DUMMYFUNCTION("""COMPUTED_VALUE"""),"140853;INF789FC1JL2;-;UTI FTIF Series XXVI-V (1160 Days)- Direct Plan - Annual Div Option;10;12-May-2020")</f>
        <v>140853;INF789FC1JL2;-;UTI FTIF Series XXVI-V (1160 Days)- Direct Plan - Annual Div Option;10;12-May-2020</v>
      </c>
      <c r="B15531" s="1"/>
    </row>
    <row r="15532">
      <c r="A15532" s="1" t="str">
        <f>IFERROR(__xludf.DUMMYFUNCTION("""COMPUTED_VALUE"""),"140858;INF789FC1JM0;-;UTI FTIF Series XXVI-V (1160 Days)- Direct Plan - Flexi Div Option;10;12-May-2020")</f>
        <v>140858;INF789FC1JM0;-;UTI FTIF Series XXVI-V (1160 Days)- Direct Plan - Flexi Div Option;10;12-May-2020</v>
      </c>
      <c r="B15532" s="1"/>
    </row>
    <row r="15533">
      <c r="A15533" s="1" t="str">
        <f>IFERROR(__xludf.DUMMYFUNCTION("""COMPUTED_VALUE"""),"140857;INF789FC1JR9;-;UTI FTIF Series XXVI-V (1160 Days)- Direct Plan - Growth Option;12.7932;12-May-2020")</f>
        <v>140857;INF789FC1JR9;-;UTI FTIF Series XXVI-V (1160 Days)- Direct Plan - Growth Option;12.7932;12-May-2020</v>
      </c>
      <c r="B15533" s="1"/>
    </row>
    <row r="15534">
      <c r="A15534" s="1" t="str">
        <f>IFERROR(__xludf.DUMMYFUNCTION("""COMPUTED_VALUE"""),"140856;INF789FC1JQ1;-;UTI FTIF Series XXVI-V (1160 Days)- Direct Plan - Maturity Div Option;10;12-May-2020")</f>
        <v>140856;INF789FC1JQ1;-;UTI FTIF Series XXVI-V (1160 Days)- Direct Plan - Maturity Div Option;10;12-May-2020</v>
      </c>
      <c r="B15534" s="1"/>
    </row>
    <row r="15535">
      <c r="A15535" s="1" t="str">
        <f>IFERROR(__xludf.DUMMYFUNCTION("""COMPUTED_VALUE"""),"140854;INF789FC1JK4;-;UTI FTIF Series XXVI-V (1160 Days)- Direct Plan - Quarterly Div Option;10;12-May-2020")</f>
        <v>140854;INF789FC1JK4;-;UTI FTIF Series XXVI-V (1160 Days)- Direct Plan - Quarterly Div Option;10;12-May-2020</v>
      </c>
      <c r="B15535" s="1"/>
    </row>
    <row r="15536">
      <c r="A15536" s="1" t="str">
        <f>IFERROR(__xludf.DUMMYFUNCTION("""COMPUTED_VALUE"""),"140860;INF789FC1JP3;-;UTI FTIF Series XXVI-V (1160 Days)- Regular Plan - Annual Div Option;10;12-May-2020")</f>
        <v>140860;INF789FC1JP3;-;UTI FTIF Series XXVI-V (1160 Days)- Regular Plan - Annual Div Option;10;12-May-2020</v>
      </c>
      <c r="B15536" s="1"/>
    </row>
    <row r="15537">
      <c r="A15537" s="1" t="str">
        <f>IFERROR(__xludf.DUMMYFUNCTION("""COMPUTED_VALUE"""),"140855;INF789FC1JT5;-;UTI FTIF Series XXVI-V (1160 Days)- Regular Plan - Growth Option;12.666;12-May-2020")</f>
        <v>140855;INF789FC1JT5;-;UTI FTIF Series XXVI-V (1160 Days)- Regular Plan - Growth Option;12.666;12-May-2020</v>
      </c>
      <c r="B15537" s="1"/>
    </row>
    <row r="15538">
      <c r="A15538" s="1" t="str">
        <f>IFERROR(__xludf.DUMMYFUNCTION("""COMPUTED_VALUE"""),"140861;INF789FC1JS7;-;UTI FTIF Series XXVI-V (1160 Days)- Regular Plan - Maturity Div Option;10;12-May-2020")</f>
        <v>140861;INF789FC1JS7;-;UTI FTIF Series XXVI-V (1160 Days)- Regular Plan - Maturity Div Option;10;12-May-2020</v>
      </c>
      <c r="B15538" s="1"/>
    </row>
    <row r="15539">
      <c r="A15539" s="1" t="str">
        <f>IFERROR(__xludf.DUMMYFUNCTION("""COMPUTED_VALUE"""),"140859;INF789FC1JO6;-;UTI FTIF Series XXVI-V (1160 Days)- Regular Plan - Quarterly Div Option;10;12-May-2020")</f>
        <v>140859;INF789FC1JO6;-;UTI FTIF Series XXVI-V (1160 Days)- Regular Plan - Quarterly Div Option;10;12-May-2020</v>
      </c>
      <c r="B15539" s="1"/>
    </row>
    <row r="15540">
      <c r="A15540" s="1" t="str">
        <f>IFERROR(__xludf.DUMMYFUNCTION("""COMPUTED_VALUE"""),"140969;INF789FC1JV1;-;UTI FTIF Series XXVI-VI (1146 Days)- Direct Plan - Annual Div Option;10;05-May-2020")</f>
        <v>140969;INF789FC1JV1;-;UTI FTIF Series XXVI-VI (1146 Days)- Direct Plan - Annual Div Option;10;05-May-2020</v>
      </c>
      <c r="B15540" s="1"/>
    </row>
    <row r="15541">
      <c r="A15541" s="1" t="str">
        <f>IFERROR(__xludf.DUMMYFUNCTION("""COMPUTED_VALUE"""),"140964;INF789FC1KB1;-;UTI FTIF Series XXVI-VI (1146 Days)- Direct Plan - Growth Option;12.4583;05-May-2020")</f>
        <v>140964;INF789FC1KB1;-;UTI FTIF Series XXVI-VI (1146 Days)- Direct Plan - Growth Option;12.4583;05-May-2020</v>
      </c>
      <c r="B15541" s="1"/>
    </row>
    <row r="15542">
      <c r="A15542" s="1" t="str">
        <f>IFERROR(__xludf.DUMMYFUNCTION("""COMPUTED_VALUE"""),"140971;INF789FC1KA3;-;UTI FTIF Series XXVI-VI (1146 Days)- Direct Plan - Maturity Div Option;10;05-May-2020")</f>
        <v>140971;INF789FC1KA3;-;UTI FTIF Series XXVI-VI (1146 Days)- Direct Plan - Maturity Div Option;10;05-May-2020</v>
      </c>
      <c r="B15542" s="1"/>
    </row>
    <row r="15543">
      <c r="A15543" s="1" t="str">
        <f>IFERROR(__xludf.DUMMYFUNCTION("""COMPUTED_VALUE"""),"140970;INF789FC1JU3;-;UTI FTIF Series XXVI-VI (1146 Days)- Direct Plan - Quarterly Div Option;10;05-May-2020")</f>
        <v>140970;INF789FC1JU3;-;UTI FTIF Series XXVI-VI (1146 Days)- Direct Plan - Quarterly Div Option;10;05-May-2020</v>
      </c>
      <c r="B15543" s="1"/>
    </row>
    <row r="15544">
      <c r="A15544" s="1" t="str">
        <f>IFERROR(__xludf.DUMMYFUNCTION("""COMPUTED_VALUE"""),"140967;INF789FC1JX7;-;UTI FTIF Series XXVI-VI (1146 Days)- Regular Plan - Flexi Div Option;10;05-May-2020")</f>
        <v>140967;INF789FC1JX7;-;UTI FTIF Series XXVI-VI (1146 Days)- Regular Plan - Flexi Div Option;10;05-May-2020</v>
      </c>
      <c r="B15544" s="1"/>
    </row>
    <row r="15545">
      <c r="A15545" s="1" t="str">
        <f>IFERROR(__xludf.DUMMYFUNCTION("""COMPUTED_VALUE"""),"140968;INF789FC1KD7;-;UTI FTIF Series XXVI-VI (1146 Days)- Regular Plan - Growth Option;12.4397;05-May-2020")</f>
        <v>140968;INF789FC1KD7;-;UTI FTIF Series XXVI-VI (1146 Days)- Regular Plan - Growth Option;12.4397;05-May-2020</v>
      </c>
      <c r="B15545" s="1"/>
    </row>
    <row r="15546">
      <c r="A15546" s="1" t="str">
        <f>IFERROR(__xludf.DUMMYFUNCTION("""COMPUTED_VALUE"""),"140966;INF789FC1KC9;-;UTI FTIF Series XXVI-VI (1146 Days)- Regular Plan - Maturity Div Option;10;05-May-2020")</f>
        <v>140966;INF789FC1KC9;-;UTI FTIF Series XXVI-VI (1146 Days)- Regular Plan - Maturity Div Option;10;05-May-2020</v>
      </c>
      <c r="B15546" s="1"/>
    </row>
    <row r="15547">
      <c r="A15547" s="1" t="str">
        <f>IFERROR(__xludf.DUMMYFUNCTION("""COMPUTED_VALUE"""),"140973;INF789FC1JY5;-;UTI FTIF Series XXVI-VI (1146 Days)- Regular Plan - Quarterly Div Option;10;05-May-2020")</f>
        <v>140973;INF789FC1JY5;-;UTI FTIF Series XXVI-VI (1146 Days)- Regular Plan - Quarterly Div Option;10;05-May-2020</v>
      </c>
      <c r="B15547" s="1"/>
    </row>
    <row r="15548">
      <c r="A15548" s="1" t="str">
        <f>IFERROR(__xludf.DUMMYFUNCTION("""COMPUTED_VALUE"""),"141012;INF789FC1KF2;-;UTI FTIF Series XXVI-VII (1140 Days)- Direct Plan - Annual Div Option;10;12-May-2020")</f>
        <v>141012;INF789FC1KF2;-;UTI FTIF Series XXVI-VII (1140 Days)- Direct Plan - Annual Div Option;10;12-May-2020</v>
      </c>
      <c r="B15548" s="1"/>
    </row>
    <row r="15549">
      <c r="A15549" s="1" t="str">
        <f>IFERROR(__xludf.DUMMYFUNCTION("""COMPUTED_VALUE"""),"141013;INF789FC1KL0;-;UTI FTIF Series XXVI-VII (1140 Days)- Direct Plan - Growth Option;12.724;12-May-2020")</f>
        <v>141013;INF789FC1KL0;-;UTI FTIF Series XXVI-VII (1140 Days)- Direct Plan - Growth Option;12.724;12-May-2020</v>
      </c>
      <c r="B15549" s="1"/>
    </row>
    <row r="15550">
      <c r="A15550" s="1" t="str">
        <f>IFERROR(__xludf.DUMMYFUNCTION("""COMPUTED_VALUE"""),"141014;INF789FC1KK2;-;UTI FTIF Series XXVI-VII (1140 Days)- Direct Plan - Maturity Div Option;10;12-May-2020")</f>
        <v>141014;INF789FC1KK2;-;UTI FTIF Series XXVI-VII (1140 Days)- Direct Plan - Maturity Div Option;10;12-May-2020</v>
      </c>
      <c r="B15550" s="1"/>
    </row>
    <row r="15551">
      <c r="A15551" s="1" t="str">
        <f>IFERROR(__xludf.DUMMYFUNCTION("""COMPUTED_VALUE"""),"141008;INF789FC1KE5;-;UTI FTIF Series XXVI-VII (1140 Days)- Direct Plan - Quarterly Div Option;10;12-May-2020")</f>
        <v>141008;INF789FC1KE5;-;UTI FTIF Series XXVI-VII (1140 Days)- Direct Plan - Quarterly Div Option;10;12-May-2020</v>
      </c>
      <c r="B15551" s="1"/>
    </row>
    <row r="15552">
      <c r="A15552" s="1" t="str">
        <f>IFERROR(__xludf.DUMMYFUNCTION("""COMPUTED_VALUE"""),"141017;INF789FC1KJ4;-;UTI FTIF Series XXVI-VII (1140 Days)- Regular Plan - Annual Div Option;10;12-May-2020")</f>
        <v>141017;INF789FC1KJ4;-;UTI FTIF Series XXVI-VII (1140 Days)- Regular Plan - Annual Div Option;10;12-May-2020</v>
      </c>
      <c r="B15552" s="1"/>
    </row>
    <row r="15553">
      <c r="A15553" s="1" t="str">
        <f>IFERROR(__xludf.DUMMYFUNCTION("""COMPUTED_VALUE"""),"141016;INF789FC1KH8;-;UTI FTIF Series XXVI-VII (1140 Days)- Regular Plan - Flexi Div Option;10;12-May-2020")</f>
        <v>141016;INF789FC1KH8;-;UTI FTIF Series XXVI-VII (1140 Days)- Regular Plan - Flexi Div Option;10;12-May-2020</v>
      </c>
      <c r="B15553" s="1"/>
    </row>
    <row r="15554">
      <c r="A15554" s="1" t="str">
        <f>IFERROR(__xludf.DUMMYFUNCTION("""COMPUTED_VALUE"""),"141015;INF789FC1KN6;-;UTI FTIF Series XXVI-VII (1140 Days)- Regular Plan - Growth Option;12.5974;12-May-2020")</f>
        <v>141015;INF789FC1KN6;-;UTI FTIF Series XXVI-VII (1140 Days)- Regular Plan - Growth Option;12.5974;12-May-2020</v>
      </c>
      <c r="B15554" s="1"/>
    </row>
    <row r="15555">
      <c r="A15555" s="1" t="str">
        <f>IFERROR(__xludf.DUMMYFUNCTION("""COMPUTED_VALUE"""),"141011;INF789FC1KM8;-;UTI FTIF Series XXVI-VII (1140 Days)- Regular Plan - Maturity Div Option;10;12-May-2020")</f>
        <v>141011;INF789FC1KM8;-;UTI FTIF Series XXVI-VII (1140 Days)- Regular Plan - Maturity Div Option;10;12-May-2020</v>
      </c>
      <c r="B15555" s="1"/>
    </row>
    <row r="15556">
      <c r="A15556" s="1" t="str">
        <f>IFERROR(__xludf.DUMMYFUNCTION("""COMPUTED_VALUE"""),"141010;INF789FC1KI6;-;UTI FTIF Series XXVI-VII (1140 Days)- Regular Plan - Quarterly Div Option;10;12-May-2020")</f>
        <v>141010;INF789FC1KI6;-;UTI FTIF Series XXVI-VII (1140 Days)- Regular Plan - Quarterly Div Option;10;12-May-2020</v>
      </c>
      <c r="B15556" s="1"/>
    </row>
    <row r="15557">
      <c r="A15557" s="1" t="str">
        <f>IFERROR(__xludf.DUMMYFUNCTION("""COMPUTED_VALUE"""),"141119;INF789FC1ML6;-;UTI FTIF Series XXVI-VIII (1154 Days)- Direct Plan - Annual Div Option;10;26-May-2020")</f>
        <v>141119;INF789FC1ML6;-;UTI FTIF Series XXVI-VIII (1154 Days)- Direct Plan - Annual Div Option;10;26-May-2020</v>
      </c>
      <c r="B15557" s="1"/>
    </row>
    <row r="15558">
      <c r="A15558" s="1" t="str">
        <f>IFERROR(__xludf.DUMMYFUNCTION("""COMPUTED_VALUE"""),"141114;INF789FC1MM4;-;UTI FTIF Series XXVI-VIII (1154 Days)- Direct Plan - Flexi Div Option;10;26-May-2020")</f>
        <v>141114;INF789FC1MM4;-;UTI FTIF Series XXVI-VIII (1154 Days)- Direct Plan - Flexi Div Option;10;26-May-2020</v>
      </c>
      <c r="B15558" s="1"/>
    </row>
    <row r="15559">
      <c r="A15559" s="1" t="str">
        <f>IFERROR(__xludf.DUMMYFUNCTION("""COMPUTED_VALUE"""),"141111;INF789FC1MR3;-;UTI FTIF Series XXVI-VIII (1154 Days)- Direct Plan - Growth Option;12.4509;26-May-2020")</f>
        <v>141111;INF789FC1MR3;-;UTI FTIF Series XXVI-VIII (1154 Days)- Direct Plan - Growth Option;12.4509;26-May-2020</v>
      </c>
      <c r="B15559" s="1"/>
    </row>
    <row r="15560">
      <c r="A15560" s="1" t="str">
        <f>IFERROR(__xludf.DUMMYFUNCTION("""COMPUTED_VALUE"""),"141113;INF789FC1MQ5;-;UTI FTIF Series XXVI-VIII (1154 Days)- Direct Plan - Maturity Div Option;10;26-May-2020")</f>
        <v>141113;INF789FC1MQ5;-;UTI FTIF Series XXVI-VIII (1154 Days)- Direct Plan - Maturity Div Option;10;26-May-2020</v>
      </c>
      <c r="B15560" s="1"/>
    </row>
    <row r="15561">
      <c r="A15561" s="1" t="str">
        <f>IFERROR(__xludf.DUMMYFUNCTION("""COMPUTED_VALUE"""),"141112;INF789FC1MK8;-;UTI FTIF Series XXVI-VIII (1154 Days)- Direct Plan - Quarterly Div Option;10;26-May-2020")</f>
        <v>141112;INF789FC1MK8;-;UTI FTIF Series XXVI-VIII (1154 Days)- Direct Plan - Quarterly Div Option;10;26-May-2020</v>
      </c>
      <c r="B15561" s="1"/>
    </row>
    <row r="15562">
      <c r="A15562" s="1" t="str">
        <f>IFERROR(__xludf.DUMMYFUNCTION("""COMPUTED_VALUE"""),"141116;INF789FC1MP7;-;UTI FTIF Series XXVI-VIII (1154 Days)- Regular Plan - Annual Div Option;10;26-May-2020")</f>
        <v>141116;INF789FC1MP7;-;UTI FTIF Series XXVI-VIII (1154 Days)- Regular Plan - Annual Div Option;10;26-May-2020</v>
      </c>
      <c r="B15562" s="1"/>
    </row>
    <row r="15563">
      <c r="A15563" s="1" t="str">
        <f>IFERROR(__xludf.DUMMYFUNCTION("""COMPUTED_VALUE"""),"141115;INF789FC1MT9;-;UTI FTIF Series XXVI-VIII (1154 Days)- Regular Plan - Growth Option;12.3269;26-May-2020")</f>
        <v>141115;INF789FC1MT9;-;UTI FTIF Series XXVI-VIII (1154 Days)- Regular Plan - Growth Option;12.3269;26-May-2020</v>
      </c>
      <c r="B15563" s="1"/>
    </row>
    <row r="15564">
      <c r="A15564" s="1" t="str">
        <f>IFERROR(__xludf.DUMMYFUNCTION("""COMPUTED_VALUE"""),"141117;INF789FC1MS1;-;UTI FTIF Series XXVI-VIII (1154 Days)- Regular Plan - Maturity Div Option;10;26-May-2020")</f>
        <v>141117;INF789FC1MS1;-;UTI FTIF Series XXVI-VIII (1154 Days)- Regular Plan - Maturity Div Option;10;26-May-2020</v>
      </c>
      <c r="B15564" s="1"/>
    </row>
    <row r="15565">
      <c r="A15565" s="1" t="str">
        <f>IFERROR(__xludf.DUMMYFUNCTION("""COMPUTED_VALUE"""),"141120;INF789FC1MO0;-;UTI FTIF Series XXVI-VIII (1154 Days)- Regular Plan - Quarterly Div Option;10;26-May-2020")</f>
        <v>141120;INF789FC1MO0;-;UTI FTIF Series XXVI-VIII (1154 Days)- Regular Plan - Quarterly Div Option;10;26-May-2020</v>
      </c>
      <c r="B15565" s="1"/>
    </row>
    <row r="15566">
      <c r="A15566" s="1" t="str">
        <f>IFERROR(__xludf.DUMMYFUNCTION("""COMPUTED_VALUE"""),"141843;INF789FC1V33;-;UTI FTIF Series XXVII-IX (1160 Days) - Direct Plan - Growth Option;11.3089;24-Nov-2020")</f>
        <v>141843;INF789FC1V33;-;UTI FTIF Series XXVII-IX (1160 Days) - Direct Plan - Growth Option;11.3089;24-Nov-2020</v>
      </c>
      <c r="B15566" s="1"/>
    </row>
    <row r="15567">
      <c r="A15567" s="1" t="str">
        <f>IFERROR(__xludf.DUMMYFUNCTION("""COMPUTED_VALUE"""),"141845;INF789FC1V09;-;UTI FTIF Series XXVII-IX (1160 Days) - Direct Plan - Quarterly Div Option;9.8003;24-Nov-2020")</f>
        <v>141845;INF789FC1V09;-;UTI FTIF Series XXVII-IX (1160 Days) - Direct Plan - Quarterly Div Option;9.8003;24-Nov-2020</v>
      </c>
      <c r="B15567" s="1"/>
    </row>
    <row r="15568">
      <c r="A15568" s="1" t="str">
        <f>IFERROR(__xludf.DUMMYFUNCTION("""COMPUTED_VALUE"""),"141850;INF789FC1U83;-;UTI FTIF Series XXVII-IX (1160 Days) - Regular Plan - Growth Option;11.1288;24-Nov-2020")</f>
        <v>141850;INF789FC1U83;-;UTI FTIF Series XXVII-IX (1160 Days) - Regular Plan - Growth Option;11.1288;24-Nov-2020</v>
      </c>
      <c r="B15568" s="1"/>
    </row>
    <row r="15569">
      <c r="A15569" s="1" t="str">
        <f>IFERROR(__xludf.DUMMYFUNCTION("""COMPUTED_VALUE"""),"141822;INF789FC1U18;-;UTI FTIF Series XXVII-VIII (1117 Days) - Direct Plan - Annual Div Option;10;13-Oct-2020")</f>
        <v>141822;INF789FC1U18;-;UTI FTIF Series XXVII-VIII (1117 Days) - Direct Plan - Annual Div Option;10;13-Oct-2020</v>
      </c>
      <c r="B15569" s="1"/>
    </row>
    <row r="15570">
      <c r="A15570" s="1" t="str">
        <f>IFERROR(__xludf.DUMMYFUNCTION("""COMPUTED_VALUE"""),"141821;INF789FC1U34;-;UTI FTIF Series XXVII-VIII (1117 Days) - Direct Plan - Growth Option;12.2882;13-Oct-2020")</f>
        <v>141821;INF789FC1U34;-;UTI FTIF Series XXVII-VIII (1117 Days) - Direct Plan - Growth Option;12.2882;13-Oct-2020</v>
      </c>
      <c r="B15570" s="1"/>
    </row>
    <row r="15571">
      <c r="A15571" s="1" t="str">
        <f>IFERROR(__xludf.DUMMYFUNCTION("""COMPUTED_VALUE"""),"141816;INF789FC1U26;-;UTI FTIF Series XXVII-VIII (1117 Days) - Direct Plan - Maturity Div Option;10;13-Oct-2020")</f>
        <v>141816;INF789FC1U26;-;UTI FTIF Series XXVII-VIII (1117 Days) - Direct Plan - Maturity Div Option;10;13-Oct-2020</v>
      </c>
      <c r="B15571" s="1"/>
    </row>
    <row r="15572">
      <c r="A15572" s="1" t="str">
        <f>IFERROR(__xludf.DUMMYFUNCTION("""COMPUTED_VALUE"""),"141815;INF789FC1U00;-;UTI FTIF Series XXVII-VIII (1117 Days) - Direct Plan - Quarterly Div Option;10;13-Oct-2020")</f>
        <v>141815;INF789FC1U00;-;UTI FTIF Series XXVII-VIII (1117 Days) - Direct Plan - Quarterly Div Option;10;13-Oct-2020</v>
      </c>
      <c r="B15572" s="1"/>
    </row>
    <row r="15573">
      <c r="A15573" s="1" t="str">
        <f>IFERROR(__xludf.DUMMYFUNCTION("""COMPUTED_VALUE"""),"141824;INF789FC1T60;-;UTI FTIF Series XXVII-VIII (1117 Days) - Regular Plan - Annual Div Option;10;13-Oct-2020")</f>
        <v>141824;INF789FC1T60;-;UTI FTIF Series XXVII-VIII (1117 Days) - Regular Plan - Annual Div Option;10;13-Oct-2020</v>
      </c>
      <c r="B15573" s="1"/>
    </row>
    <row r="15574">
      <c r="A15574" s="1" t="str">
        <f>IFERROR(__xludf.DUMMYFUNCTION("""COMPUTED_VALUE"""),"141820;INF789FC1T94;-;UTI FTIF Series XXVII-VIII (1117 Days) - Regular Plan - Flexi Div Option;10;13-Oct-2020")</f>
        <v>141820;INF789FC1T94;-;UTI FTIF Series XXVII-VIII (1117 Days) - Regular Plan - Flexi Div Option;10;13-Oct-2020</v>
      </c>
      <c r="B15574" s="1"/>
    </row>
    <row r="15575">
      <c r="A15575" s="1" t="str">
        <f>IFERROR(__xludf.DUMMYFUNCTION("""COMPUTED_VALUE"""),"141818;INF789FC1T86;-;UTI FTIF Series XXVII-VIII (1117 Days) - Regular Plan - Growth Option;12.1658;13-Oct-2020")</f>
        <v>141818;INF789FC1T86;-;UTI FTIF Series XXVII-VIII (1117 Days) - Regular Plan - Growth Option;12.1658;13-Oct-2020</v>
      </c>
      <c r="B15575" s="1"/>
    </row>
    <row r="15576">
      <c r="A15576" s="1" t="str">
        <f>IFERROR(__xludf.DUMMYFUNCTION("""COMPUTED_VALUE"""),"141823;INF789FC1T78;-;UTI FTIF Series XXVII-VIII (1117 Days) - Regular Plan - Maturity Div Option;10;13-Oct-2020")</f>
        <v>141823;INF789FC1T78;-;UTI FTIF Series XXVII-VIII (1117 Days) - Regular Plan - Maturity Div Option;10;13-Oct-2020</v>
      </c>
      <c r="B15576" s="1"/>
    </row>
    <row r="15577">
      <c r="A15577" s="1" t="str">
        <f>IFERROR(__xludf.DUMMYFUNCTION("""COMPUTED_VALUE"""),"141819;INF789FC1T52;-;UTI FTIF Series XXVII-VIII (1117 Days) - Regular Plan - Quarterly Div Option;10;13-Oct-2020")</f>
        <v>141819;INF789FC1T52;-;UTI FTIF Series XXVII-VIII (1117 Days) - Regular Plan - Quarterly Div Option;10;13-Oct-2020</v>
      </c>
      <c r="B15577" s="1"/>
    </row>
    <row r="15578">
      <c r="A15578" s="1" t="str">
        <f>IFERROR(__xludf.DUMMYFUNCTION("""COMPUTED_VALUE"""),"141906;INF789FC1W57;-;UTI FTIF Series XXVII-X (1118 Days) - Direct Plan - Annual Div Option;10;24-Nov-2020")</f>
        <v>141906;INF789FC1W57;-;UTI FTIF Series XXVII-X (1118 Days) - Direct Plan - Annual Div Option;10;24-Nov-2020</v>
      </c>
      <c r="B15578" s="1"/>
    </row>
    <row r="15579">
      <c r="A15579" s="1" t="str">
        <f>IFERROR(__xludf.DUMMYFUNCTION("""COMPUTED_VALUE"""),"141899;INF789FC1W73;-;UTI FTIF Series XXVII-X (1118 Days) - Direct Plan - Growth Option;12.1383;24-Nov-2020")</f>
        <v>141899;INF789FC1W73;-;UTI FTIF Series XXVII-X (1118 Days) - Direct Plan - Growth Option;12.1383;24-Nov-2020</v>
      </c>
      <c r="B15579" s="1"/>
    </row>
    <row r="15580">
      <c r="A15580" s="1" t="str">
        <f>IFERROR(__xludf.DUMMYFUNCTION("""COMPUTED_VALUE"""),"141900;INF789FC1W65;-;UTI FTIF Series XXVII-X (1118 Days) - Direct Plan - Maturity Div Option;10;24-Nov-2020")</f>
        <v>141900;INF789FC1W65;-;UTI FTIF Series XXVII-X (1118 Days) - Direct Plan - Maturity Div Option;10;24-Nov-2020</v>
      </c>
      <c r="B15580" s="1"/>
    </row>
    <row r="15581">
      <c r="A15581" s="1" t="str">
        <f>IFERROR(__xludf.DUMMYFUNCTION("""COMPUTED_VALUE"""),"141904;INF789FC1W40;-;UTI FTIF Series XXVII-X (1118 Days) - Direct Plan - Quarterly Div Option;10;24-Nov-2020")</f>
        <v>141904;INF789FC1W40;-;UTI FTIF Series XXVII-X (1118 Days) - Direct Plan - Quarterly Div Option;10;24-Nov-2020</v>
      </c>
      <c r="B15581" s="1"/>
    </row>
    <row r="15582">
      <c r="A15582" s="1" t="str">
        <f>IFERROR(__xludf.DUMMYFUNCTION("""COMPUTED_VALUE"""),"141901;INF789FC1W08;-;UTI FTIF Series XXVII-X (1118 Days) - Regular Plan - Annual Div Option;10;24-Nov-2020")</f>
        <v>141901;INF789FC1W08;-;UTI FTIF Series XXVII-X (1118 Days) - Regular Plan - Annual Div Option;10;24-Nov-2020</v>
      </c>
      <c r="B15582" s="1"/>
    </row>
    <row r="15583">
      <c r="A15583" s="1" t="str">
        <f>IFERROR(__xludf.DUMMYFUNCTION("""COMPUTED_VALUE"""),"141903;INF789FC1W32;-;UTI FTIF Series XXVII-X (1118 Days) - Regular Plan - Flexi Div Option;10;24-Nov-2020")</f>
        <v>141903;INF789FC1W32;-;UTI FTIF Series XXVII-X (1118 Days) - Regular Plan - Flexi Div Option;10;24-Nov-2020</v>
      </c>
      <c r="B15583" s="1"/>
    </row>
    <row r="15584">
      <c r="A15584" s="1" t="str">
        <f>IFERROR(__xludf.DUMMYFUNCTION("""COMPUTED_VALUE"""),"141907;INF789FC1W24;-;UTI FTIF Series XXVII-X (1118 Days) - Regular Plan - Growth Option;12.0173;24-Nov-2020")</f>
        <v>141907;INF789FC1W24;-;UTI FTIF Series XXVII-X (1118 Days) - Regular Plan - Growth Option;12.0173;24-Nov-2020</v>
      </c>
      <c r="B15584" s="1"/>
    </row>
    <row r="15585">
      <c r="A15585" s="1" t="str">
        <f>IFERROR(__xludf.DUMMYFUNCTION("""COMPUTED_VALUE"""),"141902;INF789FC1W16;-;UTI FTIF Series XXVII-X (1118 Days) - Regular Plan - Maturity Div Option;10;24-Nov-2020")</f>
        <v>141902;INF789FC1W16;-;UTI FTIF Series XXVII-X (1118 Days) - Regular Plan - Maturity Div Option;10;24-Nov-2020</v>
      </c>
      <c r="B15585" s="1"/>
    </row>
    <row r="15586">
      <c r="A15586" s="1" t="str">
        <f>IFERROR(__xludf.DUMMYFUNCTION("""COMPUTED_VALUE"""),"141905;INF789FC1V90;-;UTI FTIF Series XXVII-X (1118 Days) - Regular Plan - Quarterly Div Option;10;24-Nov-2020")</f>
        <v>141905;INF789FC1V90;-;UTI FTIF Series XXVII-X (1118 Days) - Regular Plan - Quarterly Div Option;10;24-Nov-2020</v>
      </c>
      <c r="B15586" s="1"/>
    </row>
    <row r="15587">
      <c r="A15587" s="1" t="str">
        <f>IFERROR(__xludf.DUMMYFUNCTION("""COMPUTED_VALUE"""),"141945;INF789FC1X98;-;UTI FTIF SERIES XXVIII - PLAN I (1230 DAYS) - Direct Plan - Annual IDCW;9.7829;06-Apr-2021")</f>
        <v>141945;INF789FC1X98;-;UTI FTIF SERIES XXVIII - PLAN I (1230 DAYS) - Direct Plan - Annual IDCW;9.7829;06-Apr-2021</v>
      </c>
      <c r="B15587" s="1"/>
    </row>
    <row r="15588">
      <c r="A15588" s="1" t="str">
        <f>IFERROR(__xludf.DUMMYFUNCTION("""COMPUTED_VALUE"""),"141940;INF789FC1X80;-;UTI FTIF SERIES XXVIII - PLAN I (1230 DAYS) - Direct Plan - Quarterly IDCW;9.7828;06-Apr-2021")</f>
        <v>141940;INF789FC1X80;-;UTI FTIF SERIES XXVIII - PLAN I (1230 DAYS) - Direct Plan - Quarterly IDCW;9.7828;06-Apr-2021</v>
      </c>
      <c r="B15588" s="1"/>
    </row>
    <row r="15589">
      <c r="A15589" s="1" t="str">
        <f>IFERROR(__xludf.DUMMYFUNCTION("""COMPUTED_VALUE"""),"141943;INF789FC1X49;-;UTI FTIF SERIES XXVIII - PLAN I (1230 DAYS) - Regular Plan - Annual IDCW;9.7817;06-Apr-2021")</f>
        <v>141943;INF789FC1X49;-;UTI FTIF SERIES XXVIII - PLAN I (1230 DAYS) - Regular Plan - Annual IDCW;9.7817;06-Apr-2021</v>
      </c>
      <c r="B15589" s="1"/>
    </row>
    <row r="15590">
      <c r="A15590" s="1" t="str">
        <f>IFERROR(__xludf.DUMMYFUNCTION("""COMPUTED_VALUE"""),"141944;INF789FC1X72;-;UTI FTIF SERIES XXVIII - PLAN I (1230 DAYS) - Regular Plan - Flexi IDCW;10;06-Apr-2021")</f>
        <v>141944;INF789FC1X72;-;UTI FTIF SERIES XXVIII - PLAN I (1230 DAYS) - Regular Plan - Flexi IDCW;10;06-Apr-2021</v>
      </c>
      <c r="B15590" s="1"/>
    </row>
    <row r="15591">
      <c r="A15591" s="1" t="str">
        <f>IFERROR(__xludf.DUMMYFUNCTION("""COMPUTED_VALUE"""),"141948;INF789FC1X56;-;UTI FTIF SERIES XXVIII - PLAN I (1230 DAYS) - Regular Plan - Maturity IDCW;10;06-Apr-2021")</f>
        <v>141948;INF789FC1X56;-;UTI FTIF SERIES XXVIII - PLAN I (1230 DAYS) - Regular Plan - Maturity IDCW;10;06-Apr-2021</v>
      </c>
      <c r="B15591" s="1"/>
    </row>
    <row r="15592">
      <c r="A15592" s="1" t="str">
        <f>IFERROR(__xludf.DUMMYFUNCTION("""COMPUTED_VALUE"""),"141942;INF789FC1X31;-;UTI FTIF SERIES XXVIII - PLAN I (1230 DAYS) - Regular Plan - Quarterly IDCW;9.7816;06-Apr-2021")</f>
        <v>141942;INF789FC1X31;-;UTI FTIF SERIES XXVIII - PLAN I (1230 DAYS) - Regular Plan - Quarterly IDCW;9.7816;06-Apr-2021</v>
      </c>
      <c r="B15592" s="1"/>
    </row>
    <row r="15593">
      <c r="A15593" s="1" t="str">
        <f>IFERROR(__xludf.DUMMYFUNCTION("""COMPUTED_VALUE"""),"141939;INF789FC1Y14;-;UTI FTIF Series XXVIII-I (1230 Days) - Direct Plan - Growth Option;11.5113;06-Apr-2021")</f>
        <v>141939;INF789FC1Y14;-;UTI FTIF Series XXVIII-I (1230 Days) - Direct Plan - Growth Option;11.5113;06-Apr-2021</v>
      </c>
      <c r="B15593" s="1"/>
    </row>
    <row r="15594">
      <c r="A15594" s="1" t="str">
        <f>IFERROR(__xludf.DUMMYFUNCTION("""COMPUTED_VALUE"""),"141947;INF789FC1X64;-;UTI FTIF Series XXVIII-I (1230 Days) - Regular Plan - Growth Option;11.3968;06-Apr-2021")</f>
        <v>141947;INF789FC1X64;-;UTI FTIF Series XXVIII-I (1230 Days) - Regular Plan - Growth Option;11.3968;06-Apr-2021</v>
      </c>
      <c r="B15594" s="1"/>
    </row>
    <row r="15595">
      <c r="A15595" s="1" t="str">
        <f>IFERROR(__xludf.DUMMYFUNCTION("""COMPUTED_VALUE"""),"142026;INF789FC1Y48;-;UTI FTIF SERIES XXVIII - PLAN II (1210 DAYS) - Direct Plan - Annual IDCW;9.794;06-Apr-2021")</f>
        <v>142026;INF789FC1Y48;-;UTI FTIF SERIES XXVIII - PLAN II (1210 DAYS) - Direct Plan - Annual IDCW;9.794;06-Apr-2021</v>
      </c>
      <c r="B15595" s="1"/>
    </row>
    <row r="15596">
      <c r="A15596" s="1" t="str">
        <f>IFERROR(__xludf.DUMMYFUNCTION("""COMPUTED_VALUE"""),"142029;INF789FC1Y71;-;UTI FTIF SERIES XXVIII - PLAN II (1210 DAYS) - Direct Plan - Flexi IDCW;10;06-Apr-2021")</f>
        <v>142029;INF789FC1Y71;-;UTI FTIF SERIES XXVIII - PLAN II (1210 DAYS) - Direct Plan - Flexi IDCW;10;06-Apr-2021</v>
      </c>
      <c r="B15596" s="1"/>
    </row>
    <row r="15597">
      <c r="A15597" s="1" t="str">
        <f>IFERROR(__xludf.DUMMYFUNCTION("""COMPUTED_VALUE"""),"142028;INF789FC1Y55;-;UTI FTIF SERIES XXVIII - PLAN II (1210 DAYS) - Direct Plan - Maturity IDCW;10;06-Apr-2021")</f>
        <v>142028;INF789FC1Y55;-;UTI FTIF SERIES XXVIII - PLAN II (1210 DAYS) - Direct Plan - Maturity IDCW;10;06-Apr-2021</v>
      </c>
      <c r="B15597" s="1"/>
    </row>
    <row r="15598">
      <c r="A15598" s="1" t="str">
        <f>IFERROR(__xludf.DUMMYFUNCTION("""COMPUTED_VALUE"""),"142027;INF789FC1Y30;-;UTI FTIF SERIES XXVIII - PLAN II (1210 DAYS) - Direct Plan - Quarterly IDCW;9.7939;06-Apr-2021")</f>
        <v>142027;INF789FC1Y30;-;UTI FTIF SERIES XXVIII - PLAN II (1210 DAYS) - Direct Plan - Quarterly IDCW;9.7939;06-Apr-2021</v>
      </c>
      <c r="B15598" s="1"/>
    </row>
    <row r="15599">
      <c r="A15599" s="1" t="str">
        <f>IFERROR(__xludf.DUMMYFUNCTION("""COMPUTED_VALUE"""),"142033;INF789FC1Y97;-;UTI FTIF SERIES XXVIII - PLAN II (1210 DAYS) - Regular Plan - Annual IDCW;9.7927;06-Apr-2021")</f>
        <v>142033;INF789FC1Y97;-;UTI FTIF SERIES XXVIII - PLAN II (1210 DAYS) - Regular Plan - Annual IDCW;9.7927;06-Apr-2021</v>
      </c>
      <c r="B15599" s="1"/>
    </row>
    <row r="15600">
      <c r="A15600" s="1" t="str">
        <f>IFERROR(__xludf.DUMMYFUNCTION("""COMPUTED_VALUE"""),"142032;INF789FC1Z21;-;UTI FTIF SERIES XXVIII - PLAN II (1210 DAYS) - Regular Plan - Flexi IDCW;10;06-Apr-2021")</f>
        <v>142032;INF789FC1Z21;-;UTI FTIF SERIES XXVIII - PLAN II (1210 DAYS) - Regular Plan - Flexi IDCW;10;06-Apr-2021</v>
      </c>
      <c r="B15600" s="1"/>
    </row>
    <row r="15601">
      <c r="A15601" s="1" t="str">
        <f>IFERROR(__xludf.DUMMYFUNCTION("""COMPUTED_VALUE"""),"142034;INF789FC1Z05;-;UTI FTIF SERIES XXVIII - PLAN II (1210 DAYS) - Regular Plan - Maturity IDCW;10;06-Apr-2021")</f>
        <v>142034;INF789FC1Z05;-;UTI FTIF SERIES XXVIII - PLAN II (1210 DAYS) - Regular Plan - Maturity IDCW;10;06-Apr-2021</v>
      </c>
      <c r="B15601" s="1"/>
    </row>
    <row r="15602">
      <c r="A15602" s="1" t="str">
        <f>IFERROR(__xludf.DUMMYFUNCTION("""COMPUTED_VALUE"""),"142031;INF789FC1Y89;-;UTI FTIF SERIES XXVIII - PLAN II (1210 DAYS) - Regular Plan - Quarterly IDCW;9.7927;06-Apr-2021")</f>
        <v>142031;INF789FC1Y89;-;UTI FTIF SERIES XXVIII - PLAN II (1210 DAYS) - Regular Plan - Quarterly IDCW;9.7927;06-Apr-2021</v>
      </c>
      <c r="B15602" s="1"/>
    </row>
    <row r="15603">
      <c r="A15603" s="1" t="str">
        <f>IFERROR(__xludf.DUMMYFUNCTION("""COMPUTED_VALUE"""),"142025;INF789FC1Y63;-;UTI FTIF Series XXVIII-II (1210 Days) - Direct Plan - Growth Option;11.507;06-Apr-2021")</f>
        <v>142025;INF789FC1Y63;-;UTI FTIF Series XXVIII-II (1210 Days) - Direct Plan - Growth Option;11.507;06-Apr-2021</v>
      </c>
      <c r="B15603" s="1"/>
    </row>
    <row r="15604">
      <c r="A15604" s="1" t="str">
        <f>IFERROR(__xludf.DUMMYFUNCTION("""COMPUTED_VALUE"""),"142030;INF789FC1Z13;-;UTI FTIF Series XXVIII-II (1210 Days) - Regular Plan - Growth Option;11.3923;06-Apr-2021")</f>
        <v>142030;INF789FC1Z13;-;UTI FTIF Series XXVIII-II (1210 Days) - Regular Plan - Growth Option;11.3923;06-Apr-2021</v>
      </c>
      <c r="B15604" s="1"/>
    </row>
    <row r="15605">
      <c r="A15605" s="1" t="str">
        <f>IFERROR(__xludf.DUMMYFUNCTION("""COMPUTED_VALUE"""),"142094;INF789FC19A6;-;UTI FTIF SERIES XXVIII - PLAN III (1203 DAYS) - Direct Plan - Annual IDCW;9.8801;15-Apr-2021")</f>
        <v>142094;INF789FC19A6;-;UTI FTIF SERIES XXVIII - PLAN III (1203 DAYS) - Direct Plan - Annual IDCW;9.8801;15-Apr-2021</v>
      </c>
      <c r="B15605" s="1"/>
    </row>
    <row r="15606">
      <c r="A15606" s="1" t="str">
        <f>IFERROR(__xludf.DUMMYFUNCTION("""COMPUTED_VALUE"""),"142096;INF789FC12B9;-;UTI FTIF SERIES XXVIII - PLAN III (1203 DAYS) - Direct Plan - Flexi IDCW;10;15-Apr-2021")</f>
        <v>142096;INF789FC12B9;-;UTI FTIF SERIES XXVIII - PLAN III (1203 DAYS) - Direct Plan - Flexi IDCW;10;15-Apr-2021</v>
      </c>
      <c r="B15606" s="1"/>
    </row>
    <row r="15607">
      <c r="A15607" s="1" t="str">
        <f>IFERROR(__xludf.DUMMYFUNCTION("""COMPUTED_VALUE"""),"142099;INF789FC10B3;-;UTI FTIF SERIES XXVIII - PLAN III (1203 DAYS) - Direct Plan - Maturity IDCW;10.0001;15-Apr-2021")</f>
        <v>142099;INF789FC10B3;-;UTI FTIF SERIES XXVIII - PLAN III (1203 DAYS) - Direct Plan - Maturity IDCW;10.0001;15-Apr-2021</v>
      </c>
      <c r="B15607" s="1"/>
    </row>
    <row r="15608">
      <c r="A15608" s="1" t="str">
        <f>IFERROR(__xludf.DUMMYFUNCTION("""COMPUTED_VALUE"""),"142095;INF789FC18A8;-;UTI FTIF SERIES XXVIII - PLAN III (1203 DAYS) - Direct Plan - Quarterly IDCW;9.8801;15-Apr-2021")</f>
        <v>142095;INF789FC18A8;-;UTI FTIF SERIES XXVIII - PLAN III (1203 DAYS) - Direct Plan - Quarterly IDCW;9.8801;15-Apr-2021</v>
      </c>
      <c r="B15608" s="1"/>
    </row>
    <row r="15609">
      <c r="A15609" s="1" t="str">
        <f>IFERROR(__xludf.DUMMYFUNCTION("""COMPUTED_VALUE"""),"142098;INF789FC14A7;-;UTI FTIF SERIES XXVIII - PLAN III (1203 DAYS) - Regular Plan - Annual IDCW;9.8781;15-Apr-2021")</f>
        <v>142098;INF789FC14A7;-;UTI FTIF SERIES XXVIII - PLAN III (1203 DAYS) - Regular Plan - Annual IDCW;9.8781;15-Apr-2021</v>
      </c>
      <c r="B15609" s="1"/>
    </row>
    <row r="15610">
      <c r="A15610" s="1" t="str">
        <f>IFERROR(__xludf.DUMMYFUNCTION("""COMPUTED_VALUE"""),"142102;INF789FC17A0;-;UTI FTIF SERIES XXVIII - PLAN III (1203 DAYS) - Regular Plan - Flexi IDCW;10.0001;15-Apr-2021")</f>
        <v>142102;INF789FC17A0;-;UTI FTIF SERIES XXVIII - PLAN III (1203 DAYS) - Regular Plan - Flexi IDCW;10.0001;15-Apr-2021</v>
      </c>
      <c r="B15610" s="1"/>
    </row>
    <row r="15611">
      <c r="A15611" s="1" t="str">
        <f>IFERROR(__xludf.DUMMYFUNCTION("""COMPUTED_VALUE"""),"142101;INF789FC15A4;-;UTI FTIF SERIES XXVIII - PLAN III (1203 DAYS) - Regular Plan - Maturity IDCW;10.0001;15-Apr-2021")</f>
        <v>142101;INF789FC15A4;-;UTI FTIF SERIES XXVIII - PLAN III (1203 DAYS) - Regular Plan - Maturity IDCW;10.0001;15-Apr-2021</v>
      </c>
      <c r="B15611" s="1"/>
    </row>
    <row r="15612">
      <c r="A15612" s="1" t="str">
        <f>IFERROR(__xludf.DUMMYFUNCTION("""COMPUTED_VALUE"""),"142100;INF789FC13A9;-;UTI FTIF SERIES XXVIII - PLAN III (1203 DAYS) - Regular Plan - Quarterly IDCW;9.8781;15-Apr-2021")</f>
        <v>142100;INF789FC13A9;-;UTI FTIF SERIES XXVIII - PLAN III (1203 DAYS) - Regular Plan - Quarterly IDCW;9.8781;15-Apr-2021</v>
      </c>
      <c r="B15612" s="1"/>
    </row>
    <row r="15613">
      <c r="A15613" s="1" t="str">
        <f>IFERROR(__xludf.DUMMYFUNCTION("""COMPUTED_VALUE"""),"142093;INF789FC11B1;-;UTI FTIF Series XXVIII-III (1203 Days) - Direct Plan - Growth Option;11.902;15-Apr-2021")</f>
        <v>142093;INF789FC11B1;-;UTI FTIF Series XXVIII-III (1203 Days) - Direct Plan - Growth Option;11.902;15-Apr-2021</v>
      </c>
      <c r="B15613" s="1"/>
    </row>
    <row r="15614">
      <c r="A15614" s="1" t="str">
        <f>IFERROR(__xludf.DUMMYFUNCTION("""COMPUTED_VALUE"""),"142097;INF789FC16A2;-;UTI FTIF Series XXVIII-III (1203 Days) - Regular Plan - Growth Option;11.7835;15-Apr-2021")</f>
        <v>142097;INF789FC16A2;-;UTI FTIF Series XXVIII-III (1203 Days) - Regular Plan - Growth Option;11.7835;15-Apr-2021</v>
      </c>
      <c r="B15614" s="1"/>
    </row>
    <row r="15615">
      <c r="A15615" s="1" t="str">
        <f>IFERROR(__xludf.DUMMYFUNCTION("""COMPUTED_VALUE"""),"142201;INF789FC13C5;-;UTI FTIF Series XXVIII-IV (1204 Days) Direct Plan - Growth Option;12.6427;15-Apr-2021")</f>
        <v>142201;INF789FC13C5;-;UTI FTIF Series XXVIII-IV (1204 Days) Direct Plan - Growth Option;12.6427;15-Apr-2021</v>
      </c>
      <c r="B15615" s="1"/>
    </row>
    <row r="15616">
      <c r="A15616" s="1" t="str">
        <f>IFERROR(__xludf.DUMMYFUNCTION("""COMPUTED_VALUE"""),"142208;INF789FC18B6;-;UTI FTIF Series XXVIII-IV (1204 Days) Regular Plan - Growth Option;12.6237;15-Apr-2021")</f>
        <v>142208;INF789FC18B6;-;UTI FTIF Series XXVIII-IV (1204 Days) Regular Plan - Growth Option;12.6237;15-Apr-2021</v>
      </c>
      <c r="B15616" s="1"/>
    </row>
    <row r="15617">
      <c r="A15617" s="1" t="str">
        <f>IFERROR(__xludf.DUMMYFUNCTION("""COMPUTED_VALUE"""),"142526;INF789FC17H5;-;UTI FTIF SERIES XXVIII - PLAN IX (1168 DAYS) - Regular Plan - Quarterly IDCW;10;04-May-2021")</f>
        <v>142526;INF789FC17H5;-;UTI FTIF SERIES XXVIII - PLAN IX (1168 DAYS) - Regular Plan - Quarterly IDCW;10;04-May-2021</v>
      </c>
      <c r="B15617" s="1"/>
    </row>
    <row r="15618">
      <c r="A15618" s="1" t="str">
        <f>IFERROR(__xludf.DUMMYFUNCTION("""COMPUTED_VALUE"""),"142525;INF789FC15I7;-;UTI FTIF Series XXVIII-IX (1168 Days) - Direct Plan - Growth Option;12.6702;04-May-2021")</f>
        <v>142525;INF789FC15I7;-;UTI FTIF Series XXVIII-IX (1168 Days) - Direct Plan - Growth Option;12.6702;04-May-2021</v>
      </c>
      <c r="B15618" s="1"/>
    </row>
    <row r="15619">
      <c r="A15619" s="1" t="str">
        <f>IFERROR(__xludf.DUMMYFUNCTION("""COMPUTED_VALUE"""),"142519;INF789FC10I8;-;UTI FTIF Series XXVIII-IX (1168 Days) - Regular Plan - Growth Option;12.6511;04-May-2021")</f>
        <v>142519;INF789FC10I8;-;UTI FTIF Series XXVIII-IX (1168 Days) - Regular Plan - Growth Option;12.6511;04-May-2021</v>
      </c>
      <c r="B15619" s="1"/>
    </row>
    <row r="15620">
      <c r="A15620" s="1" t="str">
        <f>IFERROR(__xludf.DUMMYFUNCTION("""COMPUTED_VALUE"""),"142227;INF789FC11D7;-;UTI FTIF SERIES XXVIII - PLAN V (1190 DAYS) - Direct Plan - Annual IDCW;9.8238;15-Apr-2021")</f>
        <v>142227;INF789FC11D7;-;UTI FTIF SERIES XXVIII - PLAN V (1190 DAYS) - Direct Plan - Annual IDCW;9.8238;15-Apr-2021</v>
      </c>
      <c r="B15620" s="1"/>
    </row>
    <row r="15621">
      <c r="A15621" s="1" t="str">
        <f>IFERROR(__xludf.DUMMYFUNCTION("""COMPUTED_VALUE"""),"142219;INF789FC12D5;-;UTI FTIF SERIES XXVIII - PLAN V (1190 DAYS) - Direct Plan - Maturity IDCW;10;15-Apr-2021")</f>
        <v>142219;INF789FC12D5;-;UTI FTIF SERIES XXVIII - PLAN V (1190 DAYS) - Direct Plan - Maturity IDCW;10;15-Apr-2021</v>
      </c>
      <c r="B15621" s="1"/>
    </row>
    <row r="15622">
      <c r="A15622" s="1" t="str">
        <f>IFERROR(__xludf.DUMMYFUNCTION("""COMPUTED_VALUE"""),"142220;INF789FC10D9;-;UTI FTIF SERIES XXVIII - PLAN V (1190 DAYS) - Direct Plan - Quarterly IDCW;9.8237;15-Apr-2021")</f>
        <v>142220;INF789FC10D9;-;UTI FTIF SERIES XXVIII - PLAN V (1190 DAYS) - Direct Plan - Quarterly IDCW;9.8237;15-Apr-2021</v>
      </c>
      <c r="B15622" s="1"/>
    </row>
    <row r="15623">
      <c r="A15623" s="1" t="str">
        <f>IFERROR(__xludf.DUMMYFUNCTION("""COMPUTED_VALUE"""),"142226;INF789FC16C8;-;UTI FTIF SERIES XXVIII - PLAN V (1190 DAYS) - Regular Plan - Annual IDCW;9.8217;15-Apr-2021")</f>
        <v>142226;INF789FC16C8;-;UTI FTIF SERIES XXVIII - PLAN V (1190 DAYS) - Regular Plan - Annual IDCW;9.8217;15-Apr-2021</v>
      </c>
      <c r="B15623" s="1"/>
    </row>
    <row r="15624">
      <c r="A15624" s="1" t="str">
        <f>IFERROR(__xludf.DUMMYFUNCTION("""COMPUTED_VALUE"""),"142223;INF789FC17C6;-;UTI FTIF SERIES XXVIII - PLAN V (1190 DAYS) - Regular Plan - Maturity IDCW;10.0001;15-Apr-2021")</f>
        <v>142223;INF789FC17C6;-;UTI FTIF SERIES XXVIII - PLAN V (1190 DAYS) - Regular Plan - Maturity IDCW;10.0001;15-Apr-2021</v>
      </c>
      <c r="B15624" s="1"/>
    </row>
    <row r="15625">
      <c r="A15625" s="1" t="str">
        <f>IFERROR(__xludf.DUMMYFUNCTION("""COMPUTED_VALUE"""),"142224;INF789FC15C0;-;UTI FTIF SERIES XXVIII - PLAN V (1190 DAYS) - Regular Plan - Quarterly IDCW;9.8216;15-Apr-2021")</f>
        <v>142224;INF789FC15C0;-;UTI FTIF SERIES XXVIII - PLAN V (1190 DAYS) - Regular Plan - Quarterly IDCW;9.8216;15-Apr-2021</v>
      </c>
      <c r="B15625" s="1"/>
    </row>
    <row r="15626">
      <c r="A15626" s="1" t="str">
        <f>IFERROR(__xludf.DUMMYFUNCTION("""COMPUTED_VALUE"""),"142225;INF789FC13D3;-;UTI FTIF Series XXVIII-V (1190 Days) Direct Plan - Growth Option;11.5872;15-Apr-2021")</f>
        <v>142225;INF789FC13D3;-;UTI FTIF Series XXVIII-V (1190 Days) Direct Plan - Growth Option;11.5872;15-Apr-2021</v>
      </c>
      <c r="B15626" s="1"/>
    </row>
    <row r="15627">
      <c r="A15627" s="1" t="str">
        <f>IFERROR(__xludf.DUMMYFUNCTION("""COMPUTED_VALUE"""),"142222;INF789FC18C4;-;UTI FTIF Series XXVIII-V (1190 Days) Regular Plan - Growth Option;11.4718;15-Apr-2021")</f>
        <v>142222;INF789FC18C4;-;UTI FTIF Series XXVIII-V (1190 Days) Regular Plan - Growth Option;11.4718;15-Apr-2021</v>
      </c>
      <c r="B15627" s="1"/>
    </row>
    <row r="15628">
      <c r="A15628" s="1" t="str">
        <f>IFERROR(__xludf.DUMMYFUNCTION("""COMPUTED_VALUE"""),"142275;INF789FC18E0;-;UTI FTIF SERIES XXVIII - PLAN VI (1190 DAYS) - Direct Plan - Flexi IDCW;10;15-Apr-2021")</f>
        <v>142275;INF789FC18E0;-;UTI FTIF SERIES XXVIII - PLAN VI (1190 DAYS) - Direct Plan - Flexi IDCW;10;15-Apr-2021</v>
      </c>
      <c r="B15628" s="1"/>
    </row>
    <row r="15629">
      <c r="A15629" s="1" t="str">
        <f>IFERROR(__xludf.DUMMYFUNCTION("""COMPUTED_VALUE"""),"142272;INF789FC14E9;-;UTI FTIF SERIES XXVIII - PLAN VI (1190 DAYS) - Direct Plan - Quarterly IDCW;10;15-Apr-2021")</f>
        <v>142272;INF789FC14E9;-;UTI FTIF SERIES XXVIII - PLAN VI (1190 DAYS) - Direct Plan - Quarterly IDCW;10;15-Apr-2021</v>
      </c>
      <c r="B15629" s="1"/>
    </row>
    <row r="15630">
      <c r="A15630" s="1" t="str">
        <f>IFERROR(__xludf.DUMMYFUNCTION("""COMPUTED_VALUE"""),"142277;INF789FC19D0;-;UTI FTIF SERIES XXVIII - PLAN VI (1190 DAYS) - Regular Plan - Quarterly IDCW;10;15-Apr-2021")</f>
        <v>142277;INF789FC19D0;-;UTI FTIF SERIES XXVIII - PLAN VI (1190 DAYS) - Regular Plan - Quarterly IDCW;10;15-Apr-2021</v>
      </c>
      <c r="B15630" s="1"/>
    </row>
    <row r="15631">
      <c r="A15631" s="1" t="str">
        <f>IFERROR(__xludf.DUMMYFUNCTION("""COMPUTED_VALUE"""),"142268;INF789FC17E2;-;UTI FTIF Series XXVIII-VI (1190 Days) - Direct Plan - Growth Option;12.6276;15-Apr-2021")</f>
        <v>142268;INF789FC17E2;-;UTI FTIF Series XXVIII-VI (1190 Days) - Direct Plan - Growth Option;12.6276;15-Apr-2021</v>
      </c>
      <c r="B15631" s="1"/>
    </row>
    <row r="15632">
      <c r="A15632" s="1" t="str">
        <f>IFERROR(__xludf.DUMMYFUNCTION("""COMPUTED_VALUE"""),"142269;INF789FC12E3;-;UTI FTIF Series XXVIII-VI (1190 Days) - Regular Plan - Growth Option;12.6086;15-Apr-2021")</f>
        <v>142269;INF789FC12E3;-;UTI FTIF Series XXVIII-VI (1190 Days) - Regular Plan - Growth Option;12.6086;15-Apr-2021</v>
      </c>
      <c r="B15632" s="1"/>
    </row>
    <row r="15633">
      <c r="A15633" s="1" t="str">
        <f>IFERROR(__xludf.DUMMYFUNCTION("""COMPUTED_VALUE"""),"142320;INF789FC15F3;-;UTI FTIF SERIES XXVIII - PLAN VII (1169 DAYS) - Direct Plan - Annual IDCW;9.8205;15-Apr-2021")</f>
        <v>142320;INF789FC15F3;-;UTI FTIF SERIES XXVIII - PLAN VII (1169 DAYS) - Direct Plan - Annual IDCW;9.8205;15-Apr-2021</v>
      </c>
      <c r="B15633" s="1"/>
    </row>
    <row r="15634">
      <c r="A15634" s="1" t="str">
        <f>IFERROR(__xludf.DUMMYFUNCTION("""COMPUTED_VALUE"""),"142322;INF789FC18F7;-;UTI FTIF SERIES XXVIII - PLAN VII (1169 DAYS) - Direct Plan - Flexi IDCW;10;15-Apr-2021")</f>
        <v>142322;INF789FC18F7;-;UTI FTIF SERIES XXVIII - PLAN VII (1169 DAYS) - Direct Plan - Flexi IDCW;10;15-Apr-2021</v>
      </c>
      <c r="B15634" s="1"/>
    </row>
    <row r="15635">
      <c r="A15635" s="1" t="str">
        <f>IFERROR(__xludf.DUMMYFUNCTION("""COMPUTED_VALUE"""),"142321;INF789FC16F1;-;UTI FTIF SERIES XXVIII - PLAN VII (1169 DAYS) - Direct Plan - Maturity IDCW;10;15-Apr-2021")</f>
        <v>142321;INF789FC16F1;-;UTI FTIF SERIES XXVIII - PLAN VII (1169 DAYS) - Direct Plan - Maturity IDCW;10;15-Apr-2021</v>
      </c>
      <c r="B15635" s="1"/>
    </row>
    <row r="15636">
      <c r="A15636" s="1" t="str">
        <f>IFERROR(__xludf.DUMMYFUNCTION("""COMPUTED_VALUE"""),"142329;INF789FC14F6;-;UTI FTIF SERIES XXVIII - PLAN VII (1169 DAYS) - Direct Plan - Quarterly IDCW;9.8204;15-Apr-2021")</f>
        <v>142329;INF789FC14F6;-;UTI FTIF SERIES XXVIII - PLAN VII (1169 DAYS) - Direct Plan - Quarterly IDCW;9.8204;15-Apr-2021</v>
      </c>
      <c r="B15636" s="1"/>
    </row>
    <row r="15637">
      <c r="A15637" s="1" t="str">
        <f>IFERROR(__xludf.DUMMYFUNCTION("""COMPUTED_VALUE"""),"142328;INF789FC10F4;-;UTI FTIF SERIES XXVIII - PLAN VII (1169 DAYS) - Regular Plan - Annual IDCW;9.8183;15-Apr-2021")</f>
        <v>142328;INF789FC10F4;-;UTI FTIF SERIES XXVIII - PLAN VII (1169 DAYS) - Regular Plan - Annual IDCW;9.8183;15-Apr-2021</v>
      </c>
      <c r="B15637" s="1"/>
    </row>
    <row r="15638">
      <c r="A15638" s="1" t="str">
        <f>IFERROR(__xludf.DUMMYFUNCTION("""COMPUTED_VALUE"""),"142323;INF789FC13F8;-;UTI FTIF SERIES XXVIII - PLAN VII (1169 DAYS) - Regular Plan - Flexi IDCW;10.0001;15-Apr-2021")</f>
        <v>142323;INF789FC13F8;-;UTI FTIF SERIES XXVIII - PLAN VII (1169 DAYS) - Regular Plan - Flexi IDCW;10.0001;15-Apr-2021</v>
      </c>
      <c r="B15638" s="1"/>
    </row>
    <row r="15639">
      <c r="A15639" s="1" t="str">
        <f>IFERROR(__xludf.DUMMYFUNCTION("""COMPUTED_VALUE"""),"142325;INF789FC11F2;-;UTI FTIF SERIES XXVIII - PLAN VII (1169 DAYS) - Regular Plan - Maturity IDCW;10.0001;15-Apr-2021")</f>
        <v>142325;INF789FC11F2;-;UTI FTIF SERIES XXVIII - PLAN VII (1169 DAYS) - Regular Plan - Maturity IDCW;10.0001;15-Apr-2021</v>
      </c>
      <c r="B15639" s="1"/>
    </row>
    <row r="15640">
      <c r="A15640" s="1" t="str">
        <f>IFERROR(__xludf.DUMMYFUNCTION("""COMPUTED_VALUE"""),"142324;INF789FC19E8;-;UTI FTIF SERIES XXVIII - PLAN VII (1169 DAYS) - Regular Plan - Quarterly IDCW;9.8181;15-Apr-2021")</f>
        <v>142324;INF789FC19E8;-;UTI FTIF SERIES XXVIII - PLAN VII (1169 DAYS) - Regular Plan - Quarterly IDCW;9.8181;15-Apr-2021</v>
      </c>
      <c r="B15640" s="1"/>
    </row>
    <row r="15641">
      <c r="A15641" s="1" t="str">
        <f>IFERROR(__xludf.DUMMYFUNCTION("""COMPUTED_VALUE"""),"142326;INF789FC17F9;-;UTI FTIF Series XXVIII-VII (1169 Days) - Direct Plan - Growth Option;11.5425;15-Apr-2021")</f>
        <v>142326;INF789FC17F9;-;UTI FTIF Series XXVIII-VII (1169 Days) - Direct Plan - Growth Option;11.5425;15-Apr-2021</v>
      </c>
      <c r="B15641" s="1"/>
    </row>
    <row r="15642">
      <c r="A15642" s="1" t="str">
        <f>IFERROR(__xludf.DUMMYFUNCTION("""COMPUTED_VALUE"""),"142327;INF789FC12F0;-;UTI FTIF Series XXVIII-VII (1169 Days) - Regular Plan - Growth Option;11.4274;15-Apr-2021")</f>
        <v>142327;INF789FC12F0;-;UTI FTIF Series XXVIII-VII (1169 Days) - Regular Plan - Growth Option;11.4274;15-Apr-2021</v>
      </c>
      <c r="B15642" s="1"/>
    </row>
    <row r="15643">
      <c r="A15643" s="1" t="str">
        <f>IFERROR(__xludf.DUMMYFUNCTION("""COMPUTED_VALUE"""),"142362;INF789FC18G5;-;UTI FTIF SERIES XXVIII - PLAN VIII (1171 DAYS) - Direct Plan - Quarterly IDCW;10;15-Apr-2021")</f>
        <v>142362;INF789FC18G5;-;UTI FTIF SERIES XXVIII - PLAN VIII (1171 DAYS) - Direct Plan - Quarterly IDCW;10;15-Apr-2021</v>
      </c>
      <c r="B15643" s="1"/>
    </row>
    <row r="15644">
      <c r="A15644" s="1" t="str">
        <f>IFERROR(__xludf.DUMMYFUNCTION("""COMPUTED_VALUE"""),"142367;INF789FC15G1;-;UTI FTIF SERIES XXVIII - PLAN VIII (1171 DAYS) - Regular Plan - Maturity IDCW;10;15-Apr-2021")</f>
        <v>142367;INF789FC15G1;-;UTI FTIF SERIES XXVIII - PLAN VIII (1171 DAYS) - Regular Plan - Maturity IDCW;10;15-Apr-2021</v>
      </c>
      <c r="B15644" s="1"/>
    </row>
    <row r="15645">
      <c r="A15645" s="1" t="str">
        <f>IFERROR(__xludf.DUMMYFUNCTION("""COMPUTED_VALUE"""),"142366;INF789FC13G6;-;UTI FTIF SERIES XXVIII - PLAN VIII (1171 DAYS) - Regular Plan - Quarterly IDCW;10;15-Apr-2021")</f>
        <v>142366;INF789FC13G6;-;UTI FTIF SERIES XXVIII - PLAN VIII (1171 DAYS) - Regular Plan - Quarterly IDCW;10;15-Apr-2021</v>
      </c>
      <c r="B15645" s="1"/>
    </row>
    <row r="15646">
      <c r="A15646" s="1" t="str">
        <f>IFERROR(__xludf.DUMMYFUNCTION("""COMPUTED_VALUE"""),"142361;INF789FC11H8;-;UTI FTIF Series XXVIII-VIII (1171 Days) - Direct Plan - Growth Option;12.6438;15-Apr-2021")</f>
        <v>142361;INF789FC11H8;-;UTI FTIF Series XXVIII-VIII (1171 Days) - Direct Plan - Growth Option;12.6438;15-Apr-2021</v>
      </c>
      <c r="B15646" s="1"/>
    </row>
    <row r="15647">
      <c r="A15647" s="1" t="str">
        <f>IFERROR(__xludf.DUMMYFUNCTION("""COMPUTED_VALUE"""),"142365;INF789FC16G9;-;UTI FTIF Series XXVIII-VIII (1171 Days) - Regular Plan - Growth Option;12.6249;15-Apr-2021")</f>
        <v>142365;INF789FC16G9;-;UTI FTIF Series XXVIII-VIII (1171 Days) - Regular Plan - Growth Option;12.6249;15-Apr-2021</v>
      </c>
      <c r="B15647" s="1"/>
    </row>
    <row r="15648">
      <c r="A15648" s="1" t="str">
        <f>IFERROR(__xludf.DUMMYFUNCTION("""COMPUTED_VALUE"""),"142576;INF789FC16J3;-;UTI FTIF SERIES XXVIII - PLAN X (1153 DAYS) - Direct Plan - Flexi IDCW;10;04-May-2021")</f>
        <v>142576;INF789FC16J3;-;UTI FTIF SERIES XXVIII - PLAN X (1153 DAYS) - Direct Plan - Flexi IDCW;10;04-May-2021</v>
      </c>
      <c r="B15648" s="1"/>
    </row>
    <row r="15649">
      <c r="A15649" s="1" t="str">
        <f>IFERROR(__xludf.DUMMYFUNCTION("""COMPUTED_VALUE"""),"142573;INF789FC14J8;-;UTI FTIF SERIES XXVIII - PLAN X (1153 DAYS) - Direct Plan - Maturity IDCW;10;04-May-2021")</f>
        <v>142573;INF789FC14J8;-;UTI FTIF SERIES XXVIII - PLAN X (1153 DAYS) - Direct Plan - Maturity IDCW;10;04-May-2021</v>
      </c>
      <c r="B15649" s="1"/>
    </row>
    <row r="15650">
      <c r="A15650" s="1" t="str">
        <f>IFERROR(__xludf.DUMMYFUNCTION("""COMPUTED_VALUE"""),"142572;INF789FC12J2;-;UTI FTIF SERIES XXVIII - PLAN X (1153 DAYS) - Direct Plan - Quarterly IDCW;9.5649;04-May-2021")</f>
        <v>142572;INF789FC12J2;-;UTI FTIF SERIES XXVIII - PLAN X (1153 DAYS) - Direct Plan - Quarterly IDCW;9.5649;04-May-2021</v>
      </c>
      <c r="B15650" s="1"/>
    </row>
    <row r="15651">
      <c r="A15651" s="1" t="str">
        <f>IFERROR(__xludf.DUMMYFUNCTION("""COMPUTED_VALUE"""),"142580;INF789FC18I1;-;UTI FTIF SERIES XXVIII - PLAN X (1153 DAYS) - Regular Plan - Annual IDCW;9.556;04-May-2021")</f>
        <v>142580;INF789FC18I1;-;UTI FTIF SERIES XXVIII - PLAN X (1153 DAYS) - Regular Plan - Annual IDCW;9.556;04-May-2021</v>
      </c>
      <c r="B15651" s="1"/>
    </row>
    <row r="15652">
      <c r="A15652" s="1" t="str">
        <f>IFERROR(__xludf.DUMMYFUNCTION("""COMPUTED_VALUE"""),"142574;INF789FC19I9;-;UTI FTIF SERIES XXVIII - PLAN X (1153 DAYS) - Regular Plan - Maturity IDCW;10;04-May-2021")</f>
        <v>142574;INF789FC19I9;-;UTI FTIF SERIES XXVIII - PLAN X (1153 DAYS) - Regular Plan - Maturity IDCW;10;04-May-2021</v>
      </c>
      <c r="B15652" s="1"/>
    </row>
    <row r="15653">
      <c r="A15653" s="1" t="str">
        <f>IFERROR(__xludf.DUMMYFUNCTION("""COMPUTED_VALUE"""),"142577;INF789FC17I3;-;UTI FTIF SERIES XXVIII - PLAN X (1153 DAYS) - Regular Plan - Quarterly IDCW;9.5558;04-May-2021")</f>
        <v>142577;INF789FC17I3;-;UTI FTIF SERIES XXVIII - PLAN X (1153 DAYS) - Regular Plan - Quarterly IDCW;9.5558;04-May-2021</v>
      </c>
      <c r="B15653" s="1"/>
    </row>
    <row r="15654">
      <c r="A15654" s="1" t="str">
        <f>IFERROR(__xludf.DUMMYFUNCTION("""COMPUTED_VALUE"""),"142578;INF789FC15J5;-;UTI FTIF Series XXVIII-X (1153 Days) - Direct Plan - Growth Option;10.9728;04-May-2021")</f>
        <v>142578;INF789FC15J5;-;UTI FTIF Series XXVIII-X (1153 Days) - Direct Plan - Growth Option;10.9728;04-May-2021</v>
      </c>
      <c r="B15654" s="1"/>
    </row>
    <row r="15655">
      <c r="A15655" s="1" t="str">
        <f>IFERROR(__xludf.DUMMYFUNCTION("""COMPUTED_VALUE"""),"142579;INF789FC10J6;-;UTI FTIF Series XXVIII-X (1153 Days) - Regular Plan - Growth Option;10.8578;04-May-2021")</f>
        <v>142579;INF789FC10J6;-;UTI FTIF Series XXVIII-X (1153 Days) - Regular Plan - Growth Option;10.8578;04-May-2021</v>
      </c>
      <c r="B15655" s="1"/>
    </row>
    <row r="15656">
      <c r="A15656" s="1" t="str">
        <f>IFERROR(__xludf.DUMMYFUNCTION("""COMPUTED_VALUE"""),"142790;INF789FC13K8;-;UTI FTIF SERIES XXVIII - PLAN XI (1161 DAYS) - Direct Plan - Annual IDCW;10;10-May-2021")</f>
        <v>142790;INF789FC13K8;-;UTI FTIF SERIES XXVIII - PLAN XI (1161 DAYS) - Direct Plan - Annual IDCW;10;10-May-2021</v>
      </c>
      <c r="B15656" s="1"/>
    </row>
    <row r="15657">
      <c r="A15657" s="1" t="str">
        <f>IFERROR(__xludf.DUMMYFUNCTION("""COMPUTED_VALUE"""),"142795;INF789FC18J9;-;UTI FTIF SERIES XXVIII - PLAN XI (1161 DAYS) - Regular Plan - Annual IDCW;10;10-May-2021")</f>
        <v>142795;INF789FC18J9;-;UTI FTIF SERIES XXVIII - PLAN XI (1161 DAYS) - Regular Plan - Annual IDCW;10;10-May-2021</v>
      </c>
      <c r="B15657" s="1"/>
    </row>
    <row r="15658">
      <c r="A15658" s="1" t="str">
        <f>IFERROR(__xludf.DUMMYFUNCTION("""COMPUTED_VALUE"""),"142798;INF789FC11K2;-;UTI FTIF SERIES XXVIII - PLAN XI (1161 DAYS) - Regular Plan - Flexi IDCW;10;10-May-2021")</f>
        <v>142798;INF789FC11K2;-;UTI FTIF SERIES XXVIII - PLAN XI (1161 DAYS) - Regular Plan - Flexi IDCW;10;10-May-2021</v>
      </c>
      <c r="B15658" s="1"/>
    </row>
    <row r="15659">
      <c r="A15659" s="1" t="str">
        <f>IFERROR(__xludf.DUMMYFUNCTION("""COMPUTED_VALUE"""),"142792;INF789FC19J7;-;UTI FTIF SERIES XXVIII - PLAN XI (1161 DAYS) - Regular Plan - Maturity IDCW;10;10-May-2021")</f>
        <v>142792;INF789FC19J7;-;UTI FTIF SERIES XXVIII - PLAN XI (1161 DAYS) - Regular Plan - Maturity IDCW;10;10-May-2021</v>
      </c>
      <c r="B15659" s="1"/>
    </row>
    <row r="15660">
      <c r="A15660" s="1" t="str">
        <f>IFERROR(__xludf.DUMMYFUNCTION("""COMPUTED_VALUE"""),"142796;INF789FC17J1;-;UTI FTIF SERIES XXVIII - PLAN XI (1161 DAYS) - Regular Plan - Quarterly IDCW;10;10-May-2021")</f>
        <v>142796;INF789FC17J1;-;UTI FTIF SERIES XXVIII - PLAN XI (1161 DAYS) - Regular Plan - Quarterly IDCW;10;10-May-2021</v>
      </c>
      <c r="B15660" s="1"/>
    </row>
    <row r="15661">
      <c r="A15661" s="1" t="str">
        <f>IFERROR(__xludf.DUMMYFUNCTION("""COMPUTED_VALUE"""),"142789;INF789FC15K3;-;UTI FTIF Series XXVIII-XI (1161 Days) - Direct Plan - Growth Option;12.6449;10-May-2021")</f>
        <v>142789;INF789FC15K3;-;UTI FTIF Series XXVIII-XI (1161 Days) - Direct Plan - Growth Option;12.6449;10-May-2021</v>
      </c>
      <c r="B15661" s="1"/>
    </row>
    <row r="15662">
      <c r="A15662" s="1" t="str">
        <f>IFERROR(__xludf.DUMMYFUNCTION("""COMPUTED_VALUE"""),"142794;INF789FC10K4;-;UTI FTIF Series XXVIII-XI (1161 Days) - Regular Plan - Growth Option;12.626;10-May-2021")</f>
        <v>142794;INF789FC10K4;-;UTI FTIF Series XXVIII-XI (1161 Days) - Regular Plan - Growth Option;12.626;10-May-2021</v>
      </c>
      <c r="B15662" s="1"/>
    </row>
    <row r="15663">
      <c r="A15663" s="1" t="str">
        <f>IFERROR(__xludf.DUMMYFUNCTION("""COMPUTED_VALUE"""),"142811;INF789FC14L4;-;UTI FTIF SERIES XXVIII - PLAN XII (1154 DAYS) - Direct Plan - Maturity IDCW;10;10-May-2021")</f>
        <v>142811;INF789FC14L4;-;UTI FTIF SERIES XXVIII - PLAN XII (1154 DAYS) - Direct Plan - Maturity IDCW;10;10-May-2021</v>
      </c>
      <c r="B15663" s="1"/>
    </row>
    <row r="15664">
      <c r="A15664" s="1" t="str">
        <f>IFERROR(__xludf.DUMMYFUNCTION("""COMPUTED_VALUE"""),"142814;INF789FC18K7;-;UTI FTIF SERIES XXVIII - PLAN XII (1154 DAYS) - Regular Plan - Annual IDCW;10;10-May-2021")</f>
        <v>142814;INF789FC18K7;-;UTI FTIF SERIES XXVIII - PLAN XII (1154 DAYS) - Regular Plan - Annual IDCW;10;10-May-2021</v>
      </c>
      <c r="B15664" s="1"/>
    </row>
    <row r="15665">
      <c r="A15665" s="1" t="str">
        <f>IFERROR(__xludf.DUMMYFUNCTION("""COMPUTED_VALUE"""),"142812;INF789FC19K5;-;UTI FTIF SERIES XXVIII - PLAN XII (1154 DAYS) - Regular Plan - Maturity IDCW;10;10-May-2021")</f>
        <v>142812;INF789FC19K5;-;UTI FTIF SERIES XXVIII - PLAN XII (1154 DAYS) - Regular Plan - Maturity IDCW;10;10-May-2021</v>
      </c>
      <c r="B15665" s="1"/>
    </row>
    <row r="15666">
      <c r="A15666" s="1" t="str">
        <f>IFERROR(__xludf.DUMMYFUNCTION("""COMPUTED_VALUE"""),"142808;INF789FC17K9;-;UTI FTIF SERIES XXVIII - PLAN XII (1154 DAYS) - Regular Plan - Quarterly IDCW;10;10-May-2021")</f>
        <v>142808;INF789FC17K9;-;UTI FTIF SERIES XXVIII - PLAN XII (1154 DAYS) - Regular Plan - Quarterly IDCW;10;10-May-2021</v>
      </c>
      <c r="B15666" s="1"/>
    </row>
    <row r="15667">
      <c r="A15667" s="1" t="str">
        <f>IFERROR(__xludf.DUMMYFUNCTION("""COMPUTED_VALUE"""),"142813;INF789FC15L1;-;UTI FTIF Series XXVIII-XII (1154 Days) - Direct Plan - Growth Option;12.6216;10-May-2021")</f>
        <v>142813;INF789FC15L1;-;UTI FTIF Series XXVIII-XII (1154 Days) - Direct Plan - Growth Option;12.6216;10-May-2021</v>
      </c>
      <c r="B15667" s="1"/>
    </row>
    <row r="15668">
      <c r="A15668" s="1" t="str">
        <f>IFERROR(__xludf.DUMMYFUNCTION("""COMPUTED_VALUE"""),"142807;INF789FC10L2;-;UTI FTIF Series XXVIII-XII (1154 Days) - Regular Plan - Growth Option;12.6027;10-May-2021")</f>
        <v>142807;INF789FC10L2;-;UTI FTIF Series XXVIII-XII (1154 Days) - Regular Plan - Growth Option;12.6027;10-May-2021</v>
      </c>
      <c r="B15668" s="1"/>
    </row>
    <row r="15669">
      <c r="A15669" s="1" t="str">
        <f>IFERROR(__xludf.DUMMYFUNCTION("""COMPUTED_VALUE"""),"142844;INF789FC13M4;-;UTI FTIF SERIES XXVIII - PLAN XIII (1134 DAYS) - Direct Plan - Annual IDCW;9.8842;04-May-2021")</f>
        <v>142844;INF789FC13M4;-;UTI FTIF SERIES XXVIII - PLAN XIII (1134 DAYS) - Direct Plan - Annual IDCW;9.8842;04-May-2021</v>
      </c>
      <c r="B15669" s="1"/>
    </row>
    <row r="15670">
      <c r="A15670" s="1" t="str">
        <f>IFERROR(__xludf.DUMMYFUNCTION("""COMPUTED_VALUE"""),"142847;INF789FC16M7;-;UTI FTIF SERIES XXVIII - PLAN XIII (1134 DAYS) - Direct Plan - Flexi IDCW;10;04-May-2021")</f>
        <v>142847;INF789FC16M7;-;UTI FTIF SERIES XXVIII - PLAN XIII (1134 DAYS) - Direct Plan - Flexi IDCW;10;04-May-2021</v>
      </c>
      <c r="B15670" s="1"/>
    </row>
    <row r="15671">
      <c r="A15671" s="1" t="str">
        <f>IFERROR(__xludf.DUMMYFUNCTION("""COMPUTED_VALUE"""),"142846;INF789FC14M2;-;UTI FTIF SERIES XXVIII - PLAN XIII (1134 DAYS) - Direct Plan - Maturity IDCW;10;04-May-2021")</f>
        <v>142846;INF789FC14M2;-;UTI FTIF SERIES XXVIII - PLAN XIII (1134 DAYS) - Direct Plan - Maturity IDCW;10;04-May-2021</v>
      </c>
      <c r="B15671" s="1"/>
    </row>
    <row r="15672">
      <c r="A15672" s="1" t="str">
        <f>IFERROR(__xludf.DUMMYFUNCTION("""COMPUTED_VALUE"""),"142845;INF789FC12M6;-;UTI FTIF SERIES XXVIII - PLAN XIII (1134 DAYS) - Direct Plan - Quarterly IDCW;9.884;04-May-2021")</f>
        <v>142845;INF789FC12M6;-;UTI FTIF SERIES XXVIII - PLAN XIII (1134 DAYS) - Direct Plan - Quarterly IDCW;9.884;04-May-2021</v>
      </c>
      <c r="B15672" s="1"/>
    </row>
    <row r="15673">
      <c r="A15673" s="1" t="str">
        <f>IFERROR(__xludf.DUMMYFUNCTION("""COMPUTED_VALUE"""),"142849;INF789FC18L5;-;UTI FTIF SERIES XXVIII - PLAN XIII (1134 DAYS) - Regular Plan - Annual IDCW;9.8789;04-May-2021")</f>
        <v>142849;INF789FC18L5;-;UTI FTIF SERIES XXVIII - PLAN XIII (1134 DAYS) - Regular Plan - Annual IDCW;9.8789;04-May-2021</v>
      </c>
      <c r="B15673" s="1"/>
    </row>
    <row r="15674">
      <c r="A15674" s="1" t="str">
        <f>IFERROR(__xludf.DUMMYFUNCTION("""COMPUTED_VALUE"""),"142850;INF789FC11M8;-;UTI FTIF SERIES XXVIII - PLAN XIII (1134 DAYS) - Regular Plan - Flexi IDCW;10;04-May-2021")</f>
        <v>142850;INF789FC11M8;-;UTI FTIF SERIES XXVIII - PLAN XIII (1134 DAYS) - Regular Plan - Flexi IDCW;10;04-May-2021</v>
      </c>
      <c r="B15674" s="1"/>
    </row>
    <row r="15675">
      <c r="A15675" s="1" t="str">
        <f>IFERROR(__xludf.DUMMYFUNCTION("""COMPUTED_VALUE"""),"142852;INF789FC19L3;-;UTI FTIF SERIES XXVIII - PLAN XIII (1134 DAYS) - Regular Plan - Maturity IDCW;10;04-May-2021")</f>
        <v>142852;INF789FC19L3;-;UTI FTIF SERIES XXVIII - PLAN XIII (1134 DAYS) - Regular Plan - Maturity IDCW;10;04-May-2021</v>
      </c>
      <c r="B15675" s="1"/>
    </row>
    <row r="15676">
      <c r="A15676" s="1" t="str">
        <f>IFERROR(__xludf.DUMMYFUNCTION("""COMPUTED_VALUE"""),"142851;INF789FC17L7;-;UTI FTIF SERIES XXVIII - PLAN XIII (1134 DAYS) - Regular Plan - Quarterly IDCW;9.8786;04-May-2021")</f>
        <v>142851;INF789FC17L7;-;UTI FTIF SERIES XXVIII - PLAN XIII (1134 DAYS) - Regular Plan - Quarterly IDCW;9.8786;04-May-2021</v>
      </c>
      <c r="B15676" s="1"/>
    </row>
    <row r="15677">
      <c r="A15677" s="1" t="str">
        <f>IFERROR(__xludf.DUMMYFUNCTION("""COMPUTED_VALUE"""),"142815;INF789FC15M9;-;UTI FTIF Series XXVIII-XIII (1134 Days) - Direct Plan - Growth Option;12.2163;04-May-2021")</f>
        <v>142815;INF789FC15M9;-;UTI FTIF Series XXVIII-XIII (1134 Days) - Direct Plan - Growth Option;12.2163;04-May-2021</v>
      </c>
      <c r="B15677" s="1"/>
    </row>
    <row r="15678">
      <c r="A15678" s="1" t="str">
        <f>IFERROR(__xludf.DUMMYFUNCTION("""COMPUTED_VALUE"""),"142848;INF789FC10M0;-;UTI FTIF Series XXVIII-XIII (1134 Days) - Regular Plan - Growth Option;12.0578;04-May-2021")</f>
        <v>142848;INF789FC10M0;-;UTI FTIF Series XXVIII-XIII (1134 Days) - Regular Plan - Growth Option;12.0578;04-May-2021</v>
      </c>
      <c r="B15678" s="1"/>
    </row>
    <row r="15679">
      <c r="A15679" s="1" t="str">
        <f>IFERROR(__xludf.DUMMYFUNCTION("""COMPUTED_VALUE"""),"143047;INF789FC17M5;-;UTI FTIF SERIES XXVIII - PLAN XIV (1147 DAYS) - Regular Plan - Quarterly IDCW;10;10-May-2021")</f>
        <v>143047;INF789FC17M5;-;UTI FTIF SERIES XXVIII - PLAN XIV (1147 DAYS) - Regular Plan - Quarterly IDCW;10;10-May-2021</v>
      </c>
      <c r="B15679" s="1"/>
    </row>
    <row r="15680">
      <c r="A15680" s="1" t="str">
        <f>IFERROR(__xludf.DUMMYFUNCTION("""COMPUTED_VALUE"""),"143039;INF789FC15N7;-;UTI FTIF Series XXVIII-XIV (1147 Days) - Direct Plan - Growth OptionI;12.5555;10-May-2021")</f>
        <v>143039;INF789FC15N7;-;UTI FTIF Series XXVIII-XIV (1147 Days) - Direct Plan - Growth OptionI;12.5555;10-May-2021</v>
      </c>
      <c r="B15680" s="1"/>
    </row>
    <row r="15681">
      <c r="A15681" s="1" t="str">
        <f>IFERROR(__xludf.DUMMYFUNCTION("""COMPUTED_VALUE"""),"143044;INF789FC10N8;-;UTI FTIF Series XXVIII-XIV (1147 Days) - Regular Plan - Growth Option;12.5367;10-May-2021")</f>
        <v>143044;INF789FC10N8;-;UTI FTIF Series XXVIII-XIV (1147 Days) - Regular Plan - Growth Option;12.5367;10-May-2021</v>
      </c>
      <c r="B15681" s="1"/>
    </row>
    <row r="15682">
      <c r="A15682" s="1" t="str">
        <f>IFERROR(__xludf.DUMMYFUNCTION("""COMPUTED_VALUE"""),"150835;INF789F1AWI4;-;UTI Fixed Term Income Fund - Series XXXV-I (1260 Days) - Direct Plan - Annual IDCW Option;10.5673;25-Aug-2023")</f>
        <v>150835;INF789F1AWI4;-;UTI Fixed Term Income Fund - Series XXXV-I (1260 Days) - Direct Plan - Annual IDCW Option;10.5673;25-Aug-2023</v>
      </c>
      <c r="B15682" s="1"/>
    </row>
    <row r="15683">
      <c r="A15683" s="1" t="str">
        <f>IFERROR(__xludf.DUMMYFUNCTION("""COMPUTED_VALUE"""),"150833;INF789F1AWK0;-;UTI Fixed Term Income Fund - Series XXXV-I (1260 Days) - Direct Plan - Growth Option;10.5661;25-Aug-2023")</f>
        <v>150833;INF789F1AWK0;-;UTI Fixed Term Income Fund - Series XXXV-I (1260 Days) - Direct Plan - Growth Option;10.5661;25-Aug-2023</v>
      </c>
      <c r="B15683" s="1"/>
    </row>
    <row r="15684">
      <c r="A15684" s="1" t="str">
        <f>IFERROR(__xludf.DUMMYFUNCTION("""COMPUTED_VALUE"""),"150837;INF789F1AWJ2;-;UTI Fixed Term Income Fund - Series XXXV-I (1260 Days) - Direct Plan - Maturity IDCW Option;10.5659;25-Aug-2023")</f>
        <v>150837;INF789F1AWJ2;-;UTI Fixed Term Income Fund - Series XXXV-I (1260 Days) - Direct Plan - Maturity IDCW Option;10.5659;25-Aug-2023</v>
      </c>
      <c r="B15684" s="1"/>
    </row>
    <row r="15685">
      <c r="A15685" s="1" t="str">
        <f>IFERROR(__xludf.DUMMYFUNCTION("""COMPUTED_VALUE"""),"150834;INF789F1AWH6;-;UTI Fixed Term Income Fund - Series XXXV-I (1260 Days) - Direct Plan - Quarterly IDCW Option;10.566;25-Aug-2023")</f>
        <v>150834;INF789F1AWH6;-;UTI Fixed Term Income Fund - Series XXXV-I (1260 Days) - Direct Plan - Quarterly IDCW Option;10.566;25-Aug-2023</v>
      </c>
      <c r="B15685" s="1"/>
    </row>
    <row r="15686">
      <c r="A15686" s="1" t="str">
        <f>IFERROR(__xludf.DUMMYFUNCTION("""COMPUTED_VALUE"""),"150831;INF789F1AWD5;-;UTI Fixed Term Income Fund - Series XXXV-I (1260 days) - Regular Plan - Annual IDCW Option;10.4318;25-Aug-2023")</f>
        <v>150831;INF789F1AWD5;-;UTI Fixed Term Income Fund - Series XXXV-I (1260 days) - Regular Plan - Annual IDCW Option;10.4318;25-Aug-2023</v>
      </c>
      <c r="B15686" s="1"/>
    </row>
    <row r="15687">
      <c r="A15687" s="1" t="str">
        <f>IFERROR(__xludf.DUMMYFUNCTION("""COMPUTED_VALUE"""),"150832;INF789F1AWG8;-;UTI Fixed Term Income Fund - Series XXXV-I (1260 Days) - Regular Plan - Flexi IDCW Option;10.5347;25-Aug-2023")</f>
        <v>150832;INF789F1AWG8;-;UTI Fixed Term Income Fund - Series XXXV-I (1260 Days) - Regular Plan - Flexi IDCW Option;10.5347;25-Aug-2023</v>
      </c>
      <c r="B15687" s="1"/>
    </row>
    <row r="15688">
      <c r="A15688" s="1" t="str">
        <f>IFERROR(__xludf.DUMMYFUNCTION("""COMPUTED_VALUE"""),"150828;INF789F1AWF0;-;UTI Fixed Term Income Fund - Series XXXV-I (1260 Days) - Regular Plan - Growth Option;10.5347;25-Aug-2023")</f>
        <v>150828;INF789F1AWF0;-;UTI Fixed Term Income Fund - Series XXXV-I (1260 Days) - Regular Plan - Growth Option;10.5347;25-Aug-2023</v>
      </c>
      <c r="B15688" s="1"/>
    </row>
    <row r="15689">
      <c r="A15689" s="1" t="str">
        <f>IFERROR(__xludf.DUMMYFUNCTION("""COMPUTED_VALUE"""),"150829;INF789F1AWE3;-;UTI Fixed Term Income Fund - Series XXXV-I (1260 Days) - Regular Plan - Maturity IDCW Option;10.5348;25-Aug-2023")</f>
        <v>150829;INF789F1AWE3;-;UTI Fixed Term Income Fund - Series XXXV-I (1260 Days) - Regular Plan - Maturity IDCW Option;10.5348;25-Aug-2023</v>
      </c>
      <c r="B15689" s="1"/>
    </row>
    <row r="15690">
      <c r="A15690" s="1" t="str">
        <f>IFERROR(__xludf.DUMMYFUNCTION("""COMPUTED_VALUE"""),"150830;INF789F1AWC7;-;UTI Fixed Term Income Fund - Series XXXV-I (1260 Days) - Regular Plan - Quarterly IDCW Option;10.5347;25-Aug-2023")</f>
        <v>150830;INF789F1AWC7;-;UTI Fixed Term Income Fund - Series XXXV-I (1260 Days) - Regular Plan - Quarterly IDCW Option;10.5347;25-Aug-2023</v>
      </c>
      <c r="B15690" s="1"/>
    </row>
    <row r="15691">
      <c r="A15691" s="1" t="str">
        <f>IFERROR(__xludf.DUMMYFUNCTION("""COMPUTED_VALUE"""),"150965;INF789F1AWS3;-;UTI Fixed Term Income Fund - Series XXXV-II (1223 Days) - Direct Plan - Annual IDCW Option;10.4306;25-Aug-2023")</f>
        <v>150965;INF789F1AWS3;-;UTI Fixed Term Income Fund - Series XXXV-II (1223 Days) - Direct Plan - Annual IDCW Option;10.4306;25-Aug-2023</v>
      </c>
      <c r="B15691" s="1"/>
    </row>
    <row r="15692">
      <c r="A15692" s="1" t="str">
        <f>IFERROR(__xludf.DUMMYFUNCTION("""COMPUTED_VALUE"""),"150970;INF789F1AWV7;-;UTI Fixed Term Income Fund - Series XXXV-II (1223 Days) - Direct Plan - Flexi IDCW Option;10.4585;25-Aug-2023")</f>
        <v>150970;INF789F1AWV7;-;UTI Fixed Term Income Fund - Series XXXV-II (1223 Days) - Direct Plan - Flexi IDCW Option;10.4585;25-Aug-2023</v>
      </c>
      <c r="B15692" s="1"/>
    </row>
    <row r="15693">
      <c r="A15693" s="1" t="str">
        <f>IFERROR(__xludf.DUMMYFUNCTION("""COMPUTED_VALUE"""),"150963;INF789F1AWU9;-;UTI Fixed Term Income Fund - Series XXXV-II (1223 Days) - Direct Plan - Growth Option;10.4564;25-Aug-2023")</f>
        <v>150963;INF789F1AWU9;-;UTI Fixed Term Income Fund - Series XXXV-II (1223 Days) - Direct Plan - Growth Option;10.4564;25-Aug-2023</v>
      </c>
      <c r="B15693" s="1"/>
    </row>
    <row r="15694">
      <c r="A15694" s="1" t="str">
        <f>IFERROR(__xludf.DUMMYFUNCTION("""COMPUTED_VALUE"""),"150966;INF789F1AWT1;-;UTI Fixed Term Income Fund - Series XXXV-II (1223 Days) - Direct Plan - Maturity IDCW Option;10.4564;25-Aug-2023")</f>
        <v>150966;INF789F1AWT1;-;UTI Fixed Term Income Fund - Series XXXV-II (1223 Days) - Direct Plan - Maturity IDCW Option;10.4564;25-Aug-2023</v>
      </c>
      <c r="B15694" s="1"/>
    </row>
    <row r="15695">
      <c r="A15695" s="1" t="str">
        <f>IFERROR(__xludf.DUMMYFUNCTION("""COMPUTED_VALUE"""),"150964;INF789F1AWR5;-;UTI Fixed Term Income Fund - Series XXXV-II (1223 Days) - Direct Plan - Quarterly IDCW Option;10.4569;25-Aug-2023")</f>
        <v>150964;INF789F1AWR5;-;UTI Fixed Term Income Fund - Series XXXV-II (1223 Days) - Direct Plan - Quarterly IDCW Option;10.4569;25-Aug-2023</v>
      </c>
      <c r="B15695" s="1"/>
    </row>
    <row r="15696">
      <c r="A15696" s="1" t="str">
        <f>IFERROR(__xludf.DUMMYFUNCTION("""COMPUTED_VALUE"""),"150967;INF789F1AWN4;-;UTI Fixed Term Income Fund - Series XXXV-II (1223 Days) - Regular Plan - Annual IDCW Option;10.4032;25-Aug-2023")</f>
        <v>150967;INF789F1AWN4;-;UTI Fixed Term Income Fund - Series XXXV-II (1223 Days) - Regular Plan - Annual IDCW Option;10.4032;25-Aug-2023</v>
      </c>
      <c r="B15696" s="1"/>
    </row>
    <row r="15697">
      <c r="A15697" s="1" t="str">
        <f>IFERROR(__xludf.DUMMYFUNCTION("""COMPUTED_VALUE"""),"150968;INF789F1AWQ7;-;UTI Fixed Term Income Fund - Series XXXV-II (1223 Days) - Regular Plan - Flexi IDCW Option;10.429;25-Aug-2023")</f>
        <v>150968;INF789F1AWQ7;-;UTI Fixed Term Income Fund - Series XXXV-II (1223 Days) - Regular Plan - Flexi IDCW Option;10.429;25-Aug-2023</v>
      </c>
      <c r="B15697" s="1"/>
    </row>
    <row r="15698">
      <c r="A15698" s="1" t="str">
        <f>IFERROR(__xludf.DUMMYFUNCTION("""COMPUTED_VALUE"""),"150971;INF789F1AWP9;-;UTI Fixed Term Income Fund - Series XXXV-II (1223 Days) - Regular Plan - Growth Option;10.4289;25-Aug-2023")</f>
        <v>150971;INF789F1AWP9;-;UTI Fixed Term Income Fund - Series XXXV-II (1223 Days) - Regular Plan - Growth Option;10.4289;25-Aug-2023</v>
      </c>
      <c r="B15698" s="1"/>
    </row>
    <row r="15699">
      <c r="A15699" s="1" t="str">
        <f>IFERROR(__xludf.DUMMYFUNCTION("""COMPUTED_VALUE"""),"150969;INF789F1AWO2;-;UTI Fixed Term Income Fund - Series XXXV-II (1223 Days) - Regular Plan - Maturity IDCW Option;10.4285;25-Aug-2023")</f>
        <v>150969;INF789F1AWO2;-;UTI Fixed Term Income Fund - Series XXXV-II (1223 Days) - Regular Plan - Maturity IDCW Option;10.4285;25-Aug-2023</v>
      </c>
      <c r="B15699" s="1"/>
    </row>
    <row r="15700">
      <c r="A15700" s="1" t="str">
        <f>IFERROR(__xludf.DUMMYFUNCTION("""COMPUTED_VALUE"""),"150972;INF789F1AWM6;-;UTI Fixed Term Income Fund - Series XXXV-II (1223 Days) - Regular Plan - Quarterly IDCW Option;10.429;25-Aug-2023")</f>
        <v>150972;INF789F1AWM6;-;UTI Fixed Term Income Fund - Series XXXV-II (1223 Days) - Regular Plan - Quarterly IDCW Option;10.429;25-Aug-2023</v>
      </c>
      <c r="B15700" s="1"/>
    </row>
    <row r="15701">
      <c r="A15701" s="1" t="str">
        <f>IFERROR(__xludf.DUMMYFUNCTION("""COMPUTED_VALUE"""),"151334;INF789F1AXF8;-;UTI Fixed Term Income Fund - Series XXXV-III (1176 Days) - Direct Plan - Annual IDCW Option;10.4061;25-Aug-2023")</f>
        <v>151334;INF789F1AXF8;-;UTI Fixed Term Income Fund - Series XXXV-III (1176 Days) - Direct Plan - Annual IDCW Option;10.4061;25-Aug-2023</v>
      </c>
      <c r="B15701" s="1"/>
    </row>
    <row r="15702">
      <c r="A15702" s="1" t="str">
        <f>IFERROR(__xludf.DUMMYFUNCTION("""COMPUTED_VALUE"""),"151341;INF789F1AXH4;-;UTI Fixed Term Income Fund - Series XXXV-III (1176 Days) - Direct Plan - Growth Option;10.4061;25-Aug-2023")</f>
        <v>151341;INF789F1AXH4;-;UTI Fixed Term Income Fund - Series XXXV-III (1176 Days) - Direct Plan - Growth Option;10.4061;25-Aug-2023</v>
      </c>
      <c r="B15702" s="1"/>
    </row>
    <row r="15703">
      <c r="A15703" s="1" t="str">
        <f>IFERROR(__xludf.DUMMYFUNCTION("""COMPUTED_VALUE"""),"151335;INF789F1AXG6;-;UTI Fixed Term Income Fund - Series XXXV-III (1176 Days) - Direct Plan - Maturity IDCW Option;10.406;25-Aug-2023")</f>
        <v>151335;INF789F1AXG6;-;UTI Fixed Term Income Fund - Series XXXV-III (1176 Days) - Direct Plan - Maturity IDCW Option;10.406;25-Aug-2023</v>
      </c>
      <c r="B15703" s="1"/>
    </row>
    <row r="15704">
      <c r="A15704" s="1" t="str">
        <f>IFERROR(__xludf.DUMMYFUNCTION("""COMPUTED_VALUE"""),"151333;INF789F1AXE1;-;UTI Fixed Term Income Fund - Series XXXV-III (1176 Days) - Direct Plan - Quarterly IDCW Option;10.4065;25-Aug-2023")</f>
        <v>151333;INF789F1AXE1;-;UTI Fixed Term Income Fund - Series XXXV-III (1176 Days) - Direct Plan - Quarterly IDCW Option;10.4065;25-Aug-2023</v>
      </c>
      <c r="B15704" s="1"/>
    </row>
    <row r="15705">
      <c r="A15705" s="1" t="str">
        <f>IFERROR(__xludf.DUMMYFUNCTION("""COMPUTED_VALUE"""),"151339;INF789F1AXJ0;-;UTI Fixed Term Income Fund - Series XXXV-III (1176 Days) - Regular Plan - Annual IDCW Option;10.3829;25-Aug-2023")</f>
        <v>151339;INF789F1AXJ0;-;UTI Fixed Term Income Fund - Series XXXV-III (1176 Days) - Regular Plan - Annual IDCW Option;10.3829;25-Aug-2023</v>
      </c>
      <c r="B15705" s="1"/>
    </row>
    <row r="15706">
      <c r="A15706" s="1" t="str">
        <f>IFERROR(__xludf.DUMMYFUNCTION("""COMPUTED_VALUE"""),"151332;INF789F1AXD3;-;UTI Fixed Term Income Fund - Series XXXV-III (1176 Days) - Regular Plan - Flexi IDCW Option;10.3827;25-Aug-2023")</f>
        <v>151332;INF789F1AXD3;-;UTI Fixed Term Income Fund - Series XXXV-III (1176 Days) - Regular Plan - Flexi IDCW Option;10.3827;25-Aug-2023</v>
      </c>
      <c r="B15706" s="1"/>
    </row>
    <row r="15707">
      <c r="A15707" s="1" t="str">
        <f>IFERROR(__xludf.DUMMYFUNCTION("""COMPUTED_VALUE"""),"151338;INF789F1AXC5;-;UTI Fixed Term Income Fund - Series XXXV-III (1176 Days) - Regular Plan - Growth Option;10.3827;25-Aug-2023")</f>
        <v>151338;INF789F1AXC5;-;UTI Fixed Term Income Fund - Series XXXV-III (1176 Days) - Regular Plan - Growth Option;10.3827;25-Aug-2023</v>
      </c>
      <c r="B15707" s="1"/>
    </row>
    <row r="15708">
      <c r="A15708" s="1" t="str">
        <f>IFERROR(__xludf.DUMMYFUNCTION("""COMPUTED_VALUE"""),"151331;INF789F1AXA9;-;UTI Fixed Term Income Fund - Series XXXV-III (1176 Days) - Regular Plan - Quarterly IDCW Option;10.3826;25-Aug-2023")</f>
        <v>151331;INF789F1AXA9;-;UTI Fixed Term Income Fund - Series XXXV-III (1176 Days) - Regular Plan - Quarterly IDCW Option;10.3826;25-Aug-2023</v>
      </c>
      <c r="B15708" s="1"/>
    </row>
    <row r="15709">
      <c r="A15709" s="1" t="str">
        <f>IFERROR(__xludf.DUMMYFUNCTION("""COMPUTED_VALUE"""),"151485;INF789F1AXP7;-;UTI Fixed Term Income Fund Series XXXVI - I (1574 Days) - Direct Plan - Growth Option;10.4255;25-Aug-2023")</f>
        <v>151485;INF789F1AXP7;-;UTI Fixed Term Income Fund Series XXXVI - I (1574 Days) - Direct Plan - Growth Option;10.4255;25-Aug-2023</v>
      </c>
      <c r="B15709" s="1"/>
    </row>
    <row r="15710">
      <c r="A15710" s="1" t="str">
        <f>IFERROR(__xludf.DUMMYFUNCTION("""COMPUTED_VALUE"""),"151484;INF789F1AXO0;-;UTI Fixed Term Income Fund Series XXXVI - I (1574 Days) - Direct Plan - Payout of IDCW Option;10.4255;25-Aug-2023")</f>
        <v>151484;INF789F1AXO0;-;UTI Fixed Term Income Fund Series XXXVI - I (1574 Days) - Direct Plan - Payout of IDCW Option;10.4255;25-Aug-2023</v>
      </c>
      <c r="B15710" s="1"/>
    </row>
    <row r="15711">
      <c r="A15711" s="1" t="str">
        <f>IFERROR(__xludf.DUMMYFUNCTION("""COMPUTED_VALUE"""),"151483;INF789F1AXN2;-;UTI Fixed Term Income Fund Series XXXVI - I (1574 Days) - Regular Plan - Growth Option;10.4046;25-Aug-2023")</f>
        <v>151483;INF789F1AXN2;-;UTI Fixed Term Income Fund Series XXXVI - I (1574 Days) - Regular Plan - Growth Option;10.4046;25-Aug-2023</v>
      </c>
      <c r="B15711" s="1"/>
    </row>
    <row r="15712">
      <c r="A15712" s="1" t="str">
        <f>IFERROR(__xludf.DUMMYFUNCTION("""COMPUTED_VALUE"""),"151486;INF789F1AXM4;-;UTI Fixed Term Income Fund Series XXXVI - I (1574 Days) - Regular Plan - Payout of IDCW Option;10.4046;25-Aug-2023")</f>
        <v>151486;INF789F1AXM4;-;UTI Fixed Term Income Fund Series XXXVI - I (1574 Days) - Regular Plan - Payout of IDCW Option;10.4046;25-Aug-2023</v>
      </c>
      <c r="B15712" s="1"/>
    </row>
  </sheetData>
  <drawing r:id="rId1"/>
</worksheet>
</file>