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_energy_meter" sheetId="1" state="visible" r:id="rId2"/>
  </sheets>
  <definedNames>
    <definedName function="false" hidden="false" localSheetId="0" name="BoardQty" vbProcedure="false">din_energy_meter!$G$1</definedName>
    <definedName function="false" hidden="false" localSheetId="0" name="PURCHASE_DESCRIPTION" vbProcedure="false">din_energy_meter!$G$40</definedName>
    <definedName function="false" hidden="false" localSheetId="0" name="TotalCost" vbProcedure="false">din_energy_meter!$G$3</definedName>
    <definedName function="false" hidden="false" localSheetId="0" name="USD_GBP" vbProcedure="false">din_energy_meter!$C$40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Use the minimum extend price across distributors not taking account available quantities.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Minimum unit price for each part across all distributors.</t>
        </r>
      </text>
    </comment>
    <comment ref="F39" authorId="0">
      <text>
        <r>
          <rPr>
            <sz val="11"/>
            <color rgb="FF000000"/>
            <rFont val="Calibri"/>
            <family val="2"/>
            <charset val="1"/>
          </rPr>
          <t xml:space="preserve">This is the total of your cart across all distributors.</t>
        </r>
      </text>
    </comment>
    <comment ref="F40" authorId="0">
      <text>
        <r>
          <rPr>
            <sz val="11"/>
            <color rgb="FF000000"/>
            <rFont val="Calibri"/>
            <family val="2"/>
            <charset val="1"/>
          </rPr>
          <t xml:space="preserve">This description will be added to all purchased parts label and may be used to distinguish the component of different projects.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I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J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4000   $0.01     $58.00
  8000   $0.01    $100.00</t>
        </r>
      </text>
    </comment>
    <comment ref="J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$0.05      $0.05
   500   $0.05     $24.75</t>
        </r>
      </text>
    </comment>
    <comment ref="J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$0.32      $0.32
    10   $0.22      $2.17
    25   $0.17      $4.14
    50   $0.15      $7.72
   100   $0.10     $10.08
   500   $0.09     $43.60
  1000   $0.08     $77.60
  2500   $0.07    $176.25</t>
        </r>
      </text>
    </comment>
    <comment ref="J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4000   $0.03    $106.00
  8000   $0.03    $210.40
 12000   $0.03    $306.00
 20000   $0.03    $506.00
 24000   $0.02    $590.40
100000   $0.02  $2,370.00</t>
        </r>
      </text>
    </comment>
    <comment ref="J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4000   $0.07    $266.80</t>
        </r>
      </text>
    </comment>
    <comment ref="J1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$0.34      $0.34
     5   $0.33      $1.65
    10   $0.32      $3.16
    50   $0.28     $13.75
   100   $0.24     $23.62
   250   $0.22     $54.15
   500   $0.19     $93.90
  1000   $0.16    $157.80
  5000   $0.15    $766.00</t>
        </r>
      </text>
    </comment>
    <comment ref="J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$5.37      $5.37
    10   $5.10     $50.97
    25   $4.83    $120.78
    50   $4.76    $238.25</t>
        </r>
      </text>
    </comment>
    <comment ref="J2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$0.09      $0.09
    10   $0.09      $0.91
    25   $0.09      $2.24
   100   $0.09      $8.82
   250   $0.09     $21.70
   500   $0.09     $42.70
  1000   $0.08     $84.00
  3000   $0.08    $248.10
  6000   $0.08    $488.40
 15000   $0.08  $1,200.00</t>
        </r>
      </text>
    </comment>
    <comment ref="J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$0.04      $0.04</t>
        </r>
      </text>
    </comment>
    <comment ref="J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5000   $0.00     $16.50
 10000   $0.00     $29.00
 25000   $0.00     $62.50
 50000   $0.00    $115.00
125000   $0.00    $287.50</t>
        </r>
      </text>
    </comment>
    <comment ref="J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1000   $0.29    $286.00
  2000   $0.28    $566.20
  5000   $0.28  $1,402.00
 10000   $0.28  $2,775.00
 25000   $0.26  $6,377.50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N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17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O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P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P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$0.44      $0.44
    10   $0.31      $3.13
    50   $0.24     $11.82
   100   $0.21     $20.59
   500   $0.15     $76.26
  1000   $0.13    $129.63
  2500   $0.12    $305.02
  5000   $0.11    $571.90</t>
        </r>
      </text>
    </comment>
    <comment ref="P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$0.11      $0.11
    10   $0.08      $0.76
    50   $0.04      $2.15
   100   $0.04      $3.56
   500   $0.02     $12.48
  1000   $0.02     $20.66
  4000   $0.02     $70.36
  8000   $0.02    $130.88
 12000   $0.02    $186.48
 28000   $0.01    $412.44
100000   $0.01  $1,115.00
200000   $0.01  $2,176.00
400000   $0.01  $4,092.00</t>
        </r>
      </text>
    </comment>
    <comment ref="P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$0.33      $0.33
    10   $0.22      $2.24
    50   $0.15      $7.45
   100   $0.13     $12.67
   500   $0.09     $44.72
  1000   $0.08     $78.26
  4000   $0.07    $275.80
  8000   $0.07    $521.76
 12000   $0.06    $742.44
 28000   $0.06  $1,669.64
100000   $0.05  $4,938.00</t>
        </r>
      </text>
    </comment>
    <comment ref="P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$0.39      $0.39
    10   $0.27      $2.70
    50   $0.18      $9.00
   100   $0.15     $15.30
   500   $0.11     $54.00
  1000   $0.09     $94.50
  2500   $0.09    $225.00
  5000   $0.08    $416.25</t>
        </r>
      </text>
    </comment>
    <comment ref="P1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$0.17      $0.17
    10   $0.11      $1.14
    50   $0.07      $3.41
   100   $0.06      $5.76
   500   $0.04     $19.70
  1000   $0.03     $34.84
  4000   $0.03    $121.20
  8000   $0.03    $230.32
 12000   $0.03    $327.24
 28000   $0.03    $721.28
100000   $0.02  $2,045.00
200000   $0.02  $4,030.00
400000   $0.02  $7,576.00</t>
        </r>
      </text>
    </comment>
    <comment ref="P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$0.04      $0.39
    50   $0.02      $1.06
   100   $0.02      $1.73
   500   $0.01      $6.19
  1000   $0.01      $9.72
  4000   $0.01     $32.52
  8000   $0.01     $59.36
 12000   $0.01     $84.84
 28000   $0.01    $188.16
100000   $0.00    $486.00
200000   $0.00    $940.00
400000   $0.00  $1,768.00</t>
        </r>
      </text>
    </comment>
    <comment ref="P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$0.32      $0.32
    10   $0.22      $2.21
    50   $0.15      $7.37
   100   $0.13     $12.53
   500   $0.09     $44.24
  1000   $0.08     $77.42
  4000   $0.07    $272.80
  8000   $0.06    $516.08
 12000   $0.06    $734.40
 28000   $0.06  $1,651.44
100000   $0.05  $4,885.00</t>
        </r>
      </text>
    </comment>
    <comment ref="P1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$0.42      $0.42
     5   $0.41      $2.04
    10   $0.40      $3.95
    50   $0.33     $16.63
   100   $0.28     $27.62
   250   $0.25     $62.77
   500   $0.21    $106.71
  1000   $0.19    $188.31
  5000   $0.17    $847.40</t>
        </r>
      </text>
    </comment>
    <comment ref="P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$5.33      $5.33
    25   $4.89    $122.17
   100   $4.80    $480.00</t>
        </r>
      </text>
    </comment>
    <comment ref="P2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$0.31      $0.31
    10   $0.28      $2.75
    25   $0.24      $6.01
    50   $0.21     $10.30
   100   $0.19     $18.89
   250   $0.17     $42.92
   500   $0.16     $80.70
  1000   $0.12    $123.62
  3000   $0.12    $350.28
  6000   $0.11    $659.34
 15000   $0.11  $1,596.75
 30000   $0.10  $3,090.60
 75000   $0.10  $7,469.25</t>
        </r>
      </text>
    </comment>
    <comment ref="P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$0.03      $0.25
   100   $0.01      $1.03
  1000   $0.00      $4.63
  2500   $0.00     $10.05
  5000   $0.00     $16.60
 10000   $0.00     $28.80
 25000   $0.00     $63.25
 50000   $0.00    $116.00
125000   $0.00    $285.00</t>
        </r>
      </text>
    </comment>
    <comment ref="P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$0.03      $0.25
   100   $0.01      $1.03
  1000   $0.00      $4.63
  2500   $0.00     $10.05
  5000   $0.00     $16.60
 10000   $0.00     $28.80
 25000   $0.00     $63.25
 50000   $0.00    $116.00
125000   $0.00    $285.00</t>
        </r>
      </text>
    </comment>
    <comment ref="P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$0.93      $0.93
    10   $0.81      $8.15
    25   $0.77     $19.13
   100   $0.62     $62.45
   250   $0.58    $145.02
   500   $0.49    $246.84
  1000   $0.39    $394.95
  2000   $0.36    $715.86
  5000   $0.33  $1,666.20
 10000   $0.32  $3,209.00
 25000   $0.31  $7,714.00</t>
        </r>
      </text>
    </comment>
    <comment ref="P3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$0.72      $0.72
    10   $0.63      $6.34
    50   $0.59     $29.64
   100   $0.52     $52.39
   500   $0.50    $248.16</t>
        </r>
      </text>
    </comment>
    <comment ref="Q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S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T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7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T11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U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U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V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2000   £0.36    £720.00</t>
        </r>
      </text>
    </comment>
    <comment ref="V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£0.05      £0.49
   100   £0.04      £3.60
   500   £0.03     £13.00
  1000   £0.02     £22.00
  2000   £0.02     £43.20
  4000   £0.01     £56.00
 20000   £0.01    £260.00
 40000   £0.01    £508.00</t>
        </r>
      </text>
    </comment>
    <comment ref="V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1   £0.33      £0.33
     5   £0.27      £1.35
    10   £0.21      £2.12
    25   £0.16      £4.00
    50   £0.11      £5.35
   200   £0.08     £16.40
  1000   £0.08     £78.80
  2000   £0.08    £151.20</t>
        </r>
      </text>
    </comment>
    <comment ref="V1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£0.08      £0.82
   100   £0.04      £4.10
   150   £0.04      £6.15
   500   £0.02     £11.95
  1000   £0.02     £16.90
  2000   £0.01     £26.00
  4000   £0.01     £42.40
 20000   £0.01    £128.00
 40000   £0.01    £204.00</t>
        </r>
      </text>
    </comment>
    <comment ref="V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£0.03      £0.27
   100   £0.02      £2.23
   500   £0.02     £10.15
  1000   £0.02     £18.30
  2000   £0.02     £32.40
  4000   £0.02     £63.60
 20000   £0.01    £278.00
 40000   £0.01    £460.00</t>
        </r>
      </text>
    </comment>
    <comment ref="V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£0.18      £1.80
   100   £0.12     £12.00
   500   £0.08     £42.00
  1000   £0.07     £74.00
  2000   £0.07    £145.00
  4000   £0.07    £280.00
 20000   £0.07  £1,372.00
 40000   £0.07  £2,688.00</t>
        </r>
      </text>
    </comment>
    <comment ref="V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1   £4.69      £4.69
    25   £4.30    £107.50
   100   £4.22    £422.00
   250   £4.14  £1,035.00</t>
        </r>
      </text>
    </comment>
    <comment ref="V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£0.02      £0.23
   100   £0.01      £1.00
   500   £0.01      £4.00
  1000   £0.00      £4.00
  2500   £0.00      £8.75
  5000   £0.00     £15.00
 25000   £0.00     £72.50
 50000   £0.00    £140.00</t>
        </r>
      </text>
    </comment>
    <comment ref="V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£0.02      £0.19
   100   £0.01      £1.00
   500   £0.01      £4.00
  1000   £0.00      £4.00
  2500   £0.00      £8.75
  5000   £0.00     £15.00
 25000   £0.00     £72.50
 50000   £0.00    £140.00</t>
        </r>
      </text>
    </comment>
    <comment ref="V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1   £0.60      £0.60
    50   £0.54     £26.75
   100   £0.47     £46.60
   250   £0.41    £101.50
   500   £0.34    £172.50
  1000   £0.28    £275.00
  5000   £0.27  £1,350.00
 10000   £0.26  £2,640.00</t>
        </r>
      </text>
    </comment>
    <comment ref="W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X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Y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Z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A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A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AA40" authorId="0">
      <text>
        <r>
          <rPr>
            <sz val="11"/>
            <color rgb="FF000000"/>
            <rFont val="Calibri"/>
            <family val="2"/>
            <charset val="1"/>
          </rPr>
          <t xml:space="preserve">Copy this header and order to a CSV
file and use it for JLCPCB 
manufacturer PCB house.
The multipart components that use
"#" symbol are not allowed by JLCPCB.</t>
        </r>
      </text>
    </comment>
    <comment ref="AB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AC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AD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AE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F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F10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F17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F32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G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G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AH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AH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$0.42      $0.42
    10   $0.29      $2.95
    50   $0.22     $11.15
   100   $0.19     $19.40
  1000   $0.12    $122.00
 10000   $0.11  $1,140.00</t>
        </r>
      </text>
    </comment>
    <comment ref="AH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$0.11      $0.11
    10   $0.06      $0.62
    50   $0.06      $3.10
   100   $0.04      $3.60
  1000   $0.02     $21.00
 10000   $0.01    $150.00</t>
        </r>
      </text>
    </comment>
    <comment ref="AH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$0.30      $0.30
    10   $0.15      $1.49
    50   $0.15      $7.45
   100   $0.12     $11.70
  1000   $0.08     $79.00
 10000   $0.06    $580.00</t>
        </r>
      </text>
    </comment>
    <comment ref="AH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$0.37      $0.37
    10   $0.24      $2.41
    50   $0.17      $8.55
   100   $0.12     $12.20
  1000   $0.08     $84.00
 10000   $0.08    $760.00</t>
        </r>
      </text>
    </comment>
    <comment ref="AH1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$0.17      $0.17
    10   $0.10      $0.97
    50   $0.10      $4.85
   100   $0.06      $6.00
  1000   $0.04     $37.00
 10000   $0.03    $300.00</t>
        </r>
      </text>
    </comment>
    <comment ref="AH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$0.02      $0.22
    50   $0.02      $1.10
   100   $0.02      $1.80
  1000   $0.01     $10.00
 10000   $0.01     $70.00</t>
        </r>
      </text>
    </comment>
    <comment ref="AH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$0.33      $0.33
    10   $0.18      $1.77
    50   $0.18      $8.85
   100   $0.13     $13.00
  1000   $0.08     $82.00
 10000   $0.06    $610.00</t>
        </r>
      </text>
    </comment>
    <comment ref="AH1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$0.76      $0.76
    10   $0.25      $2.54
    50   $0.25     $12.70
   100   $0.18     $18.20
  1000   $0.13    $127.00
 10000   $0.09    $920.00</t>
        </r>
      </text>
    </comment>
    <comment ref="AH1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$0.42      $0.42
    10   $0.40      $3.96
    50   $0.40     $19.80
   100   $0.28     $27.70
  1000   $0.19    $189.00
 10000   $0.16  $1,630.00</t>
        </r>
      </text>
    </comment>
    <comment ref="AH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$5.33      $5.33
    10   $5.33     $53.30
    50   $4.89    $244.50
   100   $4.80    $480.00
  1000   $4.79  $4,790.00
 10000   $4.79 $47,900.00</t>
        </r>
      </text>
    </comment>
    <comment ref="AH2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$0.24      $0.24
    10   $0.19      $1.94
    50   $0.19      $9.70
   100   $0.15     $15.10
  1000   $0.11    $112.00
 10000   $0.10    $960.00</t>
        </r>
      </text>
    </comment>
    <comment ref="AH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$0.03      $0.26
    50   $0.03      $1.30
   100   $0.01      $1.10
  1000   $0.01      $5.00
 10000   $0.00     $30.00</t>
        </r>
      </text>
    </comment>
    <comment ref="AH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$0.02      $0.22
    50   $0.02      $1.10
   100   $0.01      $1.10
  1000   $0.01      $5.00
 10000   $0.00     $30.00</t>
        </r>
      </text>
    </comment>
    <comment ref="AH3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10000   $0.00     $10.00</t>
        </r>
      </text>
    </comment>
    <comment ref="AH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$0.79      $0.79
    10   $0.69      $6.86
    50   $0.69     $34.30
   100   $0.53     $53.00
  1000   $0.31    $313.00
 10000   $0.31  $3,130.00</t>
        </r>
      </text>
    </comment>
    <comment ref="AH3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$0.87      $0.87
    10   $0.77      $7.69
    50   $0.77     $38.45
   100   $0.61     $61.50
  1000   $0.49    $493.00
 10000   $0.45  $4,510.00</t>
        </r>
      </text>
    </comment>
    <comment ref="AI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AJ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AK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L7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L9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L16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L26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L28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L35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M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M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AN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AN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2000   $0.14    $270.00</t>
        </r>
      </text>
    </comment>
    <comment ref="AN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$0.02      $0.02
  4000   $0.02     $68.00
  8000   $0.01    $120.00</t>
        </r>
      </text>
    </comment>
    <comment ref="AN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4000   $0.07    $268.00
  8000   $0.07    $520.00
 16000   $0.06    $880.00
 24000   $0.05  $1,272.00
 40000   $0.05  $2,080.00</t>
        </r>
      </text>
    </comment>
    <comment ref="AN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$0.32      $0.32
    10   $0.23      $2.25
    25   $0.19      $4.83
    50   $0.16      $8.15
   100   $0.13     $13.10
   500   $0.10     $47.50
  1000   $0.08     $84.00
  2500   $0.07    $185.00</t>
        </r>
      </text>
    </comment>
    <comment ref="AN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$0.02      $0.02
    10   $0.11      $1.06
    25   $0.01      $0.38
    50   $0.01      $0.75
   100   $0.01      $1.40
   250   $0.01      $3.50
   500   $0.01      $6.50
  1000   $0.01     $15.00
 12000   $0.01    $144.00
 20000   $0.01    $220.00
 32000   $0.01    $320.00</t>
        </r>
      </text>
    </comment>
    <comment ref="AN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4000   $0.07    $292.00</t>
        </r>
      </text>
    </comment>
    <comment ref="AN1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2000   $0.19    $374.00
  2500   $0.17    $427.50</t>
        </r>
      </text>
    </comment>
    <comment ref="AN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$5.33      $5.33
    10   $5.11     $51.10
    25   $4.89    $122.25
    50   $4.84    $242.00
   100   $4.80    $480.00</t>
        </r>
      </text>
    </comment>
    <comment ref="AN2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30000   $0.11  $3,330.00
 50000   $0.10  $5,100.00</t>
        </r>
      </text>
    </comment>
    <comment ref="AN2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$2.73      $2.73
    43   $2.73    $117.39
   100   $2.44    $244.00
   200   $2.28    $456.00
   500   $2.14  $1,070.00
  1000   $2.03  $2,030.00</t>
        </r>
      </text>
    </comment>
    <comment ref="AN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$0.10      $0.10
    10   $0.00      $0.03
    25   $0.03      $0.65
    50   $0.02      $0.95
   100   $0.01      $1.10
   250   $0.01      $2.50
   500   $0.01      $4.50</t>
        </r>
      </text>
    </comment>
    <comment ref="AN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$0.01      $0.01
    10   $0.00      $0.04
    25   $0.00      $0.07
    50   $0.00      $0.15
   100   $0.00      $0.30
   250   $0.01      $2.50
   500   $0.01      $4.50</t>
        </r>
      </text>
    </comment>
    <comment ref="AN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(USD):
  Qty  -  Unit$  -  Ext$
================
     1   $0.41      $0.41
    10   $0.69      $6.86
    25   $0.63     $15.85
    50   $0.58     $29.10
   100   $0.53     $53.00
  2000   $0.40    $804.00
  4000   $0.37  $1,488.00
  8000   $0.35  $2,776.00
 12000   $0.32  $3,888.00
 20000   $0.31  $6,200.00</t>
        </r>
      </text>
    </comment>
    <comment ref="AO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AP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Q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AQ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S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S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AT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AT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5   £0.40      £2.01
    50   £0.14      £7.10
   100   £0.13     £13.20
   200   £0.18     £35.80
   500   £0.09     £47.00
  1000   £0.08     £80.00
  2000   £0.14    £280.00</t>
        </r>
      </text>
    </comment>
    <comment ref="AT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1000   £0.03     £30.00
  4000   £0.07    £268.00
  8000   £0.06    £512.00
 16000   £0.06    £976.00</t>
        </r>
      </text>
    </comment>
    <comment ref="AT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2   £4.82      £9.63
   250   £4.33  £1,082.75</t>
        </r>
      </text>
    </comment>
    <comment ref="AT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500   £0.01      £5.50
  1000   £0.01     £10.00
  2500   £0.01     £22.50
  5000   £0.00     £20.00</t>
        </r>
      </text>
    </comment>
    <comment ref="AT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500   £0.01      £5.50
  1000   £0.01     £10.00
  2500   £0.01     £22.50
  5000   £0.01     £45.00</t>
        </r>
      </text>
    </comment>
    <comment ref="AT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5   £0.91      £4.54
    50   £0.70     £34.80
   100   £0.53     £53.20
   250   £0.50    £126.00
   500   £0.45    £224.00
  1000   £0.40    £395.00
  2000   £0.38    £758.00
  5000   £0.36  £1,800.00</t>
        </r>
      </text>
    </comment>
    <comment ref="AU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AV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W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AW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X6" authorId="0">
      <text>
        <r>
          <rPr>
            <sz val="11"/>
            <color rgb="FF000000"/>
            <rFont val="Calibri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X17" authorId="0">
      <text>
        <r>
          <rPr>
            <sz val="11"/>
            <color rgb="FF000000"/>
            <rFont val="Calibri"/>
            <family val="2"/>
            <charset val="1"/>
          </rPr>
          <t xml:space="preserve">This part is listed but is not stocked.</t>
        </r>
      </text>
    </comment>
    <comment ref="AY6" authorId="0">
      <text>
        <r>
          <rPr>
            <sz val="11"/>
            <color rgb="FF000000"/>
            <rFont val="Calibri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Y39" authorId="0">
      <text>
        <r>
          <rPr>
            <sz val="11"/>
            <color rgb="FF000000"/>
            <rFont val="Calibri"/>
            <family val="2"/>
            <charset val="1"/>
          </rPr>
          <t xml:space="preserve">Copy the information below to the BOM import page of the distributor web site.</t>
        </r>
      </text>
    </comment>
    <comment ref="AZ6" authorId="0">
      <text>
        <r>
          <rPr>
            <sz val="11"/>
            <color rgb="FF000000"/>
            <rFont val="Calibri"/>
            <family val="2"/>
            <charset val="1"/>
          </rPr>
          <t xml:space="preserve">Unit price of each part from this distributor.
Green -&gt; lowest price across distributors.</t>
        </r>
      </text>
    </comment>
    <comment ref="AZ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£0.02      £1.89
  1000   £0.01     £10.92
  4000   £0.01     £32.12
 12000   £0.01     £89.76</t>
        </r>
      </text>
    </comment>
    <comment ref="AZ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£0.04      £4.28
   300   £0.03      £9.45
  1000   £0.02     £23.82
  4000   £0.02     £79.04
 12000   £0.02    £225.00</t>
        </r>
      </text>
    </comment>
    <comment ref="AZ1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£0.23      £2.26
    50   £0.14      £7.05
   100   £0.11     £10.80
   200   £0.10     £19.40</t>
        </r>
      </text>
    </comment>
    <comment ref="AZ1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£0.02      £1.89
  1000   £0.01      £8.09
  4000   £0.01     £27.64
 20000   £0.01    £129.60
 40000   £0.01    £254.00</t>
        </r>
      </text>
    </comment>
    <comment ref="AZ1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£0.02      £1.74
   300   £0.01      £3.66
  1000   £0.01      £8.10
  4000   £0.01     £27.72
 12000   £0.01     £80.40</t>
        </r>
      </text>
    </comment>
    <comment ref="AZ1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£0.08      £0.79
   100   £0.02      £2.12
   500   £0.01      £6.45
  1000   £0.01     £10.84
  4000   £0.01     £40.52</t>
        </r>
      </text>
    </comment>
    <comment ref="AZ14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20   £0.03      £0.66
   100   £0.03      £2.55
   500   £0.02     £11.07
  4000   £0.02     £77.48
 16000   £0.02    £288.64</t>
        </r>
      </text>
    </comment>
    <comment ref="AZ1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10   £0.06      £0.57
    50   £0.03      £1.61
   250   £0.02      £6.10
  1000   £0.02     £20.15
  4000   £0.02     £75.28</t>
        </r>
      </text>
    </comment>
    <comment ref="AZ16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5   £0.36      £1.80
    10   £0.33      £3.29
    20   £0.26      £5.26
   100   £0.21     £20.90
   500   £0.17     £84.00</t>
        </r>
      </text>
    </comment>
    <comment ref="AZ1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250   £3.42    £855.00</t>
        </r>
      </text>
    </comment>
    <comment ref="AZ28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1   £2.34      £2.34
     5   £2.22     £11.10
    25   £2.10     £52.50
   100   £1.90    £190.00</t>
        </r>
      </text>
    </comment>
    <comment ref="AZ29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£0.03      £3.14
  1000   £0.01     £14.23
  5000   £0.01     £41.50
 20000   £0.01    £139.20</t>
        </r>
      </text>
    </comment>
    <comment ref="AZ30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£0.01      £1.29
  1000   £0.00      £3.64
  5000   £0.00      £8.90
 10000   £0.00     £15.90</t>
        </r>
      </text>
    </comment>
    <comment ref="AZ31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£0.01      £1.29
  1000   £0.00      £3.64
  5000   £0.00      £8.90
 10000   £0.00     £15.90</t>
        </r>
      </text>
    </comment>
    <comment ref="AZ32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£0.01      £1.10
  1000   £0.00      £2.94
  5000   £0.00      £5.45
 15000   £0.00     £13.95
 50000   £0.00     £43.00
100000   £0.00     £78.00</t>
        </r>
      </text>
    </comment>
    <comment ref="AZ33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100   £0.03      £2.60
  1000   £0.02     £16.87
  5000   £0.01     £46.75</t>
        </r>
      </text>
    </comment>
    <comment ref="AZ35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5   £0.35      £1.73
    25   £0.25      £6.21
   100   £0.18     £18.49
   250   £0.16     £39.32
  1000   £0.15    £147.52</t>
        </r>
      </text>
    </comment>
    <comment ref="AZ37" authorId="0">
      <text>
        <r>
          <rPr>
            <sz val="11"/>
            <color rgb="FF000000"/>
            <rFont val="Calibri"/>
            <family val="2"/>
            <charset val="1"/>
          </rPr>
          <t xml:space="preserve">Qty/Price Breaks (GBP):
  Qty  -  Unit£  -  Ext£
================
     1   £0.81      £0.81
     5   £0.53      £2.67
    20   £0.45      £9.02
   100   £0.41     £40.97</t>
        </r>
      </text>
    </comment>
    <comment ref="BA6" authorId="0">
      <text>
        <r>
          <rPr>
            <sz val="11"/>
            <color rgb="FF000000"/>
            <rFont val="Calibri"/>
            <family val="2"/>
            <charset val="1"/>
          </rPr>
          <t xml:space="preserve">Minimum Order Quantity. You must buy at least this ammount of components.</t>
        </r>
      </text>
    </comment>
    <comment ref="BB6" authorId="0">
      <text>
        <r>
          <rPr>
            <sz val="11"/>
            <color rgb="FF000000"/>
            <rFont val="Calibri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BC3" authorId="0">
      <text>
        <r>
          <rPr>
            <sz val="11"/>
            <color rgb="FF000000"/>
            <rFont val="Calibri"/>
            <family val="2"/>
            <charset val="1"/>
          </rPr>
          <t xml:space="preserve">Number of parts found at this distributor.</t>
        </r>
      </text>
    </comment>
    <comment ref="BC6" authorId="0">
      <text>
        <r>
          <rPr>
            <sz val="11"/>
            <color rgb="FF000000"/>
            <rFont val="Calibri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<sst xmlns="http://schemas.openxmlformats.org/spreadsheetml/2006/main" count="304" uniqueCount="210">
  <si>
    <t xml:space="preserve">Prj:</t>
  </si>
  <si>
    <t xml:space="preserve">din_energy_meter.xml</t>
  </si>
  <si>
    <t xml:space="preserve">Board Qty:</t>
  </si>
  <si>
    <t xml:space="preserve">Co.:</t>
  </si>
  <si>
    <t xml:space="preserve">Unit Cost:</t>
  </si>
  <si>
    <t xml:space="preserve">Prj date:</t>
  </si>
  <si>
    <t xml:space="preserve">sob, 25 lut 2023, 14:41:14</t>
  </si>
  <si>
    <t xml:space="preserve">Total Cost:</t>
  </si>
  <si>
    <t xml:space="preserve">$ date:</t>
  </si>
  <si>
    <t xml:space="preserve">2023-02-25 14:41:14</t>
  </si>
  <si>
    <t xml:space="preserve">Global Part Info</t>
  </si>
  <si>
    <t xml:space="preserve">Arrow</t>
  </si>
  <si>
    <t xml:space="preserve">Digi-Key</t>
  </si>
  <si>
    <t xml:space="preserve">Farnell</t>
  </si>
  <si>
    <t xml:space="preserve">LCSC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</si>
  <si>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</si>
  <si>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</si>
  <si>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</si>
  <si>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</si>
  <si>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</si>
  <si>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</si>
  <si>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</si>
  <si>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</si>
  <si>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</si>
  <si>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</si>
  <si>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</si>
  <si>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</si>
  <si>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</si>
  <si>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MOQ</t>
  </si>
  <si>
    <t xml:space="preserve">Cat#</t>
  </si>
  <si>
    <t xml:space="preserve">C1</t>
  </si>
  <si>
    <t xml:space="preserve">X2 100nF/275Vac</t>
  </si>
  <si>
    <t xml:space="preserve">C_Rect_L18.0mm_W5.0mm_P15.00mm_FKS3_FKP3</t>
  </si>
  <si>
    <t xml:space="preserve">R46KI3100JHM1K</t>
  </si>
  <si>
    <t xml:space="preserve">399-R46KI3100JHM1K-ND</t>
  </si>
  <si>
    <t xml:space="preserve">NonStk</t>
  </si>
  <si>
    <t xml:space="preserve">2936551</t>
  </si>
  <si>
    <t xml:space="preserve">80-R46KI3100JHM1K</t>
  </si>
  <si>
    <t xml:space="preserve">91AC0455</t>
  </si>
  <si>
    <t xml:space="preserve">C2</t>
  </si>
  <si>
    <t xml:space="preserve">1uF</t>
  </si>
  <si>
    <t xml:space="preserve">C_0603_1608Metric_Pad1.08x0.95mm_HandSolder</t>
  </si>
  <si>
    <t xml:space="preserve">0603B105K100CT</t>
  </si>
  <si>
    <t xml:space="preserve">1292-0603B105K100CT-ND</t>
  </si>
  <si>
    <t xml:space="preserve">3764119</t>
  </si>
  <si>
    <t xml:space="preserve">791-0603B105K100CT</t>
  </si>
  <si>
    <t xml:space="preserve">50AJ6304</t>
  </si>
  <si>
    <t xml:space="preserve">C3-C5,C10,C12,C15,C26,C28,C31,C39-C50</t>
  </si>
  <si>
    <t xml:space="preserve">18nF</t>
  </si>
  <si>
    <t xml:space="preserve">VJ0603Y183JXACW1BC</t>
  </si>
  <si>
    <t xml:space="preserve">720-VJ0603Y183JXACW1BCCT-ND</t>
  </si>
  <si>
    <t xml:space="preserve">77-VJ0603Y183JXACBC</t>
  </si>
  <si>
    <t xml:space="preserve">38AH3190</t>
  </si>
  <si>
    <t xml:space="preserve">C6</t>
  </si>
  <si>
    <t xml:space="preserve">100uF</t>
  </si>
  <si>
    <t xml:space="preserve">CP_Radial_D6.3mm_P2.50mm</t>
  </si>
  <si>
    <t xml:space="preserve">ECEA0JKS101</t>
  </si>
  <si>
    <t xml:space="preserve">ECE-A0JKS101</t>
  </si>
  <si>
    <t xml:space="preserve">P958-ND</t>
  </si>
  <si>
    <t xml:space="preserve">1901988</t>
  </si>
  <si>
    <t xml:space="preserve">667-ECE-A0JKS101</t>
  </si>
  <si>
    <t xml:space="preserve">55T0198</t>
  </si>
  <si>
    <t xml:space="preserve">116767</t>
  </si>
  <si>
    <t xml:space="preserve">C7,C23</t>
  </si>
  <si>
    <t xml:space="preserve">4.7uF</t>
  </si>
  <si>
    <t xml:space="preserve">0603X475K100CT</t>
  </si>
  <si>
    <t xml:space="preserve">1292-0603X475K100CT-ND</t>
  </si>
  <si>
    <t xml:space="preserve">2496929</t>
  </si>
  <si>
    <t xml:space="preserve">791-0603X475K100CT</t>
  </si>
  <si>
    <t xml:space="preserve">C8,C9,C11,C14,C16-C18,C24,C25,C27,C30,C32</t>
  </si>
  <si>
    <t xml:space="preserve">100nF</t>
  </si>
  <si>
    <t xml:space="preserve">06033C104KAT2A</t>
  </si>
  <si>
    <t xml:space="preserve">478-3714-1-ND</t>
  </si>
  <si>
    <t xml:space="preserve">2530141</t>
  </si>
  <si>
    <t xml:space="preserve">581-06033C104KAT2A</t>
  </si>
  <si>
    <t xml:space="preserve">96M1263</t>
  </si>
  <si>
    <t xml:space="preserve">1356595</t>
  </si>
  <si>
    <t xml:space="preserve">C13,C29</t>
  </si>
  <si>
    <t xml:space="preserve">10uF</t>
  </si>
  <si>
    <t xml:space="preserve">0603X106K6R3CT</t>
  </si>
  <si>
    <t xml:space="preserve">1292-0603X106K6R3CT-ND</t>
  </si>
  <si>
    <t xml:space="preserve">3764145</t>
  </si>
  <si>
    <t xml:space="preserve">791-0603X106K6R3CT</t>
  </si>
  <si>
    <t xml:space="preserve">50AJ6327</t>
  </si>
  <si>
    <t xml:space="preserve">D1</t>
  </si>
  <si>
    <t xml:space="preserve">D_TVS</t>
  </si>
  <si>
    <t xml:space="preserve">D_SOD-523</t>
  </si>
  <si>
    <t xml:space="preserve">ESD5Z3V3</t>
  </si>
  <si>
    <t xml:space="preserve">637-ESD5Z3V3</t>
  </si>
  <si>
    <t xml:space="preserve">ESD5Z3V3-DIO</t>
  </si>
  <si>
    <t xml:space="preserve">D2</t>
  </si>
  <si>
    <t xml:space="preserve">3v3</t>
  </si>
  <si>
    <t xml:space="preserve">D_0603_1608Metric</t>
  </si>
  <si>
    <t xml:space="preserve">RF-GNB191TS-CF</t>
  </si>
  <si>
    <t xml:space="preserve">F1</t>
  </si>
  <si>
    <t xml:space="preserve">120mA polyfuse</t>
  </si>
  <si>
    <t xml:space="preserve">Fuse_BelFuse_0ZRE0012FF_L8.3mm_W3.8mm</t>
  </si>
  <si>
    <t xml:space="preserve">0ZRE0012FF1C</t>
  </si>
  <si>
    <t xml:space="preserve">507-1350-ND</t>
  </si>
  <si>
    <t xml:space="preserve">530-0ZRE0012FF1C</t>
  </si>
  <si>
    <t xml:space="preserve">58AC4734</t>
  </si>
  <si>
    <t xml:space="preserve">IC1,IC2</t>
  </si>
  <si>
    <t xml:space="preserve">ATM90E32AS</t>
  </si>
  <si>
    <t xml:space="preserve">TQFP-48_7x7mm_P0.5mm</t>
  </si>
  <si>
    <t xml:space="preserve">ATM90E36A-AU-Y</t>
  </si>
  <si>
    <t xml:space="preserve">ATM90E36A-AU-Y-ND</t>
  </si>
  <si>
    <t xml:space="preserve">2851659</t>
  </si>
  <si>
    <t xml:space="preserve">556-ATM90E36A-AU-Y</t>
  </si>
  <si>
    <t xml:space="preserve">55AC1236</t>
  </si>
  <si>
    <t xml:space="preserve">1773688P</t>
  </si>
  <si>
    <t xml:space="preserve">J1</t>
  </si>
  <si>
    <t xml:space="preserve">PWR</t>
  </si>
  <si>
    <t xml:space="preserve">PinHeader_1x02_P2.54mm_Vertical</t>
  </si>
  <si>
    <t xml:space="preserve">J2</t>
  </si>
  <si>
    <t xml:space="preserve">PHASE_CONN</t>
  </si>
  <si>
    <t xml:space="preserve">PhoenixContact_MC_1,5_6-G-5.08_1x06_P5.08mm_Horizontal</t>
  </si>
  <si>
    <t xml:space="preserve">J3</t>
  </si>
  <si>
    <t xml:space="preserve">GNDREF</t>
  </si>
  <si>
    <t xml:space="preserve">PinHeader_1x01_P2.54mm_Vertical</t>
  </si>
  <si>
    <t xml:space="preserve">J4</t>
  </si>
  <si>
    <t xml:space="preserve">Conn_02x06_Odd_Even</t>
  </si>
  <si>
    <t xml:space="preserve">PinHeader_2x06_P2.54mm_Horizontal</t>
  </si>
  <si>
    <t xml:space="preserve">J7,J11</t>
  </si>
  <si>
    <t xml:space="preserve">CF_${IC}</t>
  </si>
  <si>
    <t xml:space="preserve">PinHeader_1x03_P2.54mm_Vertical</t>
  </si>
  <si>
    <t xml:space="preserve">J8</t>
  </si>
  <si>
    <t xml:space="preserve">MCU_CONN</t>
  </si>
  <si>
    <t xml:space="preserve">PinHeader_1x10_P2.54mm_Vertical</t>
  </si>
  <si>
    <t xml:space="preserve">J9,J10</t>
  </si>
  <si>
    <t xml:space="preserve">PowerBoard</t>
  </si>
  <si>
    <t xml:space="preserve">PinHeader_2x10_P2.54mm_Vertical</t>
  </si>
  <si>
    <t xml:space="preserve">J12</t>
  </si>
  <si>
    <t xml:space="preserve">Conn_01x02</t>
  </si>
  <si>
    <t xml:space="preserve">L1</t>
  </si>
  <si>
    <t xml:space="preserve">270 nH</t>
  </si>
  <si>
    <t xml:space="preserve">L_1206_3216Metric</t>
  </si>
  <si>
    <t xml:space="preserve">AIML-1206-R27K-T</t>
  </si>
  <si>
    <t xml:space="preserve">535-11684-1-ND</t>
  </si>
  <si>
    <t xml:space="preserve">815-AIML-1206-R27KT</t>
  </si>
  <si>
    <t xml:space="preserve">96W8210</t>
  </si>
  <si>
    <t xml:space="preserve">PS1</t>
  </si>
  <si>
    <t xml:space="preserve">HLK-PM03</t>
  </si>
  <si>
    <t xml:space="preserve">Converter_ACDC_HiLink_HLK-PMxx</t>
  </si>
  <si>
    <t xml:space="preserve">CL160808T-R27K-N </t>
  </si>
  <si>
    <t xml:space="preserve">PS2</t>
  </si>
  <si>
    <t xml:space="preserve">AM1SS-0303S</t>
  </si>
  <si>
    <t xml:space="preserve">Converter_DCDC_SIP4_THT</t>
  </si>
  <si>
    <t xml:space="preserve">AM1SS-0303S-NZ</t>
  </si>
  <si>
    <t xml:space="preserve">27AK8762</t>
  </si>
  <si>
    <t xml:space="preserve">R1-R12</t>
  </si>
  <si>
    <t xml:space="preserve">220K</t>
  </si>
  <si>
    <t xml:space="preserve">R_1206_3216Metric_Pad1.30x1.75mm_HandSolder</t>
  </si>
  <si>
    <t xml:space="preserve">ARG06DTC2203</t>
  </si>
  <si>
    <t xml:space="preserve">ARG1206-220K-0.5%</t>
  </si>
  <si>
    <t xml:space="preserve">R13-R18,R34-R36,R72-R77,R87-R92</t>
  </si>
  <si>
    <t xml:space="preserve">1K</t>
  </si>
  <si>
    <t xml:space="preserve">R_0603_1608Metric_Pad0.98x0.95mm_HandSolder</t>
  </si>
  <si>
    <t xml:space="preserve">AC0603FR-071KL</t>
  </si>
  <si>
    <t xml:space="preserve">311-1KLDCT-ND</t>
  </si>
  <si>
    <t xml:space="preserve">3495238</t>
  </si>
  <si>
    <t xml:space="preserve">603-AC0603FR-071KL</t>
  </si>
  <si>
    <t xml:space="preserve">49AK0481</t>
  </si>
  <si>
    <t xml:space="preserve">1978033</t>
  </si>
  <si>
    <t xml:space="preserve">R19,R37,R52-R56</t>
  </si>
  <si>
    <t xml:space="preserve">10K</t>
  </si>
  <si>
    <t xml:space="preserve">AC0603FR-0710KL</t>
  </si>
  <si>
    <t xml:space="preserve">311-10KLDCT-ND</t>
  </si>
  <si>
    <t xml:space="preserve">3495224</t>
  </si>
  <si>
    <t xml:space="preserve">603-AC0603FR-0710KL</t>
  </si>
  <si>
    <t xml:space="preserve">82AH6475</t>
  </si>
  <si>
    <t xml:space="preserve">1978014</t>
  </si>
  <si>
    <t xml:space="preserve">R22</t>
  </si>
  <si>
    <t xml:space="preserve">27</t>
  </si>
  <si>
    <t xml:space="preserve">0603SAF270JT5E</t>
  </si>
  <si>
    <t xml:space="preserve">303-0603SAF270JT5E</t>
  </si>
  <si>
    <t xml:space="preserve">SMD0603-27R-1%</t>
  </si>
  <si>
    <t xml:space="preserve">R63-R65,R78-R80</t>
  </si>
  <si>
    <t xml:space="preserve">20</t>
  </si>
  <si>
    <t xml:space="preserve">R_1206_3216Metric</t>
  </si>
  <si>
    <t xml:space="preserve">ARG06DTC0200</t>
  </si>
  <si>
    <t xml:space="preserve">ARG1206-20R-0.5%</t>
  </si>
  <si>
    <t xml:space="preserve">R66-R71,R81-R86</t>
  </si>
  <si>
    <t xml:space="preserve">2.4</t>
  </si>
  <si>
    <t xml:space="preserve">RV1-RV3</t>
  </si>
  <si>
    <t xml:space="preserve">275 VAC</t>
  </si>
  <si>
    <t xml:space="preserve">CU3225</t>
  </si>
  <si>
    <t xml:space="preserve">B72650M0271K072</t>
  </si>
  <si>
    <t xml:space="preserve">495-2388-1-ND</t>
  </si>
  <si>
    <t xml:space="preserve">9958533</t>
  </si>
  <si>
    <t xml:space="preserve">871-B72650M0271K072</t>
  </si>
  <si>
    <t xml:space="preserve">34M5347</t>
  </si>
  <si>
    <t xml:space="preserve">7691993</t>
  </si>
  <si>
    <t xml:space="preserve">B72650M271K72</t>
  </si>
  <si>
    <t xml:space="preserve">U5</t>
  </si>
  <si>
    <t xml:space="preserve">Π161M31</t>
  </si>
  <si>
    <t xml:space="preserve">SOIC-16_4.55x10.3mm_P1.27mm</t>
  </si>
  <si>
    <t xml:space="preserve">PAI161M31</t>
  </si>
  <si>
    <t xml:space="preserve">Y1,Y2</t>
  </si>
  <si>
    <t xml:space="preserve">16.384MHz</t>
  </si>
  <si>
    <t xml:space="preserve">Crystal_SMD_2520-4Pin_2.5x2.0mm</t>
  </si>
  <si>
    <t xml:space="preserve">LFXTAL069395CUTT</t>
  </si>
  <si>
    <t xml:space="preserve">1923-1355-1-ND</t>
  </si>
  <si>
    <t xml:space="preserve">449-LFXTAL069395CUTT</t>
  </si>
  <si>
    <t xml:space="preserve">16.3840M-CFPX-218</t>
  </si>
  <si>
    <t xml:space="preserve">Used currency rates:</t>
  </si>
  <si>
    <t xml:space="preserve">Total Purchase:</t>
  </si>
  <si>
    <t xml:space="preserve">Buy here</t>
  </si>
  <si>
    <t xml:space="preserve">USD($)/GBP(£):</t>
  </si>
  <si>
    <t xml:space="preserve">Purchase description:</t>
  </si>
  <si>
    <t xml:space="preserve">KiCost® v1.1.15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</si>
</sst>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General"/>
    <numFmt numFmtId="167" formatCode="\$#,##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4000"/>
      </patternFill>
    </fill>
    <fill>
      <patternFill patternType="solid">
        <fgColor rgb="FF1166DD"/>
        <bgColor rgb="FF3366FF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  <fill>
      <patternFill patternType="solid">
        <fgColor rgb="FFFF4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1166D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FF4000"/>
      <rgbColor rgb="FF993366"/>
      <rgbColor rgb="FF0C4DA1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ctopart.com/click/track?ai=8078&amp;sig=0d9e435&amp;sid=459&amp;ppid=20014343&amp;vpid=658234598&amp;ct=offers" TargetMode="External"/><Relationship Id="rId3" Type="http://schemas.openxmlformats.org/officeDocument/2006/relationships/hyperlink" Target="https://octopart.com/click/track?c=1&amp;ai=8078&amp;sig=0a215c6&amp;sid=819&amp;ppid=20014343&amp;vpid=508109401&amp;ct=offers" TargetMode="External"/><Relationship Id="rId4" Type="http://schemas.openxmlformats.org/officeDocument/2006/relationships/hyperlink" Target="https://octopart.com/click/track?ai=8078&amp;sig=02b7bfd&amp;sid=2401&amp;ppid=20014343&amp;vpid=40138411&amp;ct=offers" TargetMode="External"/><Relationship Id="rId5" Type="http://schemas.openxmlformats.org/officeDocument/2006/relationships/hyperlink" Target="https://octopart.com/click/track?c=1&amp;ai=8078&amp;sig=0f080cc&amp;sid=2402&amp;ppid=20014343&amp;vpid=524279401&amp;ct=offers" TargetMode="External"/><Relationship Id="rId6" Type="http://schemas.openxmlformats.org/officeDocument/2006/relationships/hyperlink" Target="https://octopart.com/click/track?ai=8078&amp;sig=085925f&amp;sid=1106&amp;ppid=23395230&amp;vpid=435019830&amp;ct=offers" TargetMode="External"/><Relationship Id="rId7" Type="http://schemas.openxmlformats.org/officeDocument/2006/relationships/hyperlink" Target="https://octopart.com/click/track?ai=8078&amp;sig=02cb6c4&amp;sid=459&amp;ppid=23395230&amp;vpid=752151002&amp;ct=offers" TargetMode="External"/><Relationship Id="rId8" Type="http://schemas.openxmlformats.org/officeDocument/2006/relationships/hyperlink" Target="https://octopart.com/click/track?ai=8078&amp;sig=0e46b60&amp;sid=819&amp;ppid=23395230&amp;vpid=828845308&amp;ct=offers" TargetMode="External"/><Relationship Id="rId9" Type="http://schemas.openxmlformats.org/officeDocument/2006/relationships/hyperlink" Target="https://octopart.com/click/track?ai=8078&amp;sig=07ec92e&amp;sid=2401&amp;ppid=23395230&amp;vpid=531631462&amp;ct=offers" TargetMode="External"/><Relationship Id="rId10" Type="http://schemas.openxmlformats.org/officeDocument/2006/relationships/hyperlink" Target="https://octopart.com/click/track?ai=8078&amp;sig=0c6b5c1&amp;sid=2402&amp;ppid=23395230&amp;vpid=719400762&amp;ct=offers" TargetMode="External"/><Relationship Id="rId11" Type="http://schemas.openxmlformats.org/officeDocument/2006/relationships/hyperlink" Target="https://octopart.com/click/track?ai=8078&amp;sig=080ccdd&amp;sid=1532&amp;ppid=23395230&amp;vpid=709247350&amp;ct=offers" TargetMode="External"/><Relationship Id="rId12" Type="http://schemas.openxmlformats.org/officeDocument/2006/relationships/hyperlink" Target="https://octopart.com/click/track?ai=8078&amp;sig=0bca6ad&amp;sid=1106&amp;ppid=44635118&amp;vpid=473543330&amp;ct=offers" TargetMode="External"/><Relationship Id="rId13" Type="http://schemas.openxmlformats.org/officeDocument/2006/relationships/hyperlink" Target="https://octopart.com/click/track?ai=8078&amp;sig=06d9179&amp;sid=459&amp;ppid=44635118&amp;vpid=720444692&amp;ct=offers" TargetMode="External"/><Relationship Id="rId14" Type="http://schemas.openxmlformats.org/officeDocument/2006/relationships/hyperlink" Target="https://octopart.com/click/track?ai=8078&amp;sig=06e8837&amp;sid=2401&amp;ppid=44635118&amp;vpid=120235442&amp;ct=offers" TargetMode="External"/><Relationship Id="rId15" Type="http://schemas.openxmlformats.org/officeDocument/2006/relationships/hyperlink" Target="https://octopart.com/click/track?c=1&amp;ai=8078&amp;sig=09761bd&amp;sid=2402&amp;ppid=44635118&amp;vpid=588784234&amp;ct=offers" TargetMode="External"/><Relationship Id="rId16" Type="http://schemas.openxmlformats.org/officeDocument/2006/relationships/hyperlink" Target="https://octopart.com/click/track?ai=8078&amp;sig=0d71c76&amp;sid=1532&amp;ppid=44635118&amp;vpid=709245379&amp;ct=offers" TargetMode="External"/><Relationship Id="rId17" Type="http://schemas.openxmlformats.org/officeDocument/2006/relationships/hyperlink" Target="https://octopart.com/click/track?ai=8078&amp;sig=0f45c19&amp;sid=1106&amp;ppid=39480107&amp;vpid=473390767&amp;ct=offers" TargetMode="External"/><Relationship Id="rId18" Type="http://schemas.openxmlformats.org/officeDocument/2006/relationships/hyperlink" Target="https://octopart.com/click/track?ai=8078&amp;sig=0bcf554&amp;sid=459&amp;ppid=39480107&amp;vpid=115650943&amp;ct=offers" TargetMode="External"/><Relationship Id="rId19" Type="http://schemas.openxmlformats.org/officeDocument/2006/relationships/hyperlink" Target="https://octopart.com/click/track?ai=8078&amp;sig=0d6ed47&amp;sid=11744&amp;ppid=39480107&amp;vpid=132556259&amp;ct=offers" TargetMode="External"/><Relationship Id="rId20" Type="http://schemas.openxmlformats.org/officeDocument/2006/relationships/hyperlink" Target="https://octopart.com/click/track?c=1&amp;ai=8078&amp;sig=0b64973&amp;sid=2401&amp;ppid=39480107&amp;vpid=116510917&amp;ct=offers" TargetMode="External"/><Relationship Id="rId21" Type="http://schemas.openxmlformats.org/officeDocument/2006/relationships/hyperlink" Target="https://octopart.com/click/track?ai=8078&amp;sig=0df52cc&amp;sid=2402&amp;ppid=39480107&amp;vpid=115392437&amp;ct=offers" TargetMode="External"/><Relationship Id="rId22" Type="http://schemas.openxmlformats.org/officeDocument/2006/relationships/hyperlink" Target="https://octopart.com/click/track?ai=8078&amp;sig=0fe3259&amp;sid=10022&amp;ppid=39480107&amp;vpid=199096295&amp;ct=offers" TargetMode="External"/><Relationship Id="rId23" Type="http://schemas.openxmlformats.org/officeDocument/2006/relationships/hyperlink" Target="https://octopart.com/click/track?ai=8078&amp;sig=0db0431&amp;sid=1532&amp;ppid=39480107&amp;vpid=709128352&amp;ct=offers" TargetMode="External"/><Relationship Id="rId24" Type="http://schemas.openxmlformats.org/officeDocument/2006/relationships/hyperlink" Target="https://octopart.com/click/track?ai=8078&amp;sig=0f582cf&amp;sid=459&amp;ppid=23760611&amp;vpid=751474041&amp;ct=offers" TargetMode="External"/><Relationship Id="rId25" Type="http://schemas.openxmlformats.org/officeDocument/2006/relationships/hyperlink" Target="https://octopart.com/click/track?c=1&amp;ai=8078&amp;sig=0838894&amp;sid=819&amp;ppid=23760611&amp;vpid=238084392&amp;ct=offers" TargetMode="External"/><Relationship Id="rId26" Type="http://schemas.openxmlformats.org/officeDocument/2006/relationships/hyperlink" Target="https://octopart.com/click/track?ai=8078&amp;sig=07a0b57&amp;sid=2401&amp;ppid=23760611&amp;vpid=531631706&amp;ct=offers" TargetMode="External"/><Relationship Id="rId27" Type="http://schemas.openxmlformats.org/officeDocument/2006/relationships/hyperlink" Target="https://octopart.com/click/track?ai=8078&amp;sig=0551518&amp;sid=1532&amp;ppid=23760611&amp;vpid=709247440&amp;ct=offers" TargetMode="External"/><Relationship Id="rId28" Type="http://schemas.openxmlformats.org/officeDocument/2006/relationships/hyperlink" Target="https://octopart.com/click/track?ai=8078&amp;sig=096d4ad&amp;sid=1106&amp;ppid=39590598&amp;vpid=770669375&amp;ct=offers" TargetMode="External"/><Relationship Id="rId29" Type="http://schemas.openxmlformats.org/officeDocument/2006/relationships/hyperlink" Target="https://octopart.com/click/track?ai=8078&amp;sig=069d21e&amp;sid=459&amp;ppid=39590598&amp;vpid=770903829&amp;ct=offers" TargetMode="External"/><Relationship Id="rId30" Type="http://schemas.openxmlformats.org/officeDocument/2006/relationships/hyperlink" Target="https://octopart.com/click/track?ai=8078&amp;sig=0d840be&amp;sid=11744&amp;ppid=39590598&amp;vpid=772886336&amp;ct=offers" TargetMode="External"/><Relationship Id="rId31" Type="http://schemas.openxmlformats.org/officeDocument/2006/relationships/hyperlink" Target="https://octopart.com/click/track?ai=8078&amp;sig=0f1bb4d&amp;sid=2401&amp;ppid=39590598&amp;vpid=771169314&amp;ct=offers" TargetMode="External"/><Relationship Id="rId32" Type="http://schemas.openxmlformats.org/officeDocument/2006/relationships/hyperlink" Target="https://octopart.com/click/track?ai=8078&amp;sig=06c45c6&amp;sid=2402&amp;ppid=39590598&amp;vpid=772844523&amp;ct=offers" TargetMode="External"/><Relationship Id="rId33" Type="http://schemas.openxmlformats.org/officeDocument/2006/relationships/hyperlink" Target="https://octopart.com/click/track?ai=8078&amp;sig=0fe29cb&amp;sid=10022&amp;ppid=39590598&amp;vpid=500983576&amp;ct=offers" TargetMode="External"/><Relationship Id="rId34" Type="http://schemas.openxmlformats.org/officeDocument/2006/relationships/hyperlink" Target="https://octopart.com/click/track?ai=8078&amp;sig=0d59a35&amp;sid=1532&amp;ppid=39590598&amp;vpid=769977700&amp;ct=offers" TargetMode="External"/><Relationship Id="rId35" Type="http://schemas.openxmlformats.org/officeDocument/2006/relationships/hyperlink" Target="https://octopart.com/click/track?ai=8078&amp;sig=0fa8e71&amp;sid=1106&amp;ppid=50418793&amp;vpid=418195488&amp;ct=offers" TargetMode="External"/><Relationship Id="rId36" Type="http://schemas.openxmlformats.org/officeDocument/2006/relationships/hyperlink" Target="https://octopart.com/click/track?ai=8078&amp;sig=081b751&amp;sid=459&amp;ppid=50418793&amp;vpid=752151067&amp;ct=offers" TargetMode="External"/><Relationship Id="rId37" Type="http://schemas.openxmlformats.org/officeDocument/2006/relationships/hyperlink" Target="https://octopart.com/click/track?ai=8078&amp;sig=0025fef&amp;sid=819&amp;ppid=50418793&amp;vpid=828845351&amp;ct=offers" TargetMode="External"/><Relationship Id="rId38" Type="http://schemas.openxmlformats.org/officeDocument/2006/relationships/hyperlink" Target="https://octopart.com/click/track?ai=8078&amp;sig=0c4db15&amp;sid=2401&amp;ppid=50418793&amp;vpid=531631688&amp;ct=offers" TargetMode="External"/><Relationship Id="rId39" Type="http://schemas.openxmlformats.org/officeDocument/2006/relationships/hyperlink" Target="https://octopart.com/click/track?ai=8078&amp;sig=06d308f&amp;sid=2402&amp;ppid=50418793&amp;vpid=719400785&amp;ct=offers" TargetMode="External"/><Relationship Id="rId40" Type="http://schemas.openxmlformats.org/officeDocument/2006/relationships/hyperlink" Target="https://octopart.com/click/track?ai=8078&amp;sig=043e844&amp;sid=1532&amp;ppid=50418793&amp;vpid=878166210&amp;ct=offers" TargetMode="External"/><Relationship Id="rId41" Type="http://schemas.openxmlformats.org/officeDocument/2006/relationships/hyperlink" Target="https://octopart.com/click/track?ai=8078&amp;sig=066cd02&amp;sid=2401&amp;ppid=93126590&amp;vpid=808546162&amp;ct=offers" TargetMode="External"/><Relationship Id="rId42" Type="http://schemas.openxmlformats.org/officeDocument/2006/relationships/hyperlink" Target="https://octopart.com/click/track?ai=8078&amp;sig=0500459&amp;sid=1532&amp;ppid=93126590&amp;vpid=707850701&amp;ct=offers" TargetMode="External"/><Relationship Id="rId43" Type="http://schemas.openxmlformats.org/officeDocument/2006/relationships/hyperlink" Target="https://octopart.com/click/track?ai=8078&amp;sig=0cbc811&amp;sid=1532&amp;ppid=117692161&amp;vpid=712317848&amp;ct=offers" TargetMode="External"/><Relationship Id="rId44" Type="http://schemas.openxmlformats.org/officeDocument/2006/relationships/hyperlink" Target="https://www.tme.eu/Document/907938f7193985bd7926321a5eeb36df/0ZRE+Sep2016.pdf" TargetMode="External"/><Relationship Id="rId45" Type="http://schemas.openxmlformats.org/officeDocument/2006/relationships/hyperlink" Target="https://octopart.com/click/track?ai=8078&amp;sig=0877e9d&amp;sid=1106&amp;ppid=16963854&amp;vpid=104967227&amp;ct=offers" TargetMode="External"/><Relationship Id="rId46" Type="http://schemas.openxmlformats.org/officeDocument/2006/relationships/hyperlink" Target="https://octopart.com/click/track?ai=8078&amp;sig=06a94dc&amp;sid=459&amp;ppid=16963854&amp;vpid=33596542&amp;ct=offers" TargetMode="External"/><Relationship Id="rId47" Type="http://schemas.openxmlformats.org/officeDocument/2006/relationships/hyperlink" Target="https://octopart.com/click/track?ai=8078&amp;sig=084db7e&amp;sid=2401&amp;ppid=16963854&amp;vpid=210394555&amp;ct=offers" TargetMode="External"/><Relationship Id="rId48" Type="http://schemas.openxmlformats.org/officeDocument/2006/relationships/hyperlink" Target="https://octopart.com/click/track?c=1&amp;ai=8078&amp;sig=0ab400e&amp;sid=2402&amp;ppid=16963854&amp;vpid=508524160&amp;ct=offers" TargetMode="External"/><Relationship Id="rId49" Type="http://schemas.openxmlformats.org/officeDocument/2006/relationships/hyperlink" Target="https://octopart.com/click/track?ai=8078&amp;sig=0e4f024&amp;sid=1532&amp;ppid=16963854&amp;vpid=707800490&amp;ct=offers" TargetMode="External"/><Relationship Id="rId50" Type="http://schemas.openxmlformats.org/officeDocument/2006/relationships/hyperlink" Target="http://ww1.microchip.com/downloads/en/devicedoc/Atmel-46003-SE-M90E32AS-Datasheet.pdf" TargetMode="External"/><Relationship Id="rId51" Type="http://schemas.openxmlformats.org/officeDocument/2006/relationships/hyperlink" Target="https://octopart.com/click/track?ai=8078&amp;sig=0fd6b16&amp;sid=1106&amp;ppid=77759767&amp;vpid=473293160&amp;ct=offers" TargetMode="External"/><Relationship Id="rId52" Type="http://schemas.openxmlformats.org/officeDocument/2006/relationships/hyperlink" Target="https://octopart.com/click/track?ai=8078&amp;sig=0e8341e&amp;sid=459&amp;ppid=77759767&amp;vpid=408716065&amp;ct=offers" TargetMode="External"/><Relationship Id="rId53" Type="http://schemas.openxmlformats.org/officeDocument/2006/relationships/hyperlink" Target="https://octopart.com/click/track?ai=8078&amp;sig=0a1cbe9&amp;sid=11744&amp;ppid=77759767&amp;vpid=478775971&amp;ct=offers" TargetMode="External"/><Relationship Id="rId54" Type="http://schemas.openxmlformats.org/officeDocument/2006/relationships/hyperlink" Target="https://octopart.com/click/track?c=1&amp;ai=8078&amp;sig=0b3a90c&amp;sid=2401&amp;ppid=77759767&amp;vpid=408978359&amp;ct=offers" TargetMode="External"/><Relationship Id="rId55" Type="http://schemas.openxmlformats.org/officeDocument/2006/relationships/hyperlink" Target="https://octopart.com/click/track?ai=8078&amp;sig=0ea5cb5&amp;sid=2402&amp;ppid=77759767&amp;vpid=477464294&amp;ct=offers" TargetMode="External"/><Relationship Id="rId56" Type="http://schemas.openxmlformats.org/officeDocument/2006/relationships/hyperlink" Target="https://octopart.com/click/track?ai=8078&amp;sig=0ebb1fb&amp;sid=10022&amp;ppid=77759767&amp;vpid=576284179&amp;ct=offers" TargetMode="External"/><Relationship Id="rId57" Type="http://schemas.openxmlformats.org/officeDocument/2006/relationships/hyperlink" Target="https://octopart.com/click/track?c=1&amp;ai=8078&amp;sig=0d923a4&amp;sid=1532&amp;ppid=77759767&amp;vpid=709079543&amp;ct=offers" TargetMode="External"/><Relationship Id="rId58" Type="http://schemas.openxmlformats.org/officeDocument/2006/relationships/hyperlink" Target="https://octopart.com/click/track?ai=8078&amp;sig=0644fb9&amp;sid=1106&amp;ppid=20100824&amp;vpid=507086374&amp;ct=offers" TargetMode="External"/><Relationship Id="rId59" Type="http://schemas.openxmlformats.org/officeDocument/2006/relationships/hyperlink" Target="https://octopart.com/click/track?ai=8078&amp;sig=05738c4&amp;sid=459&amp;ppid=20100824&amp;vpid=44466968&amp;ct=offers" TargetMode="External"/><Relationship Id="rId60" Type="http://schemas.openxmlformats.org/officeDocument/2006/relationships/hyperlink" Target="https://octopart.com/click/track?ai=8078&amp;sig=0473fb4&amp;sid=2401&amp;ppid=20100824&amp;vpid=269003347&amp;ct=offers" TargetMode="External"/><Relationship Id="rId61" Type="http://schemas.openxmlformats.org/officeDocument/2006/relationships/hyperlink" Target="https://octopart.com/click/track?c=1&amp;ai=8078&amp;sig=0ca56a2&amp;sid=2402&amp;ppid=20100824&amp;vpid=95831973&amp;ct=offers" TargetMode="External"/><Relationship Id="rId62" Type="http://schemas.openxmlformats.org/officeDocument/2006/relationships/hyperlink" Target="http://www.hlktech.net/product_detail.php?ProId=59" TargetMode="External"/><Relationship Id="rId63" Type="http://schemas.openxmlformats.org/officeDocument/2006/relationships/hyperlink" Target="https://www.tme.eu/pl/details/cl160808t-r27k-n/dlawiki-smd-0603/yageo/" TargetMode="External"/><Relationship Id="rId64" Type="http://schemas.openxmlformats.org/officeDocument/2006/relationships/hyperlink" Target="https://power.murata.com/pub/data/power/ncl/kdc_mee1.pdf" TargetMode="External"/><Relationship Id="rId65" Type="http://schemas.openxmlformats.org/officeDocument/2006/relationships/hyperlink" Target="https://octopart.com/click/track?c=1&amp;ai=8078&amp;sig=0dc0d35&amp;sid=2402&amp;ppid=47202323&amp;vpid=801580070&amp;ct=offers" TargetMode="External"/><Relationship Id="rId66" Type="http://schemas.openxmlformats.org/officeDocument/2006/relationships/hyperlink" Target="https://octopart.com/click/track?ai=8078&amp;sig=0dd2fc3&amp;sid=1532&amp;ppid=47202323&amp;vpid=707755244&amp;ct=offers" TargetMode="External"/><Relationship Id="rId67" Type="http://schemas.openxmlformats.org/officeDocument/2006/relationships/hyperlink" Target="https://octopart.com/click/track?ai=8078&amp;sig=0355751&amp;sid=1532&amp;ppid=81881808&amp;vpid=709238049&amp;ct=offers" TargetMode="External"/><Relationship Id="rId68" Type="http://schemas.openxmlformats.org/officeDocument/2006/relationships/hyperlink" Target="https://octopart.com/click/track?ai=8078&amp;sig=0da5267&amp;sid=1106&amp;ppid=21711097&amp;vpid=712942385&amp;ct=offers" TargetMode="External"/><Relationship Id="rId69" Type="http://schemas.openxmlformats.org/officeDocument/2006/relationships/hyperlink" Target="https://octopart.com/click/track?ai=8078&amp;sig=0beb677&amp;sid=459&amp;ppid=21711097&amp;vpid=48251721&amp;ct=offers" TargetMode="External"/><Relationship Id="rId70" Type="http://schemas.openxmlformats.org/officeDocument/2006/relationships/hyperlink" Target="https://octopart.com/click/track?ai=8078&amp;sig=02465d4&amp;sid=819&amp;ppid=21711097&amp;vpid=653862114&amp;ct=offers" TargetMode="External"/><Relationship Id="rId71" Type="http://schemas.openxmlformats.org/officeDocument/2006/relationships/hyperlink" Target="https://octopart.com/click/track?ai=8078&amp;sig=0c7dd51&amp;sid=2401&amp;ppid=21711097&amp;vpid=47327394&amp;ct=offers" TargetMode="External"/><Relationship Id="rId72" Type="http://schemas.openxmlformats.org/officeDocument/2006/relationships/hyperlink" Target="https://octopart.com/click/track?c=1&amp;ai=8078&amp;sig=08c4470&amp;sid=2402&amp;ppid=21711097&amp;vpid=833155641&amp;ct=offers" TargetMode="External"/><Relationship Id="rId73" Type="http://schemas.openxmlformats.org/officeDocument/2006/relationships/hyperlink" Target="https://octopart.com/click/track?ai=8078&amp;sig=042dc69&amp;sid=10022&amp;ppid=21711097&amp;vpid=625435411&amp;ct=offers" TargetMode="External"/><Relationship Id="rId74" Type="http://schemas.openxmlformats.org/officeDocument/2006/relationships/hyperlink" Target="https://octopart.com/click/track?ai=8078&amp;sig=0dff357&amp;sid=1532&amp;ppid=21711097&amp;vpid=709256810&amp;ct=offers" TargetMode="External"/><Relationship Id="rId75" Type="http://schemas.openxmlformats.org/officeDocument/2006/relationships/hyperlink" Target="https://octopart.com/click/track?ai=8078&amp;sig=078ca9b&amp;sid=1106&amp;ppid=21711091&amp;vpid=525146659&amp;ct=offers" TargetMode="External"/><Relationship Id="rId76" Type="http://schemas.openxmlformats.org/officeDocument/2006/relationships/hyperlink" Target="https://octopart.com/click/track?ai=8078&amp;sig=048749f&amp;sid=459&amp;ppid=21711091&amp;vpid=48251715&amp;ct=offers" TargetMode="External"/><Relationship Id="rId77" Type="http://schemas.openxmlformats.org/officeDocument/2006/relationships/hyperlink" Target="https://octopart.com/click/track?ai=8078&amp;sig=035a96c&amp;sid=819&amp;ppid=21711091&amp;vpid=653862088&amp;ct=offers" TargetMode="External"/><Relationship Id="rId78" Type="http://schemas.openxmlformats.org/officeDocument/2006/relationships/hyperlink" Target="https://octopart.com/click/track?ai=8078&amp;sig=0890030&amp;sid=2401&amp;ppid=21711091&amp;vpid=47327388&amp;ct=offers" TargetMode="External"/><Relationship Id="rId79" Type="http://schemas.openxmlformats.org/officeDocument/2006/relationships/hyperlink" Target="https://octopart.com/click/track?ai=8078&amp;sig=08fa70f&amp;sid=2402&amp;ppid=21711091&amp;vpid=655849759&amp;ct=offers" TargetMode="External"/><Relationship Id="rId80" Type="http://schemas.openxmlformats.org/officeDocument/2006/relationships/hyperlink" Target="https://octopart.com/click/track?ai=8078&amp;sig=062ae61&amp;sid=10022&amp;ppid=21711091&amp;vpid=625435384&amp;ct=offers" TargetMode="External"/><Relationship Id="rId81" Type="http://schemas.openxmlformats.org/officeDocument/2006/relationships/hyperlink" Target="https://octopart.com/click/track?ai=8078&amp;sig=0df3789&amp;sid=1532&amp;ppid=21711091&amp;vpid=709256805&amp;ct=offers" TargetMode="External"/><Relationship Id="rId82" Type="http://schemas.openxmlformats.org/officeDocument/2006/relationships/hyperlink" Target="https://octopart.com/click/track?c=1&amp;ai=8078&amp;sig=07bcc4d&amp;sid=2401&amp;ppid=50586927&amp;vpid=848260658&amp;ct=offers" TargetMode="External"/><Relationship Id="rId83" Type="http://schemas.openxmlformats.org/officeDocument/2006/relationships/hyperlink" Target="https://octopart.com/click/track?ai=8078&amp;sig=099bb44&amp;sid=1532&amp;ppid=50586927&amp;vpid=709151428&amp;ct=offers" TargetMode="External"/><Relationship Id="rId84" Type="http://schemas.openxmlformats.org/officeDocument/2006/relationships/hyperlink" Target="https://octopart.com/click/track?ai=8078&amp;sig=08034d3&amp;sid=1532&amp;ppid=117725499&amp;vpid=716008692&amp;ct=offers" TargetMode="External"/><Relationship Id="rId85" Type="http://schemas.openxmlformats.org/officeDocument/2006/relationships/hyperlink" Target="https://octopart.com/click/track?ai=8078&amp;sig=0b6aa59&amp;sid=1106&amp;ppid=11760851&amp;vpid=864848381&amp;ct=offers" TargetMode="External"/><Relationship Id="rId86" Type="http://schemas.openxmlformats.org/officeDocument/2006/relationships/hyperlink" Target="https://octopart.com/click/track?ai=8078&amp;sig=0add487&amp;sid=459&amp;ppid=11760851&amp;vpid=441542126&amp;ct=offers" TargetMode="External"/><Relationship Id="rId87" Type="http://schemas.openxmlformats.org/officeDocument/2006/relationships/hyperlink" Target="https://octopart.com/click/track?ai=8078&amp;sig=064fd41&amp;sid=11744&amp;ppid=11760851&amp;vpid=194181755&amp;ct=offers" TargetMode="External"/><Relationship Id="rId88" Type="http://schemas.openxmlformats.org/officeDocument/2006/relationships/hyperlink" Target="https://octopart.com/click/track?ai=8078&amp;sig=0b16769&amp;sid=2401&amp;ppid=11760851&amp;vpid=42614561&amp;ct=offers" TargetMode="External"/><Relationship Id="rId89" Type="http://schemas.openxmlformats.org/officeDocument/2006/relationships/hyperlink" Target="https://octopart.com/click/track?c=1&amp;ai=8078&amp;sig=08f2c19&amp;sid=2402&amp;ppid=11760851&amp;vpid=198960057&amp;ct=offers" TargetMode="External"/><Relationship Id="rId90" Type="http://schemas.openxmlformats.org/officeDocument/2006/relationships/hyperlink" Target="https://octopart.com/click/track?ai=8078&amp;sig=0aa7f29&amp;sid=10022&amp;ppid=11760851&amp;vpid=229316461&amp;ct=offers" TargetMode="External"/><Relationship Id="rId91" Type="http://schemas.openxmlformats.org/officeDocument/2006/relationships/hyperlink" Target="https://octopart.com/click/track?ai=8078&amp;sig=0f6f2ac&amp;sid=1532&amp;ppid=11760851&amp;vpid=707881342&amp;ct=offers" TargetMode="External"/><Relationship Id="rId92" Type="http://schemas.openxmlformats.org/officeDocument/2006/relationships/hyperlink" Target="https://www.tme.eu/Document/adeb9fdb0591ca86c726a8f870a6b0a3/PAI16xM3x_PAI16xM6x.pdf" TargetMode="External"/><Relationship Id="rId93" Type="http://schemas.openxmlformats.org/officeDocument/2006/relationships/hyperlink" Target="https://www.tme.eu/Document/746e65f8387f34db343fe6d2f6181449/LFXTAL069395CUTT.pdf" TargetMode="External"/><Relationship Id="rId94" Type="http://schemas.openxmlformats.org/officeDocument/2006/relationships/hyperlink" Target="https://octopart.com/click/track?ai=8078&amp;sig=0442bfd&amp;sid=459&amp;ppid=65452348&amp;vpid=705503096&amp;ct=offers" TargetMode="External"/><Relationship Id="rId95" Type="http://schemas.openxmlformats.org/officeDocument/2006/relationships/hyperlink" Target="https://octopart.com/click/track?ai=8078&amp;sig=0ca7c83&amp;sid=2401&amp;ppid=65452348&amp;vpid=456356865&amp;ct=offers" TargetMode="External"/><Relationship Id="rId96" Type="http://schemas.openxmlformats.org/officeDocument/2006/relationships/hyperlink" Target="https://octopart.com/click/track?ai=8078&amp;sig=038e80a&amp;sid=1532&amp;ppid=65452348&amp;vpid=709031548&amp;ct=offers" TargetMode="External"/><Relationship Id="rId97" Type="http://schemas.openxmlformats.org/officeDocument/2006/relationships/hyperlink" Target="https://www.arrow.com/en/bom-tool/" TargetMode="External"/><Relationship Id="rId98" Type="http://schemas.openxmlformats.org/officeDocument/2006/relationships/hyperlink" Target="https://www.digikey.com/ordering/shoppingcart" TargetMode="External"/><Relationship Id="rId99" Type="http://schemas.openxmlformats.org/officeDocument/2006/relationships/hyperlink" Target="https://fr.farnell.com/en-FR/quick-order?isQuickPaste=true" TargetMode="External"/><Relationship Id="rId100" Type="http://schemas.openxmlformats.org/officeDocument/2006/relationships/hyperlink" Target="https://lcsc.com/bom.html" TargetMode="External"/><Relationship Id="rId101" Type="http://schemas.openxmlformats.org/officeDocument/2006/relationships/hyperlink" Target="https://mouser.com/bom/" TargetMode="External"/><Relationship Id="rId102" Type="http://schemas.openxmlformats.org/officeDocument/2006/relationships/hyperlink" Target="https://www.newark.com/quick-order?isQuickPaste=true" TargetMode="External"/><Relationship Id="rId103" Type="http://schemas.openxmlformats.org/officeDocument/2006/relationships/hyperlink" Target="https://uk.rs-online.com/web/mylists/manualQuotes.html?method=showEnquiryCreationPage&amp;mode=new" TargetMode="External"/><Relationship Id="rId104" Type="http://schemas.openxmlformats.org/officeDocument/2006/relationships/hyperlink" Target="https://www.tme.eu/en/Profile/QuickBuy/load.html" TargetMode="External"/><Relationship Id="rId10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C7" activeCellId="0" sqref="C7"/>
    </sheetView>
  </sheetViews>
  <sheetFormatPr defaultColWidth="8.6875" defaultRowHeight="15" zeroHeight="false" outlineLevelRow="0" outlineLevelCol="3"/>
  <cols>
    <col collapsed="false" customWidth="true" hidden="false" outlineLevel="0" max="1" min="1" style="0" width="32.71"/>
    <col collapsed="false" customWidth="true" hidden="false" outlineLevel="0" max="2" min="2" style="0" width="20.71"/>
    <col collapsed="false" customWidth="true" hidden="false" outlineLevel="2" max="3" min="3" style="0" width="33.71"/>
    <col collapsed="false" customWidth="true" hidden="false" outlineLevel="1" max="4" min="4" style="0" width="19.71"/>
    <col collapsed="false" customWidth="true" hidden="false" outlineLevel="1" max="5" min="5" style="0" width="9.14"/>
    <col collapsed="false" customWidth="true" hidden="false" outlineLevel="0" max="6" min="6" style="0" width="22.7"/>
    <col collapsed="false" customWidth="true" hidden="false" outlineLevel="0" max="7" min="7" style="0" width="16.71"/>
    <col collapsed="false" customWidth="true" hidden="true" outlineLevel="1" max="8" min="8" style="0" width="9.71"/>
    <col collapsed="false" customWidth="true" hidden="true" outlineLevel="2" max="9" min="9" style="0" width="9.14"/>
    <col collapsed="false" customWidth="true" hidden="true" outlineLevel="2" max="10" min="10" style="0" width="10.71"/>
    <col collapsed="false" customWidth="true" hidden="true" outlineLevel="3" max="11" min="11" style="0" width="11.52"/>
    <col collapsed="true" customWidth="true" hidden="true" outlineLevel="0" max="12" min="12" style="0" width="16.71"/>
    <col collapsed="false" customWidth="true" hidden="true" outlineLevel="2" max="13" min="13" style="0" width="19.71"/>
    <col collapsed="true" customWidth="true" hidden="true" outlineLevel="1" max="14" min="14" style="0" width="9.71"/>
    <col collapsed="false" customWidth="true" hidden="true" outlineLevel="2" max="15" min="15" style="0" width="9.14"/>
    <col collapsed="false" customWidth="true" hidden="true" outlineLevel="2" max="16" min="16" style="0" width="10.71"/>
    <col collapsed="false" customWidth="true" hidden="true" outlineLevel="3" max="17" min="17" style="0" width="11.52"/>
    <col collapsed="true" customWidth="true" hidden="true" outlineLevel="0" max="18" min="18" style="0" width="16.71"/>
    <col collapsed="false" customWidth="true" hidden="true" outlineLevel="2" max="19" min="19" style="0" width="28.71"/>
    <col collapsed="true" customWidth="true" hidden="false" outlineLevel="1" max="20" min="20" style="0" width="9.71"/>
    <col collapsed="false" customWidth="true" hidden="false" outlineLevel="2" max="21" min="21" style="0" width="9.14"/>
    <col collapsed="false" customWidth="true" hidden="false" outlineLevel="2" max="22" min="22" style="0" width="10.71"/>
    <col collapsed="false" customWidth="true" hidden="true" outlineLevel="3" max="23" min="23" style="0" width="11.52"/>
    <col collapsed="false" customWidth="true" hidden="false" outlineLevel="0" max="24" min="24" style="0" width="16.71"/>
    <col collapsed="false" customWidth="true" hidden="false" outlineLevel="2" max="25" min="25" style="0" width="16.71"/>
    <col collapsed="false" customWidth="true" hidden="true" outlineLevel="1" max="26" min="26" style="0" width="9.71"/>
    <col collapsed="false" customWidth="true" hidden="true" outlineLevel="2" max="27" min="27" style="0" width="9.14"/>
    <col collapsed="false" customWidth="true" hidden="true" outlineLevel="2" max="28" min="28" style="0" width="10.71"/>
    <col collapsed="false" customWidth="true" hidden="true" outlineLevel="3" max="29" min="29" style="0" width="11.52"/>
    <col collapsed="true" customWidth="true" hidden="true" outlineLevel="0" max="30" min="30" style="0" width="16.71"/>
    <col collapsed="false" customWidth="true" hidden="true" outlineLevel="2" max="31" min="31" style="0" width="16.71"/>
    <col collapsed="true" customWidth="true" hidden="false" outlineLevel="1" max="32" min="32" style="0" width="9.71"/>
    <col collapsed="false" customWidth="true" hidden="false" outlineLevel="2" max="33" min="33" style="0" width="9.14"/>
    <col collapsed="false" customWidth="true" hidden="false" outlineLevel="2" max="34" min="34" style="0" width="10.71"/>
    <col collapsed="false" customWidth="true" hidden="true" outlineLevel="3" max="35" min="35" style="0" width="11.52"/>
    <col collapsed="false" customWidth="true" hidden="false" outlineLevel="0" max="36" min="36" style="0" width="16.71"/>
    <col collapsed="false" customWidth="true" hidden="false" outlineLevel="2" max="37" min="37" style="0" width="21.71"/>
    <col collapsed="false" customWidth="true" hidden="false" outlineLevel="1" max="38" min="38" style="0" width="9.71"/>
    <col collapsed="false" customWidth="true" hidden="false" outlineLevel="2" max="39" min="39" style="0" width="9.14"/>
    <col collapsed="false" customWidth="true" hidden="false" outlineLevel="2" max="40" min="40" style="0" width="10.71"/>
    <col collapsed="false" customWidth="true" hidden="true" outlineLevel="3" max="41" min="41" style="0" width="11.52"/>
    <col collapsed="false" customWidth="true" hidden="false" outlineLevel="0" max="42" min="42" style="0" width="16.71"/>
    <col collapsed="false" customWidth="true" hidden="false" outlineLevel="2" max="43" min="43" style="0" width="16.71"/>
    <col collapsed="false" customWidth="true" hidden="false" outlineLevel="1" max="44" min="44" style="0" width="9.71"/>
    <col collapsed="false" customWidth="true" hidden="false" outlineLevel="2" max="45" min="45" style="0" width="9.14"/>
    <col collapsed="false" customWidth="true" hidden="false" outlineLevel="2" max="46" min="46" style="0" width="10.71"/>
    <col collapsed="false" customWidth="true" hidden="true" outlineLevel="3" max="47" min="47" style="0" width="11.52"/>
    <col collapsed="false" customWidth="true" hidden="false" outlineLevel="0" max="48" min="48" style="0" width="16.71"/>
    <col collapsed="false" customWidth="true" hidden="false" outlineLevel="2" max="49" min="49" style="0" width="16.71"/>
    <col collapsed="false" customWidth="true" hidden="false" outlineLevel="1" max="50" min="50" style="0" width="9.71"/>
    <col collapsed="false" customWidth="true" hidden="false" outlineLevel="2" max="51" min="51" style="0" width="9.14"/>
    <col collapsed="false" customWidth="true" hidden="false" outlineLevel="2" max="52" min="52" style="0" width="10.71"/>
    <col collapsed="false" customWidth="true" hidden="true" outlineLevel="3" max="53" min="53" style="0" width="11.52"/>
    <col collapsed="false" customWidth="true" hidden="false" outlineLevel="0" max="54" min="54" style="0" width="16.71"/>
    <col collapsed="false" customWidth="true" hidden="false" outlineLevel="2" max="55" min="55" style="0" width="19.71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5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18.9963337186243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SUM(G7:G37)</f>
        <v>94.9816685931214</v>
      </c>
      <c r="L3" s="5" t="n">
        <f aca="false">SUM(L7:L37)</f>
        <v>63.7225</v>
      </c>
      <c r="M3" s="6" t="str">
        <f aca="false">(COUNTA(L7:L37)&amp;" of "&amp;ROWS(L7:L37)&amp;" parts found")</f>
        <v>11 of 31 parts found</v>
      </c>
      <c r="R3" s="5" t="n">
        <f aca="false">SUM(R7:R37)</f>
        <v>100.037</v>
      </c>
      <c r="S3" s="6" t="str">
        <f aca="false">(COUNTA(R7:R37)&amp;" of "&amp;ROWS(R7:R37)&amp;" parts found")</f>
        <v>14 of 31 parts found</v>
      </c>
      <c r="X3" s="5" t="n">
        <f aca="false">SUM(X7:X37)</f>
        <v>75.7357957957958</v>
      </c>
      <c r="Y3" s="6" t="str">
        <f aca="false">(COUNTA(X7:X37)&amp;" of "&amp;ROWS(X7:X37)&amp;" parts found")</f>
        <v>10 of 31 parts found</v>
      </c>
      <c r="AD3" s="5" t="n">
        <f aca="false">SUM(AD7:AD37)</f>
        <v>0</v>
      </c>
      <c r="AE3" s="6" t="str">
        <f aca="false">(COUNTA(AD7:AD37)&amp;" of "&amp;ROWS(AD7:AD37)&amp;" parts found")</f>
        <v>0 of 31 parts found</v>
      </c>
      <c r="AJ3" s="5" t="n">
        <f aca="false">SUM(AJ7:AJ37)</f>
        <v>101.15</v>
      </c>
      <c r="AK3" s="6" t="str">
        <f aca="false">(COUNTA(AJ7:AJ37)&amp;" of "&amp;ROWS(AJ7:AJ37)&amp;" parts found")</f>
        <v>16 of 31 parts found</v>
      </c>
      <c r="AP3" s="5" t="n">
        <f aca="false">SUM(AP7:AP37)</f>
        <v>78.915</v>
      </c>
      <c r="AQ3" s="6" t="str">
        <f aca="false">(COUNTA(AP7:AP37)&amp;" of "&amp;ROWS(AP7:AP37)&amp;" parts found")</f>
        <v>13 of 31 parts found</v>
      </c>
      <c r="AV3" s="5" t="n">
        <f aca="false">SUM(AV7:AV37)</f>
        <v>76.395784463709</v>
      </c>
      <c r="AW3" s="6" t="str">
        <f aca="false">(COUNTA(AV7:AV37)&amp;" of "&amp;ROWS(AV7:AV37)&amp;" parts found")</f>
        <v>6 of 31 parts found</v>
      </c>
      <c r="BB3" s="5" t="n">
        <f aca="false">SUM(BB7:BB37)</f>
        <v>63.1061759873081</v>
      </c>
      <c r="BC3" s="6" t="str">
        <f aca="false">(COUNTA(BB7:BB37)&amp;" of "&amp;ROWS(BB7:BB37)&amp;" parts found")</f>
        <v>18 of 31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8"/>
      <c r="N5" s="9" t="s">
        <v>12</v>
      </c>
      <c r="O5" s="9"/>
      <c r="P5" s="9"/>
      <c r="Q5" s="9"/>
      <c r="R5" s="9"/>
      <c r="S5" s="9"/>
      <c r="T5" s="10" t="s">
        <v>13</v>
      </c>
      <c r="U5" s="10"/>
      <c r="V5" s="10"/>
      <c r="W5" s="10"/>
      <c r="X5" s="10"/>
      <c r="Y5" s="10"/>
      <c r="Z5" s="11" t="s">
        <v>14</v>
      </c>
      <c r="AA5" s="11"/>
      <c r="AB5" s="11"/>
      <c r="AC5" s="11"/>
      <c r="AD5" s="11"/>
      <c r="AE5" s="11"/>
      <c r="AF5" s="12" t="s">
        <v>15</v>
      </c>
      <c r="AG5" s="12"/>
      <c r="AH5" s="12"/>
      <c r="AI5" s="12"/>
      <c r="AJ5" s="12"/>
      <c r="AK5" s="12"/>
      <c r="AL5" s="13" t="s">
        <v>16</v>
      </c>
      <c r="AM5" s="13"/>
      <c r="AN5" s="13"/>
      <c r="AO5" s="13"/>
      <c r="AP5" s="13"/>
      <c r="AQ5" s="13"/>
      <c r="AR5" s="14" t="s">
        <v>17</v>
      </c>
      <c r="AS5" s="14"/>
      <c r="AT5" s="14"/>
      <c r="AU5" s="14"/>
      <c r="AV5" s="14"/>
      <c r="AW5" s="14"/>
      <c r="AX5" s="15" t="s">
        <v>18</v>
      </c>
      <c r="AY5" s="15"/>
      <c r="AZ5" s="15"/>
      <c r="BA5" s="15"/>
      <c r="BB5" s="15"/>
      <c r="BC5" s="15"/>
    </row>
    <row r="6" customFormat="false" ht="15" hidden="false" customHeight="false" outlineLevel="0" collapsed="false">
      <c r="A6" s="16" t="s">
        <v>19</v>
      </c>
      <c r="B6" s="16" t="s">
        <v>20</v>
      </c>
      <c r="C6" s="16" t="s">
        <v>21</v>
      </c>
      <c r="D6" s="16" t="s">
        <v>22</v>
      </c>
      <c r="E6" s="16" t="s">
        <v>23</v>
      </c>
      <c r="F6" s="16" t="s">
        <v>24</v>
      </c>
      <c r="G6" s="16" t="s">
        <v>25</v>
      </c>
      <c r="H6" s="16" t="s">
        <v>26</v>
      </c>
      <c r="I6" s="16" t="s">
        <v>27</v>
      </c>
      <c r="J6" s="16" t="s">
        <v>24</v>
      </c>
      <c r="K6" s="16" t="s">
        <v>28</v>
      </c>
      <c r="L6" s="16" t="s">
        <v>25</v>
      </c>
      <c r="M6" s="16" t="s">
        <v>29</v>
      </c>
      <c r="N6" s="16" t="s">
        <v>26</v>
      </c>
      <c r="O6" s="16" t="s">
        <v>27</v>
      </c>
      <c r="P6" s="16" t="s">
        <v>24</v>
      </c>
      <c r="Q6" s="16" t="s">
        <v>28</v>
      </c>
      <c r="R6" s="16" t="s">
        <v>25</v>
      </c>
      <c r="S6" s="16" t="s">
        <v>29</v>
      </c>
      <c r="T6" s="16" t="s">
        <v>26</v>
      </c>
      <c r="U6" s="16" t="s">
        <v>27</v>
      </c>
      <c r="V6" s="16" t="s">
        <v>24</v>
      </c>
      <c r="W6" s="16" t="s">
        <v>28</v>
      </c>
      <c r="X6" s="16" t="s">
        <v>25</v>
      </c>
      <c r="Y6" s="16" t="s">
        <v>29</v>
      </c>
      <c r="Z6" s="16" t="s">
        <v>26</v>
      </c>
      <c r="AA6" s="16" t="s">
        <v>27</v>
      </c>
      <c r="AB6" s="16" t="s">
        <v>24</v>
      </c>
      <c r="AC6" s="16" t="s">
        <v>28</v>
      </c>
      <c r="AD6" s="16" t="s">
        <v>25</v>
      </c>
      <c r="AE6" s="16" t="s">
        <v>29</v>
      </c>
      <c r="AF6" s="16" t="s">
        <v>26</v>
      </c>
      <c r="AG6" s="16" t="s">
        <v>27</v>
      </c>
      <c r="AH6" s="16" t="s">
        <v>24</v>
      </c>
      <c r="AI6" s="16" t="s">
        <v>28</v>
      </c>
      <c r="AJ6" s="16" t="s">
        <v>25</v>
      </c>
      <c r="AK6" s="16" t="s">
        <v>29</v>
      </c>
      <c r="AL6" s="16" t="s">
        <v>26</v>
      </c>
      <c r="AM6" s="16" t="s">
        <v>27</v>
      </c>
      <c r="AN6" s="16" t="s">
        <v>24</v>
      </c>
      <c r="AO6" s="16" t="s">
        <v>28</v>
      </c>
      <c r="AP6" s="16" t="s">
        <v>25</v>
      </c>
      <c r="AQ6" s="16" t="s">
        <v>29</v>
      </c>
      <c r="AR6" s="16" t="s">
        <v>26</v>
      </c>
      <c r="AS6" s="16" t="s">
        <v>27</v>
      </c>
      <c r="AT6" s="16" t="s">
        <v>24</v>
      </c>
      <c r="AU6" s="16" t="s">
        <v>28</v>
      </c>
      <c r="AV6" s="16" t="s">
        <v>25</v>
      </c>
      <c r="AW6" s="16" t="s">
        <v>29</v>
      </c>
      <c r="AX6" s="16" t="s">
        <v>26</v>
      </c>
      <c r="AY6" s="16" t="s">
        <v>27</v>
      </c>
      <c r="AZ6" s="16" t="s">
        <v>24</v>
      </c>
      <c r="BA6" s="16" t="s">
        <v>28</v>
      </c>
      <c r="BB6" s="16" t="s">
        <v>25</v>
      </c>
      <c r="BC6" s="16" t="s">
        <v>29</v>
      </c>
    </row>
    <row r="7" customFormat="false" ht="30" hidden="false" customHeight="true" outlineLevel="0" collapsed="false">
      <c r="A7" s="17" t="s">
        <v>30</v>
      </c>
      <c r="B7" s="17" t="s">
        <v>31</v>
      </c>
      <c r="C7" s="17" t="s">
        <v>32</v>
      </c>
      <c r="D7" s="18" t="s">
        <v>33</v>
      </c>
      <c r="E7" s="19" t="n">
        <f aca="false">CEILING(BoardQty*1,1)</f>
        <v>5</v>
      </c>
      <c r="F7" s="20" t="n">
        <f aca="false">IF(MIN(J7,P7,V7,AB7,AH7,AN7,AT7,AZ7)&lt;&gt;0,MIN(J7,P7,V7,AB7,AH7,AN7,AT7,AZ7),"")</f>
        <v>0.42</v>
      </c>
      <c r="G7" s="21" t="n">
        <f aca="false">IF(AND(ISNUMBER(E7),ISNUMBER(F7)),E7*F7,"")</f>
        <v>2.1</v>
      </c>
      <c r="N7" s="22" t="n">
        <v>1829</v>
      </c>
      <c r="O7" s="22"/>
      <c r="P7" s="20" t="n">
        <f aca="false">IFERROR(IF(OR(O7&gt;=Q7,E7&gt;=Q7),LOOKUP(IF(O7="",E7,O7),{0,1,10,50,100,500,1000,2500,5000},{0,0.44,0.313,0.2364,0.2059,0.15252,0.12963,0.12201,0.11438}),"MOQ="&amp;Q7),"")</f>
        <v>0.44</v>
      </c>
      <c r="Q7" s="17" t="n">
        <v>1</v>
      </c>
      <c r="R7" s="21" t="n">
        <f aca="false">IFERROR(IF(O7="",E7,O7)*P7,"")</f>
        <v>2.2</v>
      </c>
      <c r="S7" s="17" t="s">
        <v>34</v>
      </c>
      <c r="T7" s="23" t="s">
        <v>35</v>
      </c>
      <c r="U7" s="22"/>
      <c r="V7" s="20" t="str">
        <f aca="false">IFERROR(IF(OR(U7&gt;=W7,E7&gt;=W7),USD_GBP*LOOKUP(IF(U7="",E7,U7),{0,1,2000},{0,0.36,0.36}),"MOQ="&amp;W7),"")</f>
        <v>MOQ=2000</v>
      </c>
      <c r="W7" s="22" t="n">
        <v>2000</v>
      </c>
      <c r="X7" s="21" t="str">
        <f aca="false">IFERROR(IF(U7="",E7,U7)*V7,"")</f>
        <v/>
      </c>
      <c r="Y7" s="17" t="s">
        <v>36</v>
      </c>
      <c r="AF7" s="22" t="n">
        <v>598</v>
      </c>
      <c r="AG7" s="22"/>
      <c r="AH7" s="20" t="n">
        <f aca="false">IFERROR(IF(OR(AG7&gt;=AI7,E7&gt;=AI7),LOOKUP(IF(AG7="",E7,AG7),{0,1,10,50,100,1000,10000},{0,0.42,0.295,0.223,0.194,0.122,0.114}),"MOQ="&amp;AI7),"")</f>
        <v>0.42</v>
      </c>
      <c r="AI7" s="17" t="n">
        <v>1</v>
      </c>
      <c r="AJ7" s="21" t="n">
        <f aca="false">IFERROR(IF(AG7="",E7,AG7)*AH7,"")</f>
        <v>2.1</v>
      </c>
      <c r="AK7" s="17" t="s">
        <v>37</v>
      </c>
      <c r="AL7" s="23" t="s">
        <v>35</v>
      </c>
      <c r="AM7" s="22"/>
      <c r="AN7" s="20" t="str">
        <f aca="false">IFERROR(IF(OR(AM7&gt;=AO7,E7&gt;=AO7),LOOKUP(IF(AM7="",E7,AM7),{0,1,2000},{0,0.135,0.135}),"MOQ="&amp;AO7),"")</f>
        <v>MOQ=2000</v>
      </c>
      <c r="AO7" s="22" t="n">
        <v>2000</v>
      </c>
      <c r="AP7" s="21" t="str">
        <f aca="false">IFERROR(IF(AM7="",E7,AM7)*AN7,"")</f>
        <v/>
      </c>
      <c r="AQ7" s="17" t="s">
        <v>38</v>
      </c>
    </row>
    <row r="8" customFormat="false" ht="30" hidden="false" customHeight="true" outlineLevel="0" collapsed="false">
      <c r="A8" s="17" t="s">
        <v>39</v>
      </c>
      <c r="B8" s="17" t="s">
        <v>40</v>
      </c>
      <c r="C8" s="17" t="s">
        <v>41</v>
      </c>
      <c r="D8" s="17" t="s">
        <v>42</v>
      </c>
      <c r="E8" s="19" t="n">
        <f aca="false">CEILING(BoardQty*1,1)</f>
        <v>5</v>
      </c>
      <c r="F8" s="20" t="n">
        <f aca="false">IF(MIN(J8,P8,V8,AB8,AH8,AN8,AT8,AZ8)&lt;&gt;0,MIN(J8,P8,V8,AB8,AH8,AN8,AT8,AZ8),"")</f>
        <v>0.019</v>
      </c>
      <c r="G8" s="21" t="n">
        <f aca="false">IF(AND(ISNUMBER(E8),ISNUMBER(F8)),E8*F8,"")</f>
        <v>0.095</v>
      </c>
      <c r="H8" s="22" t="n">
        <v>32000</v>
      </c>
      <c r="I8" s="22"/>
      <c r="J8" s="20" t="str">
        <f aca="false">IFERROR(IF(OR(I8&gt;=K8,E8&gt;=K8),LOOKUP(IF(I8="",E8,I8),{0,1,4000,8000},{0,0.0145,0.0145,0.0125}),"MOQ="&amp;K8),"")</f>
        <v>MOQ=4000</v>
      </c>
      <c r="K8" s="22" t="n">
        <v>4000</v>
      </c>
      <c r="L8" s="21" t="str">
        <f aca="false">IFERROR(IF(I8="",E8,I8)*J8,"")</f>
        <v/>
      </c>
      <c r="M8" s="17" t="s">
        <v>42</v>
      </c>
      <c r="N8" s="22" t="n">
        <v>19302</v>
      </c>
      <c r="O8" s="22"/>
      <c r="P8" s="20" t="n">
        <f aca="false">IFERROR(IF(OR(O8&gt;=Q8,E8&gt;=Q8),LOOKUP(IF(O8="",E8,O8),{0,1,10,50,100,500,1000,4000,8000,12000,28000,100000,200000,400000},{0,0.11,0.076,0.043,0.0356,0.02496,0.02066,0.01759,0.01636,0.01554,0.01473,0.01115,0.01088,0.01023}),"MOQ="&amp;Q8),"")</f>
        <v>0.11</v>
      </c>
      <c r="Q8" s="17" t="n">
        <v>1</v>
      </c>
      <c r="R8" s="21" t="n">
        <f aca="false">IFERROR(IF(O8="",E8,O8)*P8,"")</f>
        <v>0.55</v>
      </c>
      <c r="S8" s="17" t="s">
        <v>43</v>
      </c>
      <c r="T8" s="22" t="n">
        <v>44000</v>
      </c>
      <c r="U8" s="22"/>
      <c r="V8" s="20" t="str">
        <f aca="false">IFERROR(IF(OR(U8&gt;=W8,E8&gt;=W8),USD_GBP*LOOKUP(IF(U8="",E8,U8),{0,1,10,100,500,1000,2000,4000,20000,40000},{0,0.049,0.049,0.036,0.026,0.022,0.0216,0.014,0.013,0.0127}),"MOQ="&amp;W8),"")</f>
        <v>MOQ=10</v>
      </c>
      <c r="W8" s="17" t="n">
        <v>10</v>
      </c>
      <c r="X8" s="21" t="str">
        <f aca="false">IFERROR(IF(U8="",E8,U8)*V8,"")</f>
        <v/>
      </c>
      <c r="Y8" s="17" t="s">
        <v>44</v>
      </c>
      <c r="AF8" s="22" t="n">
        <v>125</v>
      </c>
      <c r="AG8" s="22"/>
      <c r="AH8" s="20" t="n">
        <f aca="false">IFERROR(IF(OR(AG8&gt;=AI8,E8&gt;=AI8),LOOKUP(IF(AG8="",E8,AG8),{0,1,10,50,100,1000,10000},{0,0.11,0.062,0.062,0.036,0.021,0.015}),"MOQ="&amp;AI8),"")</f>
        <v>0.11</v>
      </c>
      <c r="AI8" s="17" t="n">
        <v>1</v>
      </c>
      <c r="AJ8" s="21" t="n">
        <f aca="false">IFERROR(IF(AG8="",E8,AG8)*AH8,"")</f>
        <v>0.55</v>
      </c>
      <c r="AK8" s="17" t="s">
        <v>45</v>
      </c>
      <c r="AL8" s="22" t="n">
        <v>44000</v>
      </c>
      <c r="AM8" s="22"/>
      <c r="AN8" s="20" t="n">
        <f aca="false">IFERROR(IF(OR(AM8&gt;=AO8,E8&gt;=AO8),LOOKUP(IF(AM8="",E8,AM8),{0,1,4000,8000},{0,0.019,0.017,0.015}),"MOQ="&amp;AO8),"")</f>
        <v>0.019</v>
      </c>
      <c r="AO8" s="17" t="n">
        <v>1</v>
      </c>
      <c r="AP8" s="21" t="n">
        <f aca="false">IFERROR(IF(AM8="",E8,AM8)*AN8,"")</f>
        <v>0.095</v>
      </c>
      <c r="AQ8" s="17" t="s">
        <v>46</v>
      </c>
      <c r="AX8" s="22" t="n">
        <v>25900</v>
      </c>
      <c r="AY8" s="22" t="n">
        <v>100</v>
      </c>
      <c r="AZ8" s="20" t="n">
        <f aca="false">IFERROR(IF(OR(AY8&gt;=BA8,E8&gt;=BA8),USD_GBP*LOOKUP(IF(AY8="",E8,AY8),{0,1,100,1000,4000,12000},{0,0.0189,0.0189,0.01092,0.00803,0.00748}),"MOQ="&amp;BA8),"")</f>
        <v>0.0226384497705252</v>
      </c>
      <c r="BA8" s="17" t="n">
        <v>100</v>
      </c>
      <c r="BB8" s="21" t="n">
        <f aca="false">IFERROR(IF(AY8="",E8,AY8)*AZ8,"")</f>
        <v>2.26384497705252</v>
      </c>
      <c r="BC8" s="17" t="s">
        <v>42</v>
      </c>
    </row>
    <row r="9" customFormat="false" ht="45" hidden="false" customHeight="true" outlineLevel="0" collapsed="false">
      <c r="A9" s="17" t="s">
        <v>47</v>
      </c>
      <c r="B9" s="17" t="s">
        <v>48</v>
      </c>
      <c r="C9" s="17" t="s">
        <v>41</v>
      </c>
      <c r="D9" s="17" t="s">
        <v>49</v>
      </c>
      <c r="E9" s="19" t="n">
        <f aca="false">CEILING(BoardQty*21,1)</f>
        <v>105</v>
      </c>
      <c r="F9" s="20" t="n">
        <f aca="false">IF(MIN(J9,P9,V9,AB9,AH9,AN9,AT9,AZ9)&lt;&gt;0,MIN(J9,P9,V9,AB9,AH9,AN9,AT9,AZ9),"")</f>
        <v>0.0496</v>
      </c>
      <c r="G9" s="21" t="n">
        <f aca="false">IF(AND(ISNUMBER(E9),ISNUMBER(F9)),E9*F9,"")</f>
        <v>5.208</v>
      </c>
      <c r="H9" s="22" t="n">
        <v>3590</v>
      </c>
      <c r="I9" s="22"/>
      <c r="J9" s="20" t="n">
        <f aca="false">IFERROR(IF(OR(I9&gt;=K9,E9&gt;=K9),LOOKUP(IF(I9="",E9,I9),{0,1,500},{0,0.0496,0.0495}),"MOQ="&amp;K9),"")</f>
        <v>0.0496</v>
      </c>
      <c r="K9" s="17" t="n">
        <v>1</v>
      </c>
      <c r="L9" s="21" t="n">
        <f aca="false">IFERROR(IF(I9="",E9,I9)*J9,"")</f>
        <v>5.208</v>
      </c>
      <c r="M9" s="17" t="s">
        <v>49</v>
      </c>
      <c r="N9" s="22" t="n">
        <v>3810</v>
      </c>
      <c r="O9" s="22"/>
      <c r="P9" s="20" t="n">
        <f aca="false">IFERROR(IF(OR(O9&gt;=Q9,E9&gt;=Q9),LOOKUP(IF(O9="",E9,O9),{0,1,10,50,100,500,1000,4000,8000,12000,28000,100000},{0,0.33,0.224,0.149,0.1267,0.08944,0.07826,0.06895,0.06522,0.06187,0.05963,0.04938}),"MOQ="&amp;Q9),"")</f>
        <v>0.1267</v>
      </c>
      <c r="Q9" s="17" t="n">
        <v>1</v>
      </c>
      <c r="R9" s="21" t="n">
        <f aca="false">IFERROR(IF(O9="",E9,O9)*P9,"")</f>
        <v>13.3035</v>
      </c>
      <c r="S9" s="17" t="s">
        <v>50</v>
      </c>
      <c r="AF9" s="22" t="n">
        <v>3494</v>
      </c>
      <c r="AG9" s="22"/>
      <c r="AH9" s="20" t="n">
        <f aca="false">IFERROR(IF(OR(AG9&gt;=AI9,E9&gt;=AI9),LOOKUP(IF(AG9="",E9,AG9),{0,1,10,50,100,1000,10000},{0,0.3,0.149,0.149,0.117,0.079,0.058}),"MOQ="&amp;AI9),"")</f>
        <v>0.117</v>
      </c>
      <c r="AI9" s="17" t="n">
        <v>1</v>
      </c>
      <c r="AJ9" s="21" t="n">
        <f aca="false">IFERROR(IF(AG9="",E9,AG9)*AH9,"")</f>
        <v>12.285</v>
      </c>
      <c r="AK9" s="17" t="s">
        <v>51</v>
      </c>
      <c r="AL9" s="23" t="s">
        <v>35</v>
      </c>
      <c r="AM9" s="22"/>
      <c r="AN9" s="20" t="str">
        <f aca="false">IFERROR(IF(OR(AM9&gt;=AO9,E9&gt;=AO9),LOOKUP(IF(AM9="",E9,AM9),{0,1,4000,8000,16000,24000,40000},{0,0.067,0.067,0.065,0.055,0.053,0.052}),"MOQ="&amp;AO9),"")</f>
        <v>MOQ=4000</v>
      </c>
      <c r="AO9" s="22" t="n">
        <v>4000</v>
      </c>
      <c r="AP9" s="21" t="str">
        <f aca="false">IFERROR(IF(AM9="",E9,AM9)*AN9,"")</f>
        <v/>
      </c>
      <c r="AQ9" s="17" t="s">
        <v>52</v>
      </c>
      <c r="AX9" s="22" t="n">
        <v>4100</v>
      </c>
      <c r="AY9" s="22" t="n">
        <v>200</v>
      </c>
      <c r="AZ9" s="20" t="n">
        <f aca="false">IFERROR(IF(OR(AY9&gt;=BA9,E9&gt;=BA9),USD_GBP*LOOKUP(IF(AY9="",E9,AY9),{0,1,100,300,1000,4000,12000},{0,0.0428,0.0428,0.0315,0.02382,0.01976,0.01875}),"MOQ="&amp;BA9),"")</f>
        <v>0.0512659074168508</v>
      </c>
      <c r="BA9" s="17" t="n">
        <v>100</v>
      </c>
      <c r="BB9" s="21" t="n">
        <f aca="false">IFERROR(IF(AY9="",E9,AY9)*AZ9,"")</f>
        <v>10.2531814833702</v>
      </c>
      <c r="BC9" s="17" t="s">
        <v>49</v>
      </c>
    </row>
    <row r="10" customFormat="false" ht="15" hidden="false" customHeight="false" outlineLevel="0" collapsed="false">
      <c r="A10" s="17" t="s">
        <v>53</v>
      </c>
      <c r="B10" s="17" t="s">
        <v>54</v>
      </c>
      <c r="C10" s="17" t="s">
        <v>55</v>
      </c>
      <c r="D10" s="17" t="s">
        <v>56</v>
      </c>
      <c r="E10" s="19" t="n">
        <f aca="false">CEILING(BoardQty*1,1)</f>
        <v>5</v>
      </c>
      <c r="F10" s="20" t="n">
        <f aca="false">IF(MIN(J10,P10,V10,AB10,AH10,AN10,AT10,AZ10)&lt;&gt;0,MIN(J10,P10,V10,AB10,AH10,AN10,AT10,AZ10),"")</f>
        <v>0.3187</v>
      </c>
      <c r="G10" s="21" t="n">
        <f aca="false">IF(AND(ISNUMBER(E10),ISNUMBER(F10)),E10*F10,"")</f>
        <v>1.5935</v>
      </c>
      <c r="H10" s="22" t="n">
        <v>2540</v>
      </c>
      <c r="I10" s="22"/>
      <c r="J10" s="20" t="n">
        <f aca="false">IFERROR(IF(OR(I10&gt;=K10,E10&gt;=K10),LOOKUP(IF(I10="",E10,I10),{0,1,10,25,50,100,500,1000,2500},{0,0.3187,0.2172,0.1656,0.1544,0.1008,0.0872,0.0776,0.0705}),"MOQ="&amp;K10),"")</f>
        <v>0.3187</v>
      </c>
      <c r="K10" s="17" t="n">
        <v>1</v>
      </c>
      <c r="L10" s="21" t="n">
        <f aca="false">IFERROR(IF(I10="",E10,I10)*J10,"")</f>
        <v>1.5935</v>
      </c>
      <c r="M10" s="17" t="s">
        <v>57</v>
      </c>
      <c r="N10" s="22" t="n">
        <v>83067</v>
      </c>
      <c r="O10" s="22"/>
      <c r="P10" s="20" t="n">
        <f aca="false">IFERROR(IF(OR(O10&gt;=Q10,E10&gt;=Q10),LOOKUP(IF(O10="",E10,O10),{0,1,10,50,100,500,1000,2500,5000},{0,0.39,0.27,0.18,0.153,0.108,0.0945,0.09,0.08325}),"MOQ="&amp;Q10),"")</f>
        <v>0.39</v>
      </c>
      <c r="Q10" s="17" t="n">
        <v>1</v>
      </c>
      <c r="R10" s="21" t="n">
        <f aca="false">IFERROR(IF(O10="",E10,O10)*P10,"")</f>
        <v>1.95</v>
      </c>
      <c r="S10" s="17" t="s">
        <v>58</v>
      </c>
      <c r="T10" s="22" t="n">
        <v>5006</v>
      </c>
      <c r="U10" s="22"/>
      <c r="V10" s="20" t="n">
        <f aca="false">IFERROR(IF(OR(U10&gt;=W10,E10&gt;=W10),USD_GBP*LOOKUP(IF(U10="",E10,U10),{0,1,5,10,25,50,200,1000,2000},{0,0.326,0.269,0.212,0.16,0.107,0.082,0.0788,0.0756}),"MOQ="&amp;W10),"")</f>
        <v>0.322208623718058</v>
      </c>
      <c r="W10" s="17" t="n">
        <v>1</v>
      </c>
      <c r="X10" s="21" t="n">
        <f aca="false">IFERROR(IF(U10="",E10,U10)*V10,"")</f>
        <v>1.61104311859029</v>
      </c>
      <c r="Y10" s="17" t="s">
        <v>59</v>
      </c>
      <c r="AF10" s="23" t="s">
        <v>35</v>
      </c>
      <c r="AG10" s="22"/>
      <c r="AH10" s="20" t="n">
        <f aca="false">IFERROR(IF(OR(AG10&gt;=AI10,E10&gt;=AI10),LOOKUP(IF(AG10="",E10,AG10),{0,1,10,50,100,1000,10000},{0,0.37,0.241,0.171,0.122,0.084,0.076}),"MOQ="&amp;AI10),"")</f>
        <v>0.37</v>
      </c>
      <c r="AI10" s="17" t="n">
        <v>1</v>
      </c>
      <c r="AJ10" s="21" t="n">
        <f aca="false">IFERROR(IF(AG10="",E10,AG10)*AH10,"")</f>
        <v>1.85</v>
      </c>
      <c r="AK10" s="17" t="s">
        <v>60</v>
      </c>
      <c r="AL10" s="22" t="n">
        <v>37</v>
      </c>
      <c r="AM10" s="22"/>
      <c r="AN10" s="20" t="n">
        <f aca="false">IFERROR(IF(OR(AM10&gt;=AO10,E10&gt;=AO10),LOOKUP(IF(AM10="",E10,AM10),{0,1,10,25,50,100,500,1000,2500},{0,0.324,0.225,0.193,0.163,0.131,0.095,0.084,0.074}),"MOQ="&amp;AO10),"")</f>
        <v>0.324</v>
      </c>
      <c r="AO10" s="17" t="n">
        <v>1</v>
      </c>
      <c r="AP10" s="21" t="n">
        <f aca="false">IFERROR(IF(AM10="",E10,AM10)*AN10,"")</f>
        <v>1.62</v>
      </c>
      <c r="AQ10" s="17" t="s">
        <v>61</v>
      </c>
      <c r="AR10" s="22" t="n">
        <v>5135</v>
      </c>
      <c r="AS10" s="22"/>
      <c r="AT10" s="20" t="n">
        <f aca="false">IFERROR(IF(OR(AS10&gt;=AU10,E10&gt;=AU10),USD_GBP*LOOKUP(IF(AS10="",E10,AS10),{0,1,5,50,100,200,500,1000,2000},{0,0.402,0.402,0.142,0.132,0.179,0.094,0.08,0.14}),"MOQ="&amp;AU10),"")</f>
        <v>0.481516233214347</v>
      </c>
      <c r="AU10" s="17" t="n">
        <v>5</v>
      </c>
      <c r="AV10" s="21" t="n">
        <f aca="false">IFERROR(IF(AS10="",E10,AS10)*AT10,"")</f>
        <v>2.40758116607173</v>
      </c>
      <c r="AW10" s="17" t="s">
        <v>62</v>
      </c>
      <c r="AX10" s="22" t="n">
        <v>930</v>
      </c>
      <c r="AY10" s="22"/>
      <c r="AZ10" s="20" t="str">
        <f aca="false">IFERROR(IF(OR(AY10&gt;=BA10,E10&gt;=BA10),USD_GBP*LOOKUP(IF(AY10="",E10,AY10),{0,1,10,50,100,200},{0,0.226,0.226,0.141,0.108,0.097}),"MOQ="&amp;BA10),"")</f>
        <v>MOQ=10</v>
      </c>
      <c r="BA10" s="17" t="n">
        <v>10</v>
      </c>
      <c r="BB10" s="21" t="str">
        <f aca="false">IFERROR(IF(AY10="",E10,AY10)*AZ10,"")</f>
        <v/>
      </c>
      <c r="BC10" s="17" t="s">
        <v>56</v>
      </c>
    </row>
    <row r="11" customFormat="false" ht="30" hidden="false" customHeight="true" outlineLevel="0" collapsed="false">
      <c r="A11" s="17" t="s">
        <v>63</v>
      </c>
      <c r="B11" s="17" t="s">
        <v>64</v>
      </c>
      <c r="C11" s="17" t="s">
        <v>41</v>
      </c>
      <c r="D11" s="17" t="s">
        <v>65</v>
      </c>
      <c r="E11" s="19" t="n">
        <f aca="false">CEILING(BoardQty*2,1)</f>
        <v>10</v>
      </c>
      <c r="F11" s="20" t="n">
        <f aca="false">IF(MIN(J11,P11,V11,AB11,AH11,AN11,AT11,AZ11)&lt;&gt;0,MIN(J11,P11,V11,AB11,AH11,AN11,AT11,AZ11),"")</f>
        <v>0.0226384497705252</v>
      </c>
      <c r="G11" s="21" t="n">
        <f aca="false">IF(AND(ISNUMBER(E11),ISNUMBER(F11)),E11*F11,"")</f>
        <v>0.226384497705252</v>
      </c>
      <c r="N11" s="22" t="n">
        <v>3990</v>
      </c>
      <c r="O11" s="22"/>
      <c r="P11" s="20" t="n">
        <f aca="false">IFERROR(IF(OR(O11&gt;=Q11,E11&gt;=Q11),LOOKUP(IF(O11="",E11,O11),{0,1,10,50,100,500,1000,4000,8000,12000,28000,100000,200000,400000},{0,0.17,0.114,0.0682,0.0576,0.0394,0.03484,0.0303,0.02879,0.02727,0.02576,0.02045,0.02015,0.01894}),"MOQ="&amp;Q11),"")</f>
        <v>0.114</v>
      </c>
      <c r="Q11" s="17" t="n">
        <v>1</v>
      </c>
      <c r="R11" s="21" t="n">
        <f aca="false">IFERROR(IF(O11="",E11,O11)*P11,"")</f>
        <v>1.14</v>
      </c>
      <c r="S11" s="17" t="s">
        <v>66</v>
      </c>
      <c r="T11" s="23" t="s">
        <v>35</v>
      </c>
      <c r="U11" s="22"/>
      <c r="V11" s="20" t="n">
        <f aca="false">IFERROR(IF(OR(U11&gt;=W11,E11&gt;=W11),USD_GBP*LOOKUP(IF(U11="",E11,U11),{0,1,10,100,150,500,1000,2000,4000,20000,40000},{0,0.0819,0.0819,0.041,0.041,0.0239,0.0169,0.013,0.0106,0.0064,0.0051}),"MOQ="&amp;W11),"")</f>
        <v>0.0980999490056094</v>
      </c>
      <c r="W11" s="17" t="n">
        <v>10</v>
      </c>
      <c r="X11" s="21" t="n">
        <f aca="false">IFERROR(IF(U11="",E11,U11)*V11,"")</f>
        <v>0.980999490056094</v>
      </c>
      <c r="Y11" s="17" t="s">
        <v>67</v>
      </c>
      <c r="AF11" s="22" t="n">
        <v>8157</v>
      </c>
      <c r="AG11" s="22"/>
      <c r="AH11" s="20" t="n">
        <f aca="false">IFERROR(IF(OR(AG11&gt;=AI11,E11&gt;=AI11),LOOKUP(IF(AG11="",E11,AG11),{0,1,10,50,100,1000,10000},{0,0.17,0.097,0.097,0.06,0.037,0.03}),"MOQ="&amp;AI11),"")</f>
        <v>0.097</v>
      </c>
      <c r="AI11" s="17" t="n">
        <v>1</v>
      </c>
      <c r="AJ11" s="21" t="n">
        <f aca="false">IFERROR(IF(AG11="",E11,AG11)*AH11,"")</f>
        <v>0.97</v>
      </c>
      <c r="AK11" s="17" t="s">
        <v>68</v>
      </c>
      <c r="AX11" s="22" t="n">
        <v>63800</v>
      </c>
      <c r="AY11" s="22" t="n">
        <v>100</v>
      </c>
      <c r="AZ11" s="20" t="n">
        <f aca="false">IFERROR(IF(OR(AY11&gt;=BA11,E11&gt;=BA11),USD_GBP*LOOKUP(IF(AY11="",E11,AY11),{0,1,100,1000,4000,20000,40000},{0,0.0189,0.0189,0.00809,0.00691,0.00648,0.00635}),"MOQ="&amp;BA11),"")</f>
        <v>0.0226384497705252</v>
      </c>
      <c r="BA11" s="17" t="n">
        <v>100</v>
      </c>
      <c r="BB11" s="21" t="n">
        <f aca="false">IFERROR(IF(AY11="",E11,AY11)*AZ11,"")</f>
        <v>2.26384497705252</v>
      </c>
      <c r="BC11" s="17" t="s">
        <v>65</v>
      </c>
    </row>
    <row r="12" customFormat="false" ht="30" hidden="false" customHeight="true" outlineLevel="0" collapsed="false">
      <c r="A12" s="17" t="s">
        <v>69</v>
      </c>
      <c r="B12" s="17" t="s">
        <v>70</v>
      </c>
      <c r="C12" s="17" t="s">
        <v>41</v>
      </c>
      <c r="D12" s="17" t="s">
        <v>71</v>
      </c>
      <c r="E12" s="19" t="n">
        <f aca="false">CEILING(BoardQty*12,1)</f>
        <v>60</v>
      </c>
      <c r="F12" s="20" t="n">
        <f aca="false">IF(MIN(J12,P12,V12,AB12,AH12,AN12,AT12,AZ12)&lt;&gt;0,MIN(J12,P12,V12,AB12,AH12,AN12,AT12,AZ12),"")</f>
        <v>0.015</v>
      </c>
      <c r="G12" s="21" t="n">
        <f aca="false">IF(AND(ISNUMBER(E12),ISNUMBER(F12)),E12*F12,"")</f>
        <v>0.9</v>
      </c>
      <c r="H12" s="22" t="n">
        <v>8400</v>
      </c>
      <c r="I12" s="22"/>
      <c r="J12" s="20" t="str">
        <f aca="false">IFERROR(IF(OR(I12&gt;=K12,E12&gt;=K12),LOOKUP(IF(I12="",E12,I12),{0,1,4000,8000,12000,20000,24000,100000},{0,0.0265,0.0265,0.0263,0.0255,0.0253,0.0246,0.0237}),"MOQ="&amp;K12),"")</f>
        <v>MOQ=4000</v>
      </c>
      <c r="K12" s="22" t="n">
        <v>4000</v>
      </c>
      <c r="L12" s="21" t="str">
        <f aca="false">IFERROR(IF(I12="",E12,I12)*J12,"")</f>
        <v/>
      </c>
      <c r="M12" s="17" t="s">
        <v>71</v>
      </c>
      <c r="N12" s="22" t="n">
        <v>2354976</v>
      </c>
      <c r="O12" s="22"/>
      <c r="P12" s="20" t="n">
        <f aca="false">IFERROR(IF(OR(O12&gt;=Q12,E12&gt;=Q12),LOOKUP(IF(O12="",E12,O12),{0,1,10,50,100,500,1000,4000,8000,12000,28000,100000,200000,400000},{0,0.1,0.039,0.0212,0.0173,0.01238,0.00972,0.00813,0.00742,0.00707,0.00672,0.00486,0.0047,0.00442}),"MOQ="&amp;Q12),"")</f>
        <v>0.0212</v>
      </c>
      <c r="Q12" s="17" t="n">
        <v>1</v>
      </c>
      <c r="R12" s="21" t="n">
        <f aca="false">IFERROR(IF(O12="",E12,O12)*P12,"")</f>
        <v>1.272</v>
      </c>
      <c r="S12" s="17" t="s">
        <v>72</v>
      </c>
      <c r="T12" s="22" t="n">
        <v>472000</v>
      </c>
      <c r="U12" s="22"/>
      <c r="V12" s="20" t="n">
        <f aca="false">IFERROR(IF(OR(U12&gt;=W12,E12&gt;=W12),USD_GBP*LOOKUP(IF(U12="",E12,U12),{0,1,10,100,500,1000,2000,4000,20000,40000},{0,0.0265,0.0265,0.0223,0.0203,0.0183,0.0162,0.0159,0.0139,0.0115}),"MOQ="&amp;W12),"")</f>
        <v>0.0317417417417417</v>
      </c>
      <c r="W12" s="17" t="n">
        <v>10</v>
      </c>
      <c r="X12" s="21" t="n">
        <f aca="false">IFERROR(IF(U12="",E12,U12)*V12,"")</f>
        <v>1.90450450450451</v>
      </c>
      <c r="Y12" s="17" t="s">
        <v>73</v>
      </c>
      <c r="AF12" s="22" t="n">
        <v>858866</v>
      </c>
      <c r="AG12" s="22"/>
      <c r="AH12" s="20" t="n">
        <f aca="false">IFERROR(IF(OR(AG12&gt;=AI12,E12&gt;=AI12),LOOKUP(IF(AG12="",E12,AG12),{0,1,10,50,100,1000,10000},{0,0.1,0.022,0.022,0.018,0.01,0.007}),"MOQ="&amp;AI12),"")</f>
        <v>0.022</v>
      </c>
      <c r="AI12" s="17" t="n">
        <v>1</v>
      </c>
      <c r="AJ12" s="21" t="n">
        <f aca="false">IFERROR(IF(AG12="",E12,AG12)*AH12,"")</f>
        <v>1.32</v>
      </c>
      <c r="AK12" s="17" t="s">
        <v>74</v>
      </c>
      <c r="AL12" s="22" t="n">
        <v>364753</v>
      </c>
      <c r="AM12" s="22"/>
      <c r="AN12" s="20" t="n">
        <f aca="false">IFERROR(IF(OR(AM12&gt;=AO12,E12&gt;=AO12),LOOKUP(IF(AM12="",E12,AM12),{0,1,10,25,50,100,250,500,1000,12000,20000,32000},{0,0.017,0.106,0.015,0.015,0.014,0.014,0.013,0.015,0.012,0.011,0.01}),"MOQ="&amp;AO12),"")</f>
        <v>0.015</v>
      </c>
      <c r="AO12" s="17" t="n">
        <v>1</v>
      </c>
      <c r="AP12" s="21" t="n">
        <f aca="false">IFERROR(IF(AM12="",E12,AM12)*AN12,"")</f>
        <v>0.9</v>
      </c>
      <c r="AQ12" s="17" t="s">
        <v>75</v>
      </c>
      <c r="AR12" s="22" t="n">
        <v>248000</v>
      </c>
      <c r="AS12" s="22"/>
      <c r="AT12" s="20" t="str">
        <f aca="false">IFERROR(IF(OR(AS12&gt;=AU12,E12&gt;=AU12),USD_GBP*LOOKUP(IF(AS12="",E12,AS12),{0,1,1000,4000,8000,16000},{0,0.03,0.03,0.067,0.064,0.061}),"MOQ="&amp;AU12),"")</f>
        <v>MOQ=1000</v>
      </c>
      <c r="AU12" s="17" t="n">
        <v>1000</v>
      </c>
      <c r="AV12" s="21" t="str">
        <f aca="false">IFERROR(IF(AS12="",E12,AS12)*AT12,"")</f>
        <v/>
      </c>
      <c r="AW12" s="17" t="s">
        <v>76</v>
      </c>
      <c r="AX12" s="22" t="n">
        <v>16200</v>
      </c>
      <c r="AY12" s="22" t="n">
        <v>100</v>
      </c>
      <c r="AZ12" s="20" t="n">
        <f aca="false">IFERROR(IF(OR(AY12&gt;=BA12,E12&gt;=BA12),USD_GBP*LOOKUP(IF(AY12="",E12,AY12),{0,1,100,300,1000,4000,12000},{0,0.0174,0.0174,0.0122,0.0081,0.00693,0.0067}),"MOQ="&amp;BA12),"")</f>
        <v>0.0208417474077851</v>
      </c>
      <c r="BA12" s="17" t="n">
        <v>100</v>
      </c>
      <c r="BB12" s="21" t="n">
        <f aca="false">IFERROR(IF(AY12="",E12,AY12)*AZ12,"")</f>
        <v>2.08417474077851</v>
      </c>
      <c r="BC12" s="17" t="s">
        <v>71</v>
      </c>
    </row>
    <row r="13" customFormat="false" ht="30" hidden="false" customHeight="true" outlineLevel="0" collapsed="false">
      <c r="A13" s="17" t="s">
        <v>77</v>
      </c>
      <c r="B13" s="17" t="s">
        <v>78</v>
      </c>
      <c r="C13" s="17" t="s">
        <v>41</v>
      </c>
      <c r="D13" s="17" t="s">
        <v>79</v>
      </c>
      <c r="E13" s="19" t="n">
        <f aca="false">CEILING(BoardQty*2,1)</f>
        <v>10</v>
      </c>
      <c r="F13" s="20" t="n">
        <f aca="false">IF(MIN(J13,P13,V13,AB13,AH13,AN13,AT13,AZ13)&lt;&gt;0,MIN(J13,P13,V13,AB13,AH13,AN13,AT13,AZ13),"")</f>
        <v>0.0946263244376452</v>
      </c>
      <c r="G13" s="21" t="n">
        <f aca="false">IF(AND(ISNUMBER(E13),ISNUMBER(F13)),E13*F13,"")</f>
        <v>0.946263244376452</v>
      </c>
      <c r="H13" s="22" t="n">
        <v>132000</v>
      </c>
      <c r="I13" s="22"/>
      <c r="J13" s="20" t="str">
        <f aca="false">IFERROR(IF(OR(I13&gt;=K13,E13&gt;=K13),LOOKUP(IF(I13="",E13,I13),{0,1,4000},{0,0.0667,0.0667}),"MOQ="&amp;K13),"")</f>
        <v>MOQ=4000</v>
      </c>
      <c r="K13" s="22" t="n">
        <v>4000</v>
      </c>
      <c r="L13" s="21" t="str">
        <f aca="false">IFERROR(IF(I13="",E13,I13)*J13,"")</f>
        <v/>
      </c>
      <c r="M13" s="17" t="s">
        <v>79</v>
      </c>
      <c r="N13" s="22" t="n">
        <v>31980</v>
      </c>
      <c r="O13" s="22"/>
      <c r="P13" s="20" t="n">
        <f aca="false">IFERROR(IF(OR(O13&gt;=Q13,E13&gt;=Q13),LOOKUP(IF(O13="",E13,O13),{0,1,10,50,100,500,1000,4000,8000,12000,28000,100000},{0,0.32,0.221,0.1474,0.1253,0.08848,0.07742,0.0682,0.06451,0.0612,0.05898,0.04885}),"MOQ="&amp;Q13),"")</f>
        <v>0.221</v>
      </c>
      <c r="Q13" s="17" t="n">
        <v>1</v>
      </c>
      <c r="R13" s="21" t="n">
        <f aca="false">IFERROR(IF(O13="",E13,O13)*P13,"")</f>
        <v>2.21</v>
      </c>
      <c r="S13" s="17" t="s">
        <v>80</v>
      </c>
      <c r="T13" s="22" t="n">
        <v>20000</v>
      </c>
      <c r="U13" s="22"/>
      <c r="V13" s="20" t="n">
        <f aca="false">IFERROR(IF(OR(U13&gt;=W13,E13&gt;=W13),USD_GBP*LOOKUP(IF(U13="",E13,U13),{0,1,10,100,500,1000,2000,4000,20000,40000},{0,0.18,0.18,0.12,0.084,0.074,0.0725,0.07,0.0686,0.0672}),"MOQ="&amp;W13),"")</f>
        <v>0.215604283528812</v>
      </c>
      <c r="W13" s="17" t="n">
        <v>10</v>
      </c>
      <c r="X13" s="21" t="n">
        <f aca="false">IFERROR(IF(U13="",E13,U13)*V13,"")</f>
        <v>2.15604283528812</v>
      </c>
      <c r="Y13" s="17" t="s">
        <v>81</v>
      </c>
      <c r="AF13" s="22" t="n">
        <v>4000</v>
      </c>
      <c r="AG13" s="22"/>
      <c r="AH13" s="20" t="n">
        <f aca="false">IFERROR(IF(OR(AG13&gt;=AI13,E13&gt;=AI13),LOOKUP(IF(AG13="",E13,AG13),{0,1,10,50,100,1000,10000},{0,0.33,0.177,0.177,0.13,0.082,0.061}),"MOQ="&amp;AI13),"")</f>
        <v>0.177</v>
      </c>
      <c r="AI13" s="17" t="n">
        <v>1</v>
      </c>
      <c r="AJ13" s="21" t="n">
        <f aca="false">IFERROR(IF(AG13="",E13,AG13)*AH13,"")</f>
        <v>1.77</v>
      </c>
      <c r="AK13" s="17" t="s">
        <v>82</v>
      </c>
      <c r="AL13" s="22" t="n">
        <v>20000</v>
      </c>
      <c r="AM13" s="22"/>
      <c r="AN13" s="20" t="str">
        <f aca="false">IFERROR(IF(OR(AM13&gt;=AO13,E13&gt;=AO13),LOOKUP(IF(AM13="",E13,AM13),{0,1,4000},{0,0.073,0.073}),"MOQ="&amp;AO13),"")</f>
        <v>MOQ=4000</v>
      </c>
      <c r="AO13" s="22" t="n">
        <v>4000</v>
      </c>
      <c r="AP13" s="21" t="str">
        <f aca="false">IFERROR(IF(AM13="",E13,AM13)*AN13,"")</f>
        <v/>
      </c>
      <c r="AQ13" s="17" t="s">
        <v>83</v>
      </c>
      <c r="AX13" s="22" t="n">
        <v>3730</v>
      </c>
      <c r="AY13" s="22" t="n">
        <v>20</v>
      </c>
      <c r="AZ13" s="20" t="n">
        <f aca="false">IFERROR(IF(OR(AY13&gt;=BA13,E13&gt;=BA13),USD_GBP*LOOKUP(IF(AY13="",E13,AY13),{0,1,10,100,500,1000,4000},{0,0.079,0.079,0.0212,0.0129,0.01084,0.01013}),"MOQ="&amp;BA13),"")</f>
        <v>0.0946263244376452</v>
      </c>
      <c r="BA13" s="17" t="n">
        <v>10</v>
      </c>
      <c r="BB13" s="21" t="n">
        <f aca="false">IFERROR(IF(AY13="",E13,AY13)*AZ13,"")</f>
        <v>1.8925264887529</v>
      </c>
      <c r="BC13" s="17" t="s">
        <v>79</v>
      </c>
    </row>
    <row r="14" customFormat="false" ht="15" hidden="false" customHeight="false" outlineLevel="0" collapsed="false">
      <c r="A14" s="17" t="s">
        <v>84</v>
      </c>
      <c r="B14" s="17" t="s">
        <v>85</v>
      </c>
      <c r="C14" s="17" t="s">
        <v>86</v>
      </c>
      <c r="D14" s="17" t="s">
        <v>87</v>
      </c>
      <c r="E14" s="19" t="n">
        <f aca="false">CEILING(BoardQty*1,1)</f>
        <v>5</v>
      </c>
      <c r="F14" s="20" t="n">
        <f aca="false">IF(MIN(J14,P14,V14,AB14,AH14,AN14,AT14,AZ14)&lt;&gt;0,MIN(J14,P14,V14,AB14,AH14,AN14,AT14,AZ14),"")</f>
        <v>0.0395274519802822</v>
      </c>
      <c r="G14" s="21" t="n">
        <f aca="false">IF(AND(ISNUMBER(E14),ISNUMBER(F14)),E14*F14,"")</f>
        <v>0.197637259901411</v>
      </c>
      <c r="AF14" s="22" t="n">
        <v>12308</v>
      </c>
      <c r="AG14" s="22"/>
      <c r="AH14" s="20" t="n">
        <f aca="false">IFERROR(IF(OR(AG14&gt;=AI14,E14&gt;=AI14),LOOKUP(IF(AG14="",E14,AG14),{0,1,10,50,100,1000,10000},{0,0.76,0.254,0.254,0.182,0.127,0.092}),"MOQ="&amp;AI14),"")</f>
        <v>0.76</v>
      </c>
      <c r="AI14" s="17" t="n">
        <v>1</v>
      </c>
      <c r="AJ14" s="21" t="n">
        <f aca="false">IFERROR(IF(AG14="",E14,AG14)*AH14,"")</f>
        <v>3.8</v>
      </c>
      <c r="AK14" s="17" t="s">
        <v>88</v>
      </c>
      <c r="AX14" s="22" t="n">
        <v>1450</v>
      </c>
      <c r="AY14" s="22" t="n">
        <v>25</v>
      </c>
      <c r="AZ14" s="20" t="n">
        <f aca="false">IFERROR(IF(OR(AY14&gt;=BA14,E14&gt;=BA14),USD_GBP*LOOKUP(IF(AY14="",E14,AY14),{0,1,20,100,500,4000,16000},{0,0.033,0.033,0.0255,0.02214,0.01937,0.01804}),"MOQ="&amp;BA14),"")</f>
        <v>0.0395274519802822</v>
      </c>
      <c r="BA14" s="17" t="n">
        <v>20</v>
      </c>
      <c r="BB14" s="21" t="n">
        <f aca="false">IFERROR(IF(AY14="",E14,AY14)*AZ14,"")</f>
        <v>0.988186299507055</v>
      </c>
      <c r="BC14" s="17" t="s">
        <v>89</v>
      </c>
    </row>
    <row r="15" customFormat="false" ht="15" hidden="false" customHeight="false" outlineLevel="0" collapsed="false">
      <c r="A15" s="17" t="s">
        <v>90</v>
      </c>
      <c r="B15" s="17" t="s">
        <v>91</v>
      </c>
      <c r="C15" s="17" t="s">
        <v>92</v>
      </c>
      <c r="D15" s="17" t="s">
        <v>93</v>
      </c>
      <c r="E15" s="19" t="n">
        <f aca="false">CEILING(BoardQty*1,1)</f>
        <v>5</v>
      </c>
      <c r="F15" s="20" t="n">
        <f aca="false">IF(MIN(J15,P15,V15,AB15,AH15,AN15,AT15,AZ15)&lt;&gt;0,MIN(J15,P15,V15,AB15,AH15,AN15,AT15,AZ15),"")</f>
        <v>0.0682746897841238</v>
      </c>
      <c r="G15" s="21" t="n">
        <f aca="false">IF(AND(ISNUMBER(E15),ISNUMBER(F15)),E15*F15,"")</f>
        <v>0.341373448920619</v>
      </c>
      <c r="AX15" s="22" t="n">
        <v>8668</v>
      </c>
      <c r="AY15" s="22" t="n">
        <v>10</v>
      </c>
      <c r="AZ15" s="20" t="n">
        <f aca="false">IFERROR(IF(OR(AY15&gt;=BA15,E15&gt;=BA15),USD_GBP*LOOKUP(IF(AY15="",E15,AY15),{0,1,10,50,250,1000,4000},{0,0.057,0.057,0.0322,0.0244,0.02015,0.01882}),"MOQ="&amp;BA15),"")</f>
        <v>0.0682746897841238</v>
      </c>
      <c r="BA15" s="17" t="n">
        <v>10</v>
      </c>
      <c r="BB15" s="21" t="n">
        <f aca="false">IFERROR(IF(AY15="",E15,AY15)*AZ15,"")</f>
        <v>0.682746897841238</v>
      </c>
      <c r="BC15" s="17" t="s">
        <v>93</v>
      </c>
    </row>
    <row r="16" customFormat="false" ht="30" hidden="false" customHeight="true" outlineLevel="0" collapsed="false">
      <c r="A16" s="17" t="s">
        <v>94</v>
      </c>
      <c r="B16" s="17" t="s">
        <v>95</v>
      </c>
      <c r="C16" s="17" t="s">
        <v>96</v>
      </c>
      <c r="D16" s="17" t="s">
        <v>97</v>
      </c>
      <c r="E16" s="19" t="n">
        <f aca="false">CEILING(BoardQty*1,1)</f>
        <v>5</v>
      </c>
      <c r="F16" s="20" t="n">
        <f aca="false">IF(MIN(J16,P16,V16,AB16,AH16,AN16,AT16,AZ16)&lt;&gt;0,MIN(J16,P16,V16,AB16,AH16,AN16,AT16,AZ16),"")</f>
        <v>0.3294</v>
      </c>
      <c r="G16" s="21" t="n">
        <f aca="false">IF(AND(ISNUMBER(E16),ISNUMBER(F16)),E16*F16,"")</f>
        <v>1.647</v>
      </c>
      <c r="H16" s="22" t="n">
        <v>5988</v>
      </c>
      <c r="I16" s="22"/>
      <c r="J16" s="20" t="n">
        <f aca="false">IFERROR(IF(OR(I16&gt;=K16,E16&gt;=K16),LOOKUP(IF(I16="",E16,I16),{0,1,5,10,50,100,250,500,1000,5000},{0,0.3381,0.3294,0.3162,0.275,0.2362,0.2166,0.1878,0.1578,0.1532}),"MOQ="&amp;K16),"")</f>
        <v>0.3294</v>
      </c>
      <c r="K16" s="17" t="n">
        <v>1</v>
      </c>
      <c r="L16" s="21" t="n">
        <f aca="false">IFERROR(IF(I16="",E16,I16)*J16,"")</f>
        <v>1.647</v>
      </c>
      <c r="M16" s="17" t="s">
        <v>97</v>
      </c>
      <c r="N16" s="22" t="n">
        <v>15684</v>
      </c>
      <c r="O16" s="22"/>
      <c r="P16" s="20" t="n">
        <f aca="false">IFERROR(IF(OR(O16&gt;=Q16,E16&gt;=Q16),LOOKUP(IF(O16="",E16,O16),{0,1,5,10,50,100,250,500,1000,5000},{0,0.42,0.408,0.395,0.3326,0.2762,0.25108,0.21342,0.18831,0.16948}),"MOQ="&amp;Q16),"")</f>
        <v>0.408</v>
      </c>
      <c r="Q16" s="17" t="n">
        <v>1</v>
      </c>
      <c r="R16" s="21" t="n">
        <f aca="false">IFERROR(IF(O16="",E16,O16)*P16,"")</f>
        <v>2.04</v>
      </c>
      <c r="S16" s="17" t="s">
        <v>98</v>
      </c>
      <c r="AF16" s="22" t="n">
        <v>8266</v>
      </c>
      <c r="AG16" s="22"/>
      <c r="AH16" s="20" t="n">
        <f aca="false">IFERROR(IF(OR(AG16&gt;=AI16,E16&gt;=AI16),LOOKUP(IF(AG16="",E16,AG16),{0,1,10,50,100,1000,10000},{0,0.42,0.396,0.396,0.277,0.189,0.163}),"MOQ="&amp;AI16),"")</f>
        <v>0.42</v>
      </c>
      <c r="AI16" s="17" t="n">
        <v>1</v>
      </c>
      <c r="AJ16" s="21" t="n">
        <f aca="false">IFERROR(IF(AG16="",E16,AG16)*AH16,"")</f>
        <v>2.1</v>
      </c>
      <c r="AK16" s="17" t="s">
        <v>99</v>
      </c>
      <c r="AL16" s="23" t="s">
        <v>35</v>
      </c>
      <c r="AM16" s="22"/>
      <c r="AN16" s="20" t="str">
        <f aca="false">IFERROR(IF(OR(AM16&gt;=AO16,E16&gt;=AO16),LOOKUP(IF(AM16="",E16,AM16),{0,1,2000,2500},{0,0.187,0.187,0.171}),"MOQ="&amp;AO16),"")</f>
        <v>MOQ=2000</v>
      </c>
      <c r="AO16" s="22" t="n">
        <v>2000</v>
      </c>
      <c r="AP16" s="21" t="str">
        <f aca="false">IFERROR(IF(AM16="",E16,AM16)*AN16,"")</f>
        <v/>
      </c>
      <c r="AQ16" s="17" t="s">
        <v>100</v>
      </c>
      <c r="AX16" s="22" t="n">
        <v>798</v>
      </c>
      <c r="AY16" s="22" t="n">
        <v>10</v>
      </c>
      <c r="AZ16" s="20" t="n">
        <f aca="false">IFERROR(IF(OR(AY16&gt;=BA16,E16&gt;=BA16),USD_GBP*LOOKUP(IF(AY16="",E16,AY16),{0,1,5,10,20,100,500},{0,0.36,0.36,0.329,0.263,0.209,0.168}),"MOQ="&amp;BA16),"")</f>
        <v>0.394076718227662</v>
      </c>
      <c r="BA16" s="17" t="n">
        <v>5</v>
      </c>
      <c r="BB16" s="21" t="n">
        <f aca="false">IFERROR(IF(AY16="",E16,AY16)*AZ16,"")</f>
        <v>3.94076718227662</v>
      </c>
      <c r="BC16" s="17" t="s">
        <v>97</v>
      </c>
    </row>
    <row r="17" customFormat="false" ht="15" hidden="false" customHeight="false" outlineLevel="0" collapsed="false">
      <c r="A17" s="17" t="s">
        <v>101</v>
      </c>
      <c r="B17" s="17" t="s">
        <v>102</v>
      </c>
      <c r="C17" s="17" t="s">
        <v>103</v>
      </c>
      <c r="D17" s="17" t="s">
        <v>104</v>
      </c>
      <c r="E17" s="19" t="n">
        <f aca="false">CEILING(BoardQty*2,1)</f>
        <v>10</v>
      </c>
      <c r="F17" s="20" t="n">
        <f aca="false">IF(MIN(J17,P17,V17,AB17,AH17,AN17,AT17,AZ17)&lt;&gt;0,MIN(J17,P17,V17,AB17,AH17,AN17,AT17,AZ17),"")</f>
        <v>5.097</v>
      </c>
      <c r="G17" s="21" t="n">
        <f aca="false">IF(AND(ISNUMBER(E17),ISNUMBER(F17)),E17*F17,"")</f>
        <v>50.97</v>
      </c>
      <c r="H17" s="22" t="n">
        <v>8</v>
      </c>
      <c r="I17" s="22"/>
      <c r="J17" s="20" t="n">
        <f aca="false">IFERROR(IF(OR(I17&gt;=K17,E17&gt;=K17),LOOKUP(IF(I17="",E17,I17),{0,1,10,25,50},{0,5.366,5.097,4.831,4.765}),"MOQ="&amp;K17),"")</f>
        <v>5.097</v>
      </c>
      <c r="K17" s="17" t="n">
        <v>1</v>
      </c>
      <c r="L17" s="21" t="n">
        <f aca="false">IFERROR(IF(I17="",E17,I17)*J17,"")</f>
        <v>50.97</v>
      </c>
      <c r="M17" s="17" t="s">
        <v>104</v>
      </c>
      <c r="N17" s="23" t="s">
        <v>35</v>
      </c>
      <c r="O17" s="22"/>
      <c r="P17" s="20" t="n">
        <f aca="false">IFERROR(IF(OR(O17&gt;=Q17,E17&gt;=Q17),LOOKUP(IF(O17="",E17,O17),{0,1,25,100},{0,5.33,4.8868,4.8}),"MOQ="&amp;Q17),"")</f>
        <v>5.33</v>
      </c>
      <c r="Q17" s="17" t="n">
        <v>1</v>
      </c>
      <c r="R17" s="21" t="n">
        <f aca="false">IFERROR(IF(O17="",E17,O17)*P17,"")</f>
        <v>53.3</v>
      </c>
      <c r="S17" s="17" t="s">
        <v>105</v>
      </c>
      <c r="T17" s="22" t="n">
        <v>490</v>
      </c>
      <c r="U17" s="22"/>
      <c r="V17" s="20" t="n">
        <f aca="false">IFERROR(IF(OR(U17&gt;=W17,E17&gt;=W17),USD_GBP*LOOKUP(IF(U17="",E17,U17),{0,1,25,100,250},{0,4.69,4.3,4.22,4.14}),"MOQ="&amp;W17),"")</f>
        <v>5.61768938750071</v>
      </c>
      <c r="W17" s="17" t="n">
        <v>1</v>
      </c>
      <c r="X17" s="21" t="n">
        <f aca="false">IFERROR(IF(U17="",E17,U17)*V17,"")</f>
        <v>56.1768938750071</v>
      </c>
      <c r="Y17" s="17" t="s">
        <v>106</v>
      </c>
      <c r="AF17" s="23" t="s">
        <v>35</v>
      </c>
      <c r="AG17" s="22"/>
      <c r="AH17" s="20" t="n">
        <f aca="false">IFERROR(IF(OR(AG17&gt;=AI17,E17&gt;=AI17),LOOKUP(IF(AG17="",E17,AG17),{0,1,10,50,100,1000,10000},{0,5.33,5.33,4.89,4.8,4.79,4.79}),"MOQ="&amp;AI17),"")</f>
        <v>5.33</v>
      </c>
      <c r="AI17" s="17" t="n">
        <v>1</v>
      </c>
      <c r="AJ17" s="21" t="n">
        <f aca="false">IFERROR(IF(AG17="",E17,AG17)*AH17,"")</f>
        <v>53.3</v>
      </c>
      <c r="AK17" s="17" t="s">
        <v>107</v>
      </c>
      <c r="AL17" s="22" t="n">
        <v>490</v>
      </c>
      <c r="AM17" s="22"/>
      <c r="AN17" s="20" t="n">
        <f aca="false">IFERROR(IF(OR(AM17&gt;=AO17,E17&gt;=AO17),LOOKUP(IF(AM17="",E17,AM17),{0,1,10,25,50,100},{0,5.33,5.11,4.89,4.84,4.8}),"MOQ="&amp;AO17),"")</f>
        <v>5.11</v>
      </c>
      <c r="AO17" s="17" t="n">
        <v>1</v>
      </c>
      <c r="AP17" s="21" t="n">
        <f aca="false">IFERROR(IF(AM17="",E17,AM17)*AN17,"")</f>
        <v>51.1</v>
      </c>
      <c r="AQ17" s="17" t="s">
        <v>108</v>
      </c>
      <c r="AR17" s="22" t="n">
        <v>304</v>
      </c>
      <c r="AS17" s="22"/>
      <c r="AT17" s="20" t="n">
        <f aca="false">IFERROR(IF(OR(AS17&gt;=AU17,E17&gt;=AU17),USD_GBP*LOOKUP(IF(AS17="",E17,AS17),{0,1,2,250},{0,4.815,4.815,4.331}),"MOQ="&amp;AU17),"")</f>
        <v>5.76741458439572</v>
      </c>
      <c r="AU17" s="17" t="n">
        <v>2</v>
      </c>
      <c r="AV17" s="21" t="n">
        <f aca="false">IFERROR(IF(AS17="",E17,AS17)*AT17,"")</f>
        <v>57.6741458439572</v>
      </c>
      <c r="AW17" s="17" t="s">
        <v>109</v>
      </c>
      <c r="AX17" s="23" t="s">
        <v>35</v>
      </c>
      <c r="AY17" s="22"/>
      <c r="AZ17" s="20" t="str">
        <f aca="false">IFERROR(IF(OR(AY17&gt;=BA17,E17&gt;=BA17),USD_GBP*LOOKUP(IF(AY17="",E17,AY17),{0,1,250},{0,3.42,3.42}),"MOQ="&amp;BA17),"")</f>
        <v>MOQ=250</v>
      </c>
      <c r="BA17" s="22" t="n">
        <v>250</v>
      </c>
      <c r="BB17" s="21" t="str">
        <f aca="false">IFERROR(IF(AY17="",E17,AY17)*AZ17,"")</f>
        <v/>
      </c>
      <c r="BC17" s="17" t="s">
        <v>104</v>
      </c>
    </row>
    <row r="18" customFormat="false" ht="15" hidden="false" customHeight="false" outlineLevel="0" collapsed="false">
      <c r="A18" s="17" t="s">
        <v>110</v>
      </c>
      <c r="B18" s="17" t="s">
        <v>111</v>
      </c>
      <c r="C18" s="17" t="s">
        <v>112</v>
      </c>
      <c r="D18" s="24"/>
      <c r="E18" s="19" t="n">
        <f aca="false">CEILING(BoardQty*1,1)</f>
        <v>5</v>
      </c>
      <c r="F18" s="20" t="str">
        <f aca="false">IF(MIN(J18,P18,V18,AB18,AH18,AN18,AT18,AZ18)&lt;&gt;0,MIN(J18,P18,V18,AB18,AH18,AN18,AT18,AZ18),"")</f>
        <v/>
      </c>
      <c r="G18" s="21" t="str">
        <f aca="false">IF(AND(ISNUMBER(E18),ISNUMBER(F18)),E18*F18,"")</f>
        <v/>
      </c>
    </row>
    <row r="19" customFormat="false" ht="30" hidden="false" customHeight="true" outlineLevel="0" collapsed="false">
      <c r="A19" s="17" t="s">
        <v>113</v>
      </c>
      <c r="B19" s="17" t="s">
        <v>114</v>
      </c>
      <c r="C19" s="17" t="s">
        <v>115</v>
      </c>
      <c r="D19" s="24"/>
      <c r="E19" s="19" t="n">
        <f aca="false">CEILING(BoardQty*1,1)</f>
        <v>5</v>
      </c>
      <c r="F19" s="20" t="str">
        <f aca="false">IF(MIN(J19,P19,V19,AB19,AH19,AN19,AT19,AZ19)&lt;&gt;0,MIN(J19,P19,V19,AB19,AH19,AN19,AT19,AZ19),"")</f>
        <v/>
      </c>
      <c r="G19" s="21" t="str">
        <f aca="false">IF(AND(ISNUMBER(E19),ISNUMBER(F19)),E19*F19,"")</f>
        <v/>
      </c>
    </row>
    <row r="20" customFormat="false" ht="15" hidden="false" customHeight="false" outlineLevel="0" collapsed="false">
      <c r="A20" s="17" t="s">
        <v>116</v>
      </c>
      <c r="B20" s="17" t="s">
        <v>117</v>
      </c>
      <c r="C20" s="17" t="s">
        <v>118</v>
      </c>
      <c r="D20" s="24"/>
      <c r="E20" s="19" t="n">
        <f aca="false">CEILING(BoardQty*1,1)</f>
        <v>5</v>
      </c>
      <c r="F20" s="20" t="str">
        <f aca="false">IF(MIN(J20,P20,V20,AB20,AH20,AN20,AT20,AZ20)&lt;&gt;0,MIN(J20,P20,V20,AB20,AH20,AN20,AT20,AZ20),"")</f>
        <v/>
      </c>
      <c r="G20" s="21" t="str">
        <f aca="false">IF(AND(ISNUMBER(E20),ISNUMBER(F20)),E20*F20,"")</f>
        <v/>
      </c>
    </row>
    <row r="21" customFormat="false" ht="30" hidden="false" customHeight="true" outlineLevel="0" collapsed="false">
      <c r="A21" s="17" t="s">
        <v>119</v>
      </c>
      <c r="B21" s="17" t="s">
        <v>120</v>
      </c>
      <c r="C21" s="17" t="s">
        <v>121</v>
      </c>
      <c r="D21" s="24"/>
      <c r="E21" s="19" t="n">
        <f aca="false">CEILING(BoardQty*1,1)</f>
        <v>5</v>
      </c>
      <c r="F21" s="20" t="str">
        <f aca="false">IF(MIN(J21,P21,V21,AB21,AH21,AN21,AT21,AZ21)&lt;&gt;0,MIN(J21,P21,V21,AB21,AH21,AN21,AT21,AZ21),"")</f>
        <v/>
      </c>
      <c r="G21" s="21" t="str">
        <f aca="false">IF(AND(ISNUMBER(E21),ISNUMBER(F21)),E21*F21,"")</f>
        <v/>
      </c>
    </row>
    <row r="22" customFormat="false" ht="15" hidden="false" customHeight="false" outlineLevel="0" collapsed="false">
      <c r="A22" s="17" t="s">
        <v>122</v>
      </c>
      <c r="B22" s="17" t="s">
        <v>123</v>
      </c>
      <c r="C22" s="17" t="s">
        <v>124</v>
      </c>
      <c r="D22" s="24"/>
      <c r="E22" s="19" t="n">
        <f aca="false">CEILING(BoardQty*2,1)</f>
        <v>10</v>
      </c>
      <c r="F22" s="20" t="str">
        <f aca="false">IF(MIN(J22,P22,V22,AB22,AH22,AN22,AT22,AZ22)&lt;&gt;0,MIN(J22,P22,V22,AB22,AH22,AN22,AT22,AZ22),"")</f>
        <v/>
      </c>
      <c r="G22" s="21" t="str">
        <f aca="false">IF(AND(ISNUMBER(E22),ISNUMBER(F22)),E22*F22,"")</f>
        <v/>
      </c>
    </row>
    <row r="23" customFormat="false" ht="15" hidden="false" customHeight="false" outlineLevel="0" collapsed="false">
      <c r="A23" s="17" t="s">
        <v>125</v>
      </c>
      <c r="B23" s="17" t="s">
        <v>126</v>
      </c>
      <c r="C23" s="17" t="s">
        <v>127</v>
      </c>
      <c r="D23" s="24"/>
      <c r="E23" s="19" t="n">
        <f aca="false">CEILING(BoardQty*1,1)</f>
        <v>5</v>
      </c>
      <c r="F23" s="20" t="str">
        <f aca="false">IF(MIN(J23,P23,V23,AB23,AH23,AN23,AT23,AZ23)&lt;&gt;0,MIN(J23,P23,V23,AB23,AH23,AN23,AT23,AZ23),"")</f>
        <v/>
      </c>
      <c r="G23" s="21" t="str">
        <f aca="false">IF(AND(ISNUMBER(E23),ISNUMBER(F23)),E23*F23,"")</f>
        <v/>
      </c>
    </row>
    <row r="24" customFormat="false" ht="15" hidden="false" customHeight="false" outlineLevel="0" collapsed="false">
      <c r="A24" s="17" t="s">
        <v>128</v>
      </c>
      <c r="B24" s="17" t="s">
        <v>129</v>
      </c>
      <c r="C24" s="17" t="s">
        <v>130</v>
      </c>
      <c r="D24" s="24"/>
      <c r="E24" s="19" t="n">
        <f aca="false">CEILING(BoardQty*2,1)</f>
        <v>10</v>
      </c>
      <c r="F24" s="20" t="str">
        <f aca="false">IF(MIN(J24,P24,V24,AB24,AH24,AN24,AT24,AZ24)&lt;&gt;0,MIN(J24,P24,V24,AB24,AH24,AN24,AT24,AZ24),"")</f>
        <v/>
      </c>
      <c r="G24" s="21" t="str">
        <f aca="false">IF(AND(ISNUMBER(E24),ISNUMBER(F24)),E24*F24,"")</f>
        <v/>
      </c>
    </row>
    <row r="25" customFormat="false" ht="15" hidden="false" customHeight="false" outlineLevel="0" collapsed="false">
      <c r="A25" s="17" t="s">
        <v>131</v>
      </c>
      <c r="B25" s="17" t="s">
        <v>132</v>
      </c>
      <c r="C25" s="17" t="s">
        <v>112</v>
      </c>
      <c r="D25" s="24"/>
      <c r="E25" s="19" t="n">
        <f aca="false">CEILING(BoardQty*1,1)</f>
        <v>5</v>
      </c>
      <c r="F25" s="20" t="str">
        <f aca="false">IF(MIN(J25,P25,V25,AB25,AH25,AN25,AT25,AZ25)&lt;&gt;0,MIN(J25,P25,V25,AB25,AH25,AN25,AT25,AZ25),"")</f>
        <v/>
      </c>
      <c r="G25" s="21" t="str">
        <f aca="false">IF(AND(ISNUMBER(E25),ISNUMBER(F25)),E25*F25,"")</f>
        <v/>
      </c>
    </row>
    <row r="26" customFormat="false" ht="13.8" hidden="false" customHeight="false" outlineLevel="0" collapsed="false">
      <c r="A26" s="17" t="s">
        <v>133</v>
      </c>
      <c r="B26" s="17" t="s">
        <v>134</v>
      </c>
      <c r="C26" s="17" t="s">
        <v>135</v>
      </c>
      <c r="D26" s="17" t="s">
        <v>136</v>
      </c>
      <c r="E26" s="19" t="n">
        <f aca="false">CEILING(BoardQty*1,1)</f>
        <v>5</v>
      </c>
      <c r="F26" s="20" t="n">
        <f aca="false">IF(MIN(J26,P26,V26,AB26,AH26,AN26,AT26,AZ26)&lt;&gt;0,MIN(J26,P26,V26,AB26,AH26,AN26,AT26,AZ26),"")</f>
        <v>0.0922</v>
      </c>
      <c r="G26" s="21" t="n">
        <f aca="false">IF(AND(ISNUMBER(E26),ISNUMBER(F26)),E26*F26,"")</f>
        <v>0.461</v>
      </c>
      <c r="H26" s="22" t="n">
        <v>21983</v>
      </c>
      <c r="I26" s="22"/>
      <c r="J26" s="20" t="n">
        <f aca="false">IFERROR(IF(OR(I26&gt;=K26,E26&gt;=K26),LOOKUP(IF(I26="",E26,I26),{0,1,10,25,100,250,500,1000,3000,6000,15000},{0,0.0922,0.0909,0.0895,0.0882,0.0868,0.0854,0.084,0.0827,0.0814,0.08}),"MOQ="&amp;K26),"")</f>
        <v>0.0922</v>
      </c>
      <c r="K26" s="17" t="n">
        <v>1</v>
      </c>
      <c r="L26" s="21" t="n">
        <f aca="false">IFERROR(IF(I26="",E26,I26)*J26,"")</f>
        <v>0.461</v>
      </c>
      <c r="M26" s="17" t="s">
        <v>136</v>
      </c>
      <c r="N26" s="22" t="n">
        <v>14846</v>
      </c>
      <c r="O26" s="22"/>
      <c r="P26" s="20" t="n">
        <f aca="false">IFERROR(IF(OR(O26&gt;=Q26,E26&gt;=Q26),LOOKUP(IF(O26="",E26,O26),{0,1,10,25,50,100,250,500,1000,3000,6000,15000,30000,75000},{0,0.31,0.275,0.2404,0.206,0.1889,0.17168,0.1614,0.12362,0.11676,0.10989,0.10645,0.10302,0.09959}),"MOQ="&amp;Q26),"")</f>
        <v>0.31</v>
      </c>
      <c r="Q26" s="17" t="n">
        <v>1</v>
      </c>
      <c r="R26" s="21" t="n">
        <f aca="false">IFERROR(IF(O26="",E26,O26)*P26,"")</f>
        <v>1.55</v>
      </c>
      <c r="S26" s="17" t="s">
        <v>137</v>
      </c>
      <c r="AF26" s="22" t="n">
        <v>23804</v>
      </c>
      <c r="AG26" s="22"/>
      <c r="AH26" s="20" t="n">
        <f aca="false">IFERROR(IF(OR(AG26&gt;=AI26,E26&gt;=AI26),LOOKUP(IF(AG26="",E26,AG26),{0,1,10,50,100,1000,10000},{0,0.24,0.194,0.194,0.151,0.112,0.096}),"MOQ="&amp;AI26),"")</f>
        <v>0.24</v>
      </c>
      <c r="AI26" s="17" t="n">
        <v>1</v>
      </c>
      <c r="AJ26" s="21" t="n">
        <f aca="false">IFERROR(IF(AG26="",E26,AG26)*AH26,"")</f>
        <v>1.2</v>
      </c>
      <c r="AK26" s="17" t="s">
        <v>138</v>
      </c>
      <c r="AL26" s="23" t="s">
        <v>35</v>
      </c>
      <c r="AM26" s="22"/>
      <c r="AN26" s="20" t="str">
        <f aca="false">IFERROR(IF(OR(AM26&gt;=AO26,E26&gt;=AO26),LOOKUP(IF(AM26="",E26,AM26),{0,1,30000,50000},{0,0.111,0.111,0.102}),"MOQ="&amp;AO26),"")</f>
        <v>MOQ=30000</v>
      </c>
      <c r="AO26" s="22" t="n">
        <v>30000</v>
      </c>
      <c r="AP26" s="21" t="str">
        <f aca="false">IFERROR(IF(AM26="",E26,AM26)*AN26,"")</f>
        <v/>
      </c>
      <c r="AQ26" s="17" t="s">
        <v>139</v>
      </c>
    </row>
    <row r="27" customFormat="false" ht="13.8" hidden="false" customHeight="false" outlineLevel="0" collapsed="false">
      <c r="A27" s="17" t="s">
        <v>140</v>
      </c>
      <c r="B27" s="17" t="s">
        <v>141</v>
      </c>
      <c r="C27" s="17" t="s">
        <v>142</v>
      </c>
      <c r="D27" s="17" t="s">
        <v>141</v>
      </c>
      <c r="E27" s="19" t="n">
        <f aca="false">CEILING(BoardQty*1,1)</f>
        <v>5</v>
      </c>
      <c r="F27" s="20" t="str">
        <f aca="false">IF(MIN(J27,P27,V27,AB27,AH27,AN27,AT27,AZ27)&lt;&gt;0,MIN(J27,P27,V27,AB27,AH27,AN27,AT27,AZ27),"")</f>
        <v/>
      </c>
      <c r="G27" s="21" t="str">
        <f aca="false">IF(AND(ISNUMBER(E27),ISNUMBER(F27)),E27*F27,"")</f>
        <v/>
      </c>
      <c r="BC27" s="25" t="s">
        <v>143</v>
      </c>
    </row>
    <row r="28" customFormat="false" ht="15" hidden="false" customHeight="false" outlineLevel="0" collapsed="false">
      <c r="A28" s="17" t="s">
        <v>144</v>
      </c>
      <c r="B28" s="17" t="s">
        <v>145</v>
      </c>
      <c r="C28" s="17" t="s">
        <v>146</v>
      </c>
      <c r="D28" s="17" t="s">
        <v>147</v>
      </c>
      <c r="E28" s="19" t="n">
        <f aca="false">CEILING(BoardQty*1,1)</f>
        <v>5</v>
      </c>
      <c r="F28" s="20" t="n">
        <f aca="false">IF(MIN(J28,P28,V28,AB28,AH28,AN28,AT28,AZ28)&lt;&gt;0,MIN(J28,P28,V28,AB28,AH28,AN28,AT28,AZ28),"")</f>
        <v>2.65911949685535</v>
      </c>
      <c r="G28" s="21" t="n">
        <f aca="false">IF(AND(ISNUMBER(E28),ISNUMBER(F28)),E28*F28,"")</f>
        <v>13.2955974842767</v>
      </c>
      <c r="AL28" s="23" t="s">
        <v>35</v>
      </c>
      <c r="AM28" s="22"/>
      <c r="AN28" s="20" t="n">
        <f aca="false">IFERROR(IF(OR(AM28&gt;=AO28,E28&gt;=AO28),LOOKUP(IF(AM28="",E28,AM28),{0,1,43,100,200,500,1000},{0,2.73,2.73,2.44,2.28,2.14,2.03}),"MOQ="&amp;AO28),"")</f>
        <v>2.73</v>
      </c>
      <c r="AO28" s="17" t="n">
        <v>1</v>
      </c>
      <c r="AP28" s="21" t="n">
        <f aca="false">IFERROR(IF(AM28="",E28,AM28)*AN28,"")</f>
        <v>13.65</v>
      </c>
      <c r="AQ28" s="17" t="s">
        <v>148</v>
      </c>
      <c r="AX28" s="22" t="n">
        <v>238</v>
      </c>
      <c r="AY28" s="22" t="n">
        <v>5</v>
      </c>
      <c r="AZ28" s="20" t="n">
        <f aca="false">IFERROR(IF(OR(AY28&gt;=BA28,E28&gt;=BA28),USD_GBP*LOOKUP(IF(AY28="",E28,AY28),{0,1,5,25,100},{0,2.34,2.22,2.1,1.9}),"MOQ="&amp;BA28),"")</f>
        <v>2.65911949685535</v>
      </c>
      <c r="BA28" s="17" t="n">
        <v>1</v>
      </c>
      <c r="BB28" s="21" t="n">
        <f aca="false">IFERROR(IF(AY28="",E28,AY28)*AZ28,"")</f>
        <v>13.2955974842767</v>
      </c>
      <c r="BC28" s="17" t="s">
        <v>147</v>
      </c>
    </row>
    <row r="29" customFormat="false" ht="30" hidden="false" customHeight="true" outlineLevel="0" collapsed="false">
      <c r="A29" s="17" t="s">
        <v>149</v>
      </c>
      <c r="B29" s="17" t="s">
        <v>150</v>
      </c>
      <c r="C29" s="17" t="s">
        <v>151</v>
      </c>
      <c r="D29" s="17" t="s">
        <v>152</v>
      </c>
      <c r="E29" s="19" t="n">
        <f aca="false">CEILING(BoardQty*12,1)</f>
        <v>60</v>
      </c>
      <c r="F29" s="20" t="n">
        <f aca="false">IF(MIN(J29,P29,V29,AB29,AH29,AN29,AT29,AZ29)&lt;&gt;0,MIN(J29,P29,V29,AB29,AH29,AN29,AT29,AZ29),"")</f>
        <v>0.0376109694600261</v>
      </c>
      <c r="G29" s="21" t="n">
        <f aca="false">IF(AND(ISNUMBER(E29),ISNUMBER(F29)),E29*F29,"")</f>
        <v>2.25665816760156</v>
      </c>
      <c r="AX29" s="22" t="n">
        <v>5000</v>
      </c>
      <c r="AY29" s="22" t="n">
        <v>100</v>
      </c>
      <c r="AZ29" s="20" t="n">
        <f aca="false">IFERROR(IF(OR(AY29&gt;=BA29,E29&gt;=BA29),USD_GBP*LOOKUP(IF(AY29="",E29,AY29),{0,1,100,1000,5000,20000},{0,0.0314,0.0314,0.01423,0.0083,0.00696}),"MOQ="&amp;BA29),"")</f>
        <v>0.0376109694600261</v>
      </c>
      <c r="BA29" s="17" t="n">
        <v>100</v>
      </c>
      <c r="BB29" s="21" t="n">
        <f aca="false">IFERROR(IF(AY29="",E29,AY29)*AZ29,"")</f>
        <v>3.76109694600261</v>
      </c>
      <c r="BC29" s="17" t="s">
        <v>153</v>
      </c>
    </row>
    <row r="30" customFormat="false" ht="30" hidden="false" customHeight="true" outlineLevel="0" collapsed="false">
      <c r="A30" s="17" t="s">
        <v>154</v>
      </c>
      <c r="B30" s="17" t="s">
        <v>155</v>
      </c>
      <c r="C30" s="17" t="s">
        <v>156</v>
      </c>
      <c r="D30" s="17" t="s">
        <v>157</v>
      </c>
      <c r="E30" s="19" t="n">
        <f aca="false">CEILING(BoardQty*21,1)</f>
        <v>105</v>
      </c>
      <c r="F30" s="20" t="n">
        <f aca="false">IF(MIN(J30,P30,V30,AB30,AH30,AN30,AT30,AZ30)&lt;&gt;0,MIN(J30,P30,V30,AB30,AH30,AN30,AT30,AZ30),"")</f>
        <v>0.0103</v>
      </c>
      <c r="G30" s="21" t="n">
        <f aca="false">IF(AND(ISNUMBER(E30),ISNUMBER(F30)),E30*F30,"")</f>
        <v>1.0815</v>
      </c>
      <c r="H30" s="22" t="n">
        <v>10000</v>
      </c>
      <c r="I30" s="22"/>
      <c r="J30" s="20" t="n">
        <f aca="false">IFERROR(IF(OR(I30&gt;=K30,E30&gt;=K30),LOOKUP(IF(I30="",E30,I30),{0,1},{0,0.0366}),"MOQ="&amp;K30),"")</f>
        <v>0.0366</v>
      </c>
      <c r="K30" s="17" t="n">
        <v>1</v>
      </c>
      <c r="L30" s="21" t="n">
        <f aca="false">IFERROR(IF(I30="",E30,I30)*J30,"")</f>
        <v>3.843</v>
      </c>
      <c r="M30" s="17" t="s">
        <v>157</v>
      </c>
      <c r="N30" s="22" t="n">
        <v>787994</v>
      </c>
      <c r="O30" s="22"/>
      <c r="P30" s="20" t="n">
        <f aca="false">IFERROR(IF(OR(O30&gt;=Q30,E30&gt;=Q30),LOOKUP(IF(O30="",E30,O30),{0,1,10,100,1000,2500,5000,10000,25000,50000,125000},{0,0.1,0.025,0.0103,0.00463,0.00402,0.00332,0.00288,0.00253,0.00232,0.00228}),"MOQ="&amp;Q30),"")</f>
        <v>0.0103</v>
      </c>
      <c r="Q30" s="17" t="n">
        <v>1</v>
      </c>
      <c r="R30" s="21" t="n">
        <f aca="false">IFERROR(IF(O30="",E30,O30)*P30,"")</f>
        <v>1.0815</v>
      </c>
      <c r="S30" s="17" t="s">
        <v>158</v>
      </c>
      <c r="T30" s="22" t="n">
        <v>694910</v>
      </c>
      <c r="U30" s="22"/>
      <c r="V30" s="20" t="n">
        <f aca="false">IFERROR(IF(OR(U30&gt;=W30,E30&gt;=W30),USD_GBP*LOOKUP(IF(U30="",E30,U30),{0,1,10,100,500,1000,2500,5000,25000,50000},{0,0.023,0.023,0.01,0.008,0.004,0.0035,0.003,0.0029,0.0028}),"MOQ="&amp;W30),"")</f>
        <v>0.0119780157516007</v>
      </c>
      <c r="W30" s="17" t="n">
        <v>10</v>
      </c>
      <c r="X30" s="21" t="n">
        <f aca="false">IFERROR(IF(U30="",E30,U30)*V30,"")</f>
        <v>1.25769165391807</v>
      </c>
      <c r="Y30" s="17" t="s">
        <v>159</v>
      </c>
      <c r="AF30" s="22" t="n">
        <v>1569620</v>
      </c>
      <c r="AG30" s="22"/>
      <c r="AH30" s="20" t="n">
        <f aca="false">IFERROR(IF(OR(AG30&gt;=AI30,E30&gt;=AI30),LOOKUP(IF(AG30="",E30,AG30),{0,1,10,50,100,1000,10000},{0,0.1,0.026,0.026,0.011,0.005,0.003}),"MOQ="&amp;AI30),"")</f>
        <v>0.011</v>
      </c>
      <c r="AI30" s="17" t="n">
        <v>1</v>
      </c>
      <c r="AJ30" s="21" t="n">
        <f aca="false">IFERROR(IF(AG30="",E30,AG30)*AH30,"")</f>
        <v>1.155</v>
      </c>
      <c r="AK30" s="17" t="s">
        <v>160</v>
      </c>
      <c r="AL30" s="22" t="n">
        <v>696330</v>
      </c>
      <c r="AM30" s="22"/>
      <c r="AN30" s="20" t="n">
        <f aca="false">IFERROR(IF(OR(AM30&gt;=AO30,E30&gt;=AO30),LOOKUP(IF(AM30="",E30,AM30),{0,1,10,25,50,100,250,500},{0,0.1,0.003,0.026,0.019,0.011,0.01,0.009}),"MOQ="&amp;AO30),"")</f>
        <v>0.011</v>
      </c>
      <c r="AO30" s="17" t="n">
        <v>1</v>
      </c>
      <c r="AP30" s="21" t="n">
        <f aca="false">IFERROR(IF(AM30="",E30,AM30)*AN30,"")</f>
        <v>1.155</v>
      </c>
      <c r="AQ30" s="17" t="s">
        <v>161</v>
      </c>
      <c r="AR30" s="22" t="n">
        <v>76000</v>
      </c>
      <c r="AS30" s="22"/>
      <c r="AT30" s="20" t="str">
        <f aca="false">IFERROR(IF(OR(AS30&gt;=AU30,E30&gt;=AU30),USD_GBP*LOOKUP(IF(AS30="",E30,AS30),{0,1,500,1000,2500,5000},{0,0.011,0.011,0.01,0.009,0.004}),"MOQ="&amp;AU30),"")</f>
        <v>MOQ=500</v>
      </c>
      <c r="AU30" s="17" t="n">
        <v>500</v>
      </c>
      <c r="AV30" s="21" t="str">
        <f aca="false">IFERROR(IF(AS30="",E30,AS30)*AT30,"")</f>
        <v/>
      </c>
      <c r="AW30" s="17" t="s">
        <v>162</v>
      </c>
      <c r="AX30" s="22" t="n">
        <v>48300</v>
      </c>
      <c r="AY30" s="22" t="n">
        <v>200</v>
      </c>
      <c r="AZ30" s="20" t="n">
        <f aca="false">IFERROR(IF(OR(AY30&gt;=BA30,E30&gt;=BA30),USD_GBP*LOOKUP(IF(AY30="",E30,AY30),{0,1,100,1000,5000,10000},{0,0.0129,0.0129,0.00364,0.00178,0.00159}),"MOQ="&amp;BA30),"")</f>
        <v>0.0154516403195649</v>
      </c>
      <c r="BA30" s="17" t="n">
        <v>100</v>
      </c>
      <c r="BB30" s="21" t="n">
        <f aca="false">IFERROR(IF(AY30="",E30,AY30)*AZ30,"")</f>
        <v>3.09032806391297</v>
      </c>
      <c r="BC30" s="17" t="s">
        <v>157</v>
      </c>
    </row>
    <row r="31" customFormat="false" ht="30" hidden="false" customHeight="true" outlineLevel="0" collapsed="false">
      <c r="A31" s="17" t="s">
        <v>163</v>
      </c>
      <c r="B31" s="17" t="s">
        <v>164</v>
      </c>
      <c r="C31" s="17" t="s">
        <v>156</v>
      </c>
      <c r="D31" s="17" t="s">
        <v>165</v>
      </c>
      <c r="E31" s="19" t="n">
        <f aca="false">CEILING(BoardQty*7,1)</f>
        <v>35</v>
      </c>
      <c r="F31" s="20" t="n">
        <f aca="false">IF(MIN(J31,P31,V31,AB31,AH31,AN31,AT31,AZ31)&lt;&gt;0,MIN(J31,P31,V31,AB31,AH31,AN31,AT31,AZ31),"")</f>
        <v>0.003</v>
      </c>
      <c r="G31" s="21" t="n">
        <f aca="false">IF(AND(ISNUMBER(E31),ISNUMBER(F31)),E31*F31,"")</f>
        <v>0.105</v>
      </c>
      <c r="H31" s="22" t="n">
        <v>44979</v>
      </c>
      <c r="I31" s="22"/>
      <c r="J31" s="20" t="str">
        <f aca="false">IFERROR(IF(OR(I31&gt;=K31,E31&gt;=K31),LOOKUP(IF(I31="",E31,I31),{0,1,5000,10000,25000,50000,125000},{0,0.0033,0.0033,0.0029,0.0025,0.0023,0.0023}),"MOQ="&amp;K31),"")</f>
        <v>MOQ=5000</v>
      </c>
      <c r="K31" s="22" t="n">
        <v>5000</v>
      </c>
      <c r="L31" s="21" t="str">
        <f aca="false">IFERROR(IF(I31="",E31,I31)*J31,"")</f>
        <v/>
      </c>
      <c r="M31" s="17" t="s">
        <v>165</v>
      </c>
      <c r="N31" s="22" t="n">
        <v>1620273</v>
      </c>
      <c r="O31" s="22"/>
      <c r="P31" s="20" t="n">
        <f aca="false">IFERROR(IF(OR(O31&gt;=Q31,E31&gt;=Q31),LOOKUP(IF(O31="",E31,O31),{0,1,10,100,1000,2500,5000,10000,25000,50000,125000},{0,0.1,0.025,0.0103,0.00463,0.00402,0.00332,0.00288,0.00253,0.00232,0.00228}),"MOQ="&amp;Q31),"")</f>
        <v>0.025</v>
      </c>
      <c r="Q31" s="17" t="n">
        <v>1</v>
      </c>
      <c r="R31" s="21" t="n">
        <f aca="false">IFERROR(IF(O31="",E31,O31)*P31,"")</f>
        <v>0.875</v>
      </c>
      <c r="S31" s="17" t="s">
        <v>166</v>
      </c>
      <c r="T31" s="22" t="n">
        <v>1066430</v>
      </c>
      <c r="U31" s="22"/>
      <c r="V31" s="20" t="n">
        <f aca="false">IFERROR(IF(OR(U31&gt;=W31,E31&gt;=W31),USD_GBP*LOOKUP(IF(U31="",E31,U31),{0,1,10,100,500,1000,2500,5000,25000,50000},{0,0.019,0.019,0.01,0.008,0.004,0.0035,0.003,0.0029,0.0028}),"MOQ="&amp;W31),"")</f>
        <v>0.0227582299280413</v>
      </c>
      <c r="W31" s="17" t="n">
        <v>10</v>
      </c>
      <c r="X31" s="21" t="n">
        <f aca="false">IFERROR(IF(U31="",E31,U31)*V31,"")</f>
        <v>0.796538047481444</v>
      </c>
      <c r="Y31" s="17" t="s">
        <v>167</v>
      </c>
      <c r="AF31" s="22" t="n">
        <v>1315817</v>
      </c>
      <c r="AG31" s="22"/>
      <c r="AH31" s="20" t="n">
        <f aca="false">IFERROR(IF(OR(AG31&gt;=AI31,E31&gt;=AI31),LOOKUP(IF(AG31="",E31,AG31),{0,1,10,50,100,1000,10000},{0,0.1,0.022,0.022,0.011,0.005,0.003}),"MOQ="&amp;AI31),"")</f>
        <v>0.022</v>
      </c>
      <c r="AI31" s="17" t="n">
        <v>1</v>
      </c>
      <c r="AJ31" s="21" t="n">
        <f aca="false">IFERROR(IF(AG31="",E31,AG31)*AH31,"")</f>
        <v>0.77</v>
      </c>
      <c r="AK31" s="17" t="s">
        <v>168</v>
      </c>
      <c r="AL31" s="22" t="n">
        <v>1050430</v>
      </c>
      <c r="AM31" s="22"/>
      <c r="AN31" s="20" t="n">
        <f aca="false">IFERROR(IF(OR(AM31&gt;=AO31,E31&gt;=AO31),LOOKUP(IF(AM31="",E31,AM31),{0,1,10,25,50,100,250,500},{0,0.013,0.004,0.003,0.003,0.003,0.01,0.009}),"MOQ="&amp;AO31),"")</f>
        <v>0.003</v>
      </c>
      <c r="AO31" s="17" t="n">
        <v>1</v>
      </c>
      <c r="AP31" s="21" t="n">
        <f aca="false">IFERROR(IF(AM31="",E31,AM31)*AN31,"")</f>
        <v>0.105</v>
      </c>
      <c r="AQ31" s="17" t="s">
        <v>169</v>
      </c>
      <c r="AR31" s="22" t="n">
        <v>41500</v>
      </c>
      <c r="AS31" s="22"/>
      <c r="AT31" s="20" t="str">
        <f aca="false">IFERROR(IF(OR(AS31&gt;=AU31,E31&gt;=AU31),USD_GBP*LOOKUP(IF(AS31="",E31,AS31),{0,1,500,1000,2500,5000},{0,0.011,0.011,0.01,0.009,0.009}),"MOQ="&amp;AU31),"")</f>
        <v>MOQ=500</v>
      </c>
      <c r="AU31" s="17" t="n">
        <v>500</v>
      </c>
      <c r="AV31" s="21" t="str">
        <f aca="false">IFERROR(IF(AS31="",E31,AS31)*AT31,"")</f>
        <v/>
      </c>
      <c r="AW31" s="17" t="s">
        <v>170</v>
      </c>
      <c r="AX31" s="22" t="n">
        <v>68300</v>
      </c>
      <c r="AY31" s="22" t="n">
        <v>100</v>
      </c>
      <c r="AZ31" s="20" t="n">
        <f aca="false">IFERROR(IF(OR(AY31&gt;=BA31,E31&gt;=BA31),USD_GBP*LOOKUP(IF(AY31="",E31,AY31),{0,1,100,1000,5000,10000},{0,0.0129,0.0129,0.00364,0.00178,0.00159}),"MOQ="&amp;BA31),"")</f>
        <v>0.0154516403195649</v>
      </c>
      <c r="BA31" s="17" t="n">
        <v>100</v>
      </c>
      <c r="BB31" s="21" t="n">
        <f aca="false">IFERROR(IF(AY31="",E31,AY31)*AZ31,"")</f>
        <v>1.54516403195649</v>
      </c>
      <c r="BC31" s="17" t="s">
        <v>165</v>
      </c>
    </row>
    <row r="32" customFormat="false" ht="30" hidden="false" customHeight="true" outlineLevel="0" collapsed="false">
      <c r="A32" s="17" t="s">
        <v>171</v>
      </c>
      <c r="B32" s="17" t="s">
        <v>172</v>
      </c>
      <c r="C32" s="17" t="s">
        <v>156</v>
      </c>
      <c r="D32" s="17" t="s">
        <v>173</v>
      </c>
      <c r="E32" s="19" t="n">
        <f aca="false">CEILING(BoardQty*1,1)</f>
        <v>5</v>
      </c>
      <c r="F32" s="20" t="n">
        <f aca="false">IF(MIN(J32,P32,V32,AB32,AH32,AN32,AT32,AZ32)&lt;&gt;0,MIN(J32,P32,V32,AB32,AH32,AN32,AT32,AZ32),"")</f>
        <v>0.0131758173267607</v>
      </c>
      <c r="G32" s="21" t="n">
        <f aca="false">IF(AND(ISNUMBER(E32),ISNUMBER(F32)),E32*F32,"")</f>
        <v>0.0658790866338036</v>
      </c>
      <c r="AF32" s="23" t="s">
        <v>35</v>
      </c>
      <c r="AG32" s="22"/>
      <c r="AH32" s="20" t="str">
        <f aca="false">IFERROR(IF(OR(AG32&gt;=AI32,E32&gt;=AI32),LOOKUP(IF(AG32="",E32,AG32),{0,1,10000},{0,0.001,0.001}),"MOQ="&amp;AI32),"")</f>
        <v>MOQ=10000</v>
      </c>
      <c r="AI32" s="22" t="n">
        <v>10000</v>
      </c>
      <c r="AJ32" s="21" t="str">
        <f aca="false">IFERROR(IF(AG32="",E32,AG32)*AH32,"")</f>
        <v/>
      </c>
      <c r="AK32" s="17" t="s">
        <v>174</v>
      </c>
      <c r="AX32" s="22" t="n">
        <v>213700</v>
      </c>
      <c r="AY32" s="22" t="n">
        <v>100</v>
      </c>
      <c r="AZ32" s="20" t="n">
        <f aca="false">IFERROR(IF(OR(AY32&gt;=BA32,E32&gt;=BA32),USD_GBP*LOOKUP(IF(AY32="",E32,AY32),{0,1,100,1000,5000,15000,50000,100000},{0,0.011,0.011,0.00294,0.00109,0.00093,0.00086,0.00078}),"MOQ="&amp;BA32),"")</f>
        <v>0.0131758173267607</v>
      </c>
      <c r="BA32" s="17" t="n">
        <v>100</v>
      </c>
      <c r="BB32" s="21" t="n">
        <f aca="false">IFERROR(IF(AY32="",E32,AY32)*AZ32,"")</f>
        <v>1.31758173267607</v>
      </c>
      <c r="BC32" s="17" t="s">
        <v>175</v>
      </c>
    </row>
    <row r="33" customFormat="false" ht="15" hidden="false" customHeight="false" outlineLevel="0" collapsed="false">
      <c r="A33" s="17" t="s">
        <v>176</v>
      </c>
      <c r="B33" s="17" t="s">
        <v>177</v>
      </c>
      <c r="C33" s="17" t="s">
        <v>178</v>
      </c>
      <c r="D33" s="17" t="s">
        <v>179</v>
      </c>
      <c r="E33" s="19" t="n">
        <f aca="false">CEILING(BoardQty*6,1)</f>
        <v>30</v>
      </c>
      <c r="F33" s="20" t="n">
        <f aca="false">IF(MIN(J33,P33,V33,AB33,AH33,AN33,AT33,AZ33)&lt;&gt;0,MIN(J33,P33,V33,AB33,AH33,AN33,AT33,AZ33),"")</f>
        <v>0.0311428409541617</v>
      </c>
      <c r="G33" s="21" t="n">
        <f aca="false">IF(AND(ISNUMBER(E33),ISNUMBER(F33)),E33*F33,"")</f>
        <v>0.934285228624851</v>
      </c>
      <c r="AX33" s="22" t="n">
        <v>9100</v>
      </c>
      <c r="AY33" s="22" t="n">
        <v>100</v>
      </c>
      <c r="AZ33" s="20" t="n">
        <f aca="false">IFERROR(IF(OR(AY33&gt;=BA33,E33&gt;=BA33),USD_GBP*LOOKUP(IF(AY33="",E33,AY33),{0,1,100,1000,5000},{0,0.026,0.026,0.01687,0.00935}),"MOQ="&amp;BA33),"")</f>
        <v>0.0311428409541617</v>
      </c>
      <c r="BA33" s="17" t="n">
        <v>100</v>
      </c>
      <c r="BB33" s="21" t="n">
        <f aca="false">IFERROR(IF(AY33="",E33,AY33)*AZ33,"")</f>
        <v>3.11428409541617</v>
      </c>
      <c r="BC33" s="17" t="s">
        <v>180</v>
      </c>
    </row>
    <row r="34" customFormat="false" ht="30" hidden="false" customHeight="true" outlineLevel="0" collapsed="false">
      <c r="A34" s="17" t="s">
        <v>181</v>
      </c>
      <c r="B34" s="17" t="s">
        <v>182</v>
      </c>
      <c r="C34" s="17" t="s">
        <v>156</v>
      </c>
      <c r="D34" s="24"/>
      <c r="E34" s="19" t="n">
        <f aca="false">CEILING(BoardQty*12,1)</f>
        <v>60</v>
      </c>
      <c r="F34" s="20" t="str">
        <f aca="false">IF(MIN(J34,P34,V34,AB34,AH34,AN34,AT34,AZ34)&lt;&gt;0,MIN(J34,P34,V34,AB34,AH34,AN34,AT34,AZ34),"")</f>
        <v/>
      </c>
      <c r="G34" s="21" t="str">
        <f aca="false">IF(AND(ISNUMBER(E34),ISNUMBER(F34)),E34*F34,"")</f>
        <v/>
      </c>
    </row>
    <row r="35" customFormat="false" ht="15" hidden="false" customHeight="false" outlineLevel="0" collapsed="false">
      <c r="A35" s="17" t="s">
        <v>183</v>
      </c>
      <c r="B35" s="17" t="s">
        <v>184</v>
      </c>
      <c r="C35" s="17" t="s">
        <v>185</v>
      </c>
      <c r="D35" s="17" t="s">
        <v>186</v>
      </c>
      <c r="E35" s="19" t="n">
        <f aca="false">CEILING(BoardQty*3,1)</f>
        <v>15</v>
      </c>
      <c r="F35" s="20" t="n">
        <f aca="false">IF(MIN(J35,P35,V35,AB35,AH35,AN35,AT35,AZ35)&lt;&gt;0,MIN(J35,P35,V35,AB35,AH35,AN35,AT35,AZ35),"")</f>
        <v>0.414439345005383</v>
      </c>
      <c r="G35" s="21" t="n">
        <f aca="false">IF(AND(ISNUMBER(E35),ISNUMBER(F35)),E35*F35,"")</f>
        <v>6.21659017508074</v>
      </c>
      <c r="H35" s="22" t="n">
        <v>5000</v>
      </c>
      <c r="I35" s="22"/>
      <c r="J35" s="20" t="str">
        <f aca="false">IFERROR(IF(OR(I35&gt;=K35,E35&gt;=K35),LOOKUP(IF(I35="",E35,I35),{0,1,1000,2000,5000,10000,25000},{0,0.286,0.286,0.2831,0.2804,0.2775,0.2551}),"MOQ="&amp;K35),"")</f>
        <v>MOQ=1000</v>
      </c>
      <c r="K35" s="22" t="n">
        <v>1000</v>
      </c>
      <c r="L35" s="21" t="str">
        <f aca="false">IFERROR(IF(I35="",E35,I35)*J35,"")</f>
        <v/>
      </c>
      <c r="M35" s="17" t="s">
        <v>186</v>
      </c>
      <c r="N35" s="22" t="n">
        <v>42434</v>
      </c>
      <c r="O35" s="22"/>
      <c r="P35" s="20" t="n">
        <f aca="false">IFERROR(IF(OR(O35&gt;=Q35,E35&gt;=Q35),LOOKUP(IF(O35="",E35,O35),{0,1,10,25,100,250,500,1000,2000,5000,10000,25000},{0,0.93,0.815,0.7652,0.6245,0.58008,0.49368,0.39495,0.35793,0.33324,0.3209,0.30856}),"MOQ="&amp;Q35),"")</f>
        <v>0.815</v>
      </c>
      <c r="Q35" s="17" t="n">
        <v>1</v>
      </c>
      <c r="R35" s="21" t="n">
        <f aca="false">IFERROR(IF(O35="",E35,O35)*P35,"")</f>
        <v>12.225</v>
      </c>
      <c r="S35" s="17" t="s">
        <v>187</v>
      </c>
      <c r="T35" s="22" t="n">
        <v>1994</v>
      </c>
      <c r="U35" s="22"/>
      <c r="V35" s="20" t="n">
        <f aca="false">IFERROR(IF(OR(U35&gt;=W35,E35&gt;=W35),USD_GBP*LOOKUP(IF(U35="",E35,U35),{0,1,50,100,250,500,1000,5000,10000},{0,0.604,0.535,0.466,0.406,0.345,0.275,0.27,0.264}),"MOQ="&amp;W35),"")</f>
        <v>0.72347215139668</v>
      </c>
      <c r="W35" s="17" t="n">
        <v>1</v>
      </c>
      <c r="X35" s="21" t="n">
        <f aca="false">IFERROR(IF(U35="",E35,U35)*V35,"")</f>
        <v>10.8520822709502</v>
      </c>
      <c r="Y35" s="17" t="s">
        <v>188</v>
      </c>
      <c r="AF35" s="22" t="n">
        <v>46843</v>
      </c>
      <c r="AG35" s="22"/>
      <c r="AH35" s="20" t="n">
        <f aca="false">IFERROR(IF(OR(AG35&gt;=AI35,E35&gt;=AI35),LOOKUP(IF(AG35="",E35,AG35),{0,1,10,50,100,1000,10000},{0,0.79,0.686,0.686,0.53,0.313,0.313}),"MOQ="&amp;AI35),"")</f>
        <v>0.686</v>
      </c>
      <c r="AI35" s="17" t="n">
        <v>1</v>
      </c>
      <c r="AJ35" s="21" t="n">
        <f aca="false">IFERROR(IF(AG35="",E35,AG35)*AH35,"")</f>
        <v>10.29</v>
      </c>
      <c r="AK35" s="17" t="s">
        <v>189</v>
      </c>
      <c r="AL35" s="23" t="s">
        <v>35</v>
      </c>
      <c r="AM35" s="22"/>
      <c r="AN35" s="20" t="n">
        <f aca="false">IFERROR(IF(OR(AM35&gt;=AO35,E35&gt;=AO35),LOOKUP(IF(AM35="",E35,AM35),{0,1,10,25,50,100,2000,4000,8000,12000,20000},{0,0.411,0.686,0.634,0.582,0.53,0.402,0.372,0.347,0.324,0.31}),"MOQ="&amp;AO35),"")</f>
        <v>0.686</v>
      </c>
      <c r="AO35" s="17" t="n">
        <v>1</v>
      </c>
      <c r="AP35" s="21" t="n">
        <f aca="false">IFERROR(IF(AM35="",E35,AM35)*AN35,"")</f>
        <v>10.29</v>
      </c>
      <c r="AQ35" s="17" t="s">
        <v>190</v>
      </c>
      <c r="AR35" s="22" t="n">
        <v>2000</v>
      </c>
      <c r="AS35" s="22"/>
      <c r="AT35" s="20" t="n">
        <f aca="false">IFERROR(IF(OR(AS35&gt;=AU35,E35&gt;=AU35),USD_GBP*LOOKUP(IF(AS35="",E35,AS35),{0,1,5,50,100,250,500,1000,2000,5000},{0,0.908,0.908,0.696,0.532,0.504,0.448,0.395,0.379,0.36}),"MOQ="&amp;AU35),"")</f>
        <v>1.08760383024534</v>
      </c>
      <c r="AU35" s="17" t="n">
        <v>5</v>
      </c>
      <c r="AV35" s="21" t="n">
        <f aca="false">IFERROR(IF(AS35="",E35,AS35)*AT35,"")</f>
        <v>16.3140574536801</v>
      </c>
      <c r="AW35" s="17" t="s">
        <v>191</v>
      </c>
      <c r="AX35" s="22" t="n">
        <v>19160</v>
      </c>
      <c r="AY35" s="22" t="n">
        <v>15</v>
      </c>
      <c r="AZ35" s="20" t="n">
        <f aca="false">IFERROR(IF(OR(AY35&gt;=BA35,E35&gt;=BA35),USD_GBP*LOOKUP(IF(AY35="",E35,AY35),{0,1,5,25,100,250,1000},{0,0.346,0.346,0.2484,0.1849,0.15729,0.14752}),"MOQ="&amp;BA35),"")</f>
        <v>0.414439345005383</v>
      </c>
      <c r="BA35" s="17" t="n">
        <v>5</v>
      </c>
      <c r="BB35" s="21" t="n">
        <f aca="false">IFERROR(IF(AY35="",E35,AY35)*AZ35,"")</f>
        <v>6.21659017508074</v>
      </c>
      <c r="BC35" s="17" t="s">
        <v>192</v>
      </c>
    </row>
    <row r="36" customFormat="false" ht="15" hidden="false" customHeight="false" outlineLevel="0" collapsed="false">
      <c r="A36" s="17" t="s">
        <v>193</v>
      </c>
      <c r="B36" s="17" t="s">
        <v>194</v>
      </c>
      <c r="C36" s="17" t="s">
        <v>195</v>
      </c>
      <c r="D36" s="17" t="s">
        <v>196</v>
      </c>
      <c r="E36" s="19" t="n">
        <f aca="false">CEILING(BoardQty*1,1)</f>
        <v>5</v>
      </c>
      <c r="F36" s="20" t="str">
        <f aca="false">IF(MIN(J36,P36,V36,AB36,AH36,AN36,AT36,AZ36)&lt;&gt;0,MIN(J36,P36,V36,AB36,AH36,AN36,AT36,AZ36),"")</f>
        <v/>
      </c>
      <c r="G36" s="21" t="str">
        <f aca="false">IF(AND(ISNUMBER(E36),ISNUMBER(F36)),E36*F36,"")</f>
        <v/>
      </c>
      <c r="AY36" s="0" t="n">
        <v>5</v>
      </c>
    </row>
    <row r="37" customFormat="false" ht="15" hidden="false" customHeight="false" outlineLevel="0" collapsed="false">
      <c r="A37" s="17" t="s">
        <v>197</v>
      </c>
      <c r="B37" s="17" t="s">
        <v>198</v>
      </c>
      <c r="C37" s="17" t="s">
        <v>199</v>
      </c>
      <c r="D37" s="17" t="s">
        <v>200</v>
      </c>
      <c r="E37" s="19" t="n">
        <f aca="false">CEILING(BoardQty*2,1)</f>
        <v>10</v>
      </c>
      <c r="F37" s="20" t="n">
        <f aca="false">IF(MIN(J37,P37,V37,AB37,AH37,AN37,AT37,AZ37)&lt;&gt;0,MIN(J37,P37,V37,AB37,AH37,AN37,AT37,AZ37),"")</f>
        <v>0.634</v>
      </c>
      <c r="G37" s="21" t="n">
        <f aca="false">IF(AND(ISNUMBER(E37),ISNUMBER(F37)),E37*F37,"")</f>
        <v>6.34</v>
      </c>
      <c r="N37" s="22" t="n">
        <v>16968</v>
      </c>
      <c r="O37" s="22"/>
      <c r="P37" s="20" t="n">
        <f aca="false">IFERROR(IF(OR(O37&gt;=Q37,E37&gt;=Q37),LOOKUP(IF(O37="",E37,O37),{0,1,10,50,100,500},{0,0.72,0.634,0.5928,0.5239,0.49632}),"MOQ="&amp;Q37),"")</f>
        <v>0.634</v>
      </c>
      <c r="Q37" s="17" t="n">
        <v>1</v>
      </c>
      <c r="R37" s="21" t="n">
        <f aca="false">IFERROR(IF(O37="",E37,O37)*P37,"")</f>
        <v>6.34</v>
      </c>
      <c r="S37" s="17" t="s">
        <v>201</v>
      </c>
      <c r="AF37" s="22" t="n">
        <v>65</v>
      </c>
      <c r="AG37" s="22"/>
      <c r="AH37" s="20" t="n">
        <f aca="false">IFERROR(IF(OR(AG37&gt;=AI37,E37&gt;=AI37),LOOKUP(IF(AG37="",E37,AG37),{0,1,10,50,100,1000,10000},{0,0.87,0.769,0.769,0.615,0.493,0.451}),"MOQ="&amp;AI37),"")</f>
        <v>0.769</v>
      </c>
      <c r="AI37" s="17" t="n">
        <v>1</v>
      </c>
      <c r="AJ37" s="21" t="n">
        <f aca="false">IFERROR(IF(AG37="",E37,AG37)*AH37,"")</f>
        <v>7.69</v>
      </c>
      <c r="AK37" s="17" t="s">
        <v>202</v>
      </c>
      <c r="AX37" s="22" t="n">
        <v>100</v>
      </c>
      <c r="AY37" s="22" t="n">
        <v>10</v>
      </c>
      <c r="AZ37" s="20" t="n">
        <f aca="false">IFERROR(IF(OR(AY37&gt;=BA37,E37&gt;=BA37),USD_GBP*LOOKUP(IF(AY37="",E37,AY37),{0,1,5,20,100},{0,0.81,0.534,0.451,0.40967}),"MOQ="&amp;BA37),"")</f>
        <v>0.639626041135475</v>
      </c>
      <c r="BA37" s="17" t="n">
        <v>1</v>
      </c>
      <c r="BB37" s="21" t="n">
        <f aca="false">IFERROR(IF(AY37="",E37,AY37)*AZ37,"")</f>
        <v>6.39626041135475</v>
      </c>
      <c r="BC37" s="17" t="s">
        <v>203</v>
      </c>
    </row>
    <row r="39" customFormat="false" ht="15" hidden="false" customHeight="false" outlineLevel="0" collapsed="false">
      <c r="B39" s="26" t="s">
        <v>204</v>
      </c>
      <c r="F39" s="1" t="s">
        <v>205</v>
      </c>
      <c r="G39" s="5" t="n">
        <f aca="false">SUM(L39,R39,X39,AD39,AJ39,AP39,AV39,BB39)</f>
        <v>63.1061759873081</v>
      </c>
      <c r="H39" s="27" t="s">
        <v>206</v>
      </c>
      <c r="I39" s="6" t="str">
        <f aca="false">IFERROR(IF(COUNTIF(I7:I37,"&gt;0")&gt;0,COUNTIF(I7:I37,"&gt;0")&amp;" of "&amp;(ROWS(K7:K37)-COUNTBLANK(K7:K37))&amp;" parts purchased",""),"")</f>
        <v/>
      </c>
      <c r="L39" s="5" t="n">
        <f aca="false">SUMIF(I7:I37,"&gt;0",L7:L37)</f>
        <v>0</v>
      </c>
      <c r="N39" s="27" t="s">
        <v>206</v>
      </c>
      <c r="O39" s="6" t="str">
        <f aca="false">IFERROR(IF(COUNTIF(O7:O37,"&gt;0")&gt;0,COUNTIF(O7:O37,"&gt;0")&amp;" of "&amp;(ROWS(Q7:Q37)-COUNTBLANK(Q7:Q37))&amp;" parts purchased",""),"")</f>
        <v/>
      </c>
      <c r="R39" s="5" t="n">
        <f aca="false">SUMIF(O7:O37,"&gt;0",R7:R37)</f>
        <v>0</v>
      </c>
      <c r="T39" s="27" t="s">
        <v>206</v>
      </c>
      <c r="U39" s="6" t="str">
        <f aca="false">IFERROR(IF(COUNTIF(U7:U37,"&gt;0")&gt;0,COUNTIF(U7:U37,"&gt;0")&amp;" of "&amp;(ROWS(W7:W37)-COUNTBLANK(W7:W37))&amp;" parts purchased",""),"")</f>
        <v/>
      </c>
      <c r="X39" s="5" t="n">
        <f aca="false">SUMIF(U7:U37,"&gt;0",X7:X37)</f>
        <v>0</v>
      </c>
      <c r="Z39" s="27" t="s">
        <v>206</v>
      </c>
      <c r="AA39" s="6" t="str">
        <f aca="false">IFERROR(IF(COUNTIF(AA7:AA37,"&gt;0")&gt;0,COUNTIF(AA7:AA37,"&gt;0")&amp;" of "&amp;(ROWS(AC7:AC37)-COUNTBLANK(AC7:AC37))&amp;" parts purchased",""),"")</f>
        <v/>
      </c>
      <c r="AD39" s="5" t="n">
        <f aca="false">SUMIF(AA7:AA37,"&gt;0",AD7:AD37)</f>
        <v>0</v>
      </c>
      <c r="AF39" s="27" t="s">
        <v>206</v>
      </c>
      <c r="AG39" s="6" t="str">
        <f aca="false">IFERROR(IF(COUNTIF(AG7:AG37,"&gt;0")&gt;0,COUNTIF(AG7:AG37,"&gt;0")&amp;" of "&amp;(ROWS(AI7:AI37)-COUNTBLANK(AI7:AI37))&amp;" parts purchased",""),"")</f>
        <v/>
      </c>
      <c r="AJ39" s="5" t="n">
        <f aca="false">SUMIF(AG7:AG37,"&gt;0",AJ7:AJ37)</f>
        <v>0</v>
      </c>
      <c r="AL39" s="27" t="s">
        <v>206</v>
      </c>
      <c r="AM39" s="6" t="str">
        <f aca="false">IFERROR(IF(COUNTIF(AM7:AM37,"&gt;0")&gt;0,COUNTIF(AM7:AM37,"&gt;0")&amp;" of "&amp;(ROWS(AO7:AO37)-COUNTBLANK(AO7:AO37))&amp;" parts purchased",""),"")</f>
        <v/>
      </c>
      <c r="AP39" s="5" t="n">
        <f aca="false">SUMIF(AM7:AM37,"&gt;0",AP7:AP37)</f>
        <v>0</v>
      </c>
      <c r="AR39" s="27" t="s">
        <v>206</v>
      </c>
      <c r="AS39" s="6" t="str">
        <f aca="false">IFERROR(IF(COUNTIF(AS7:AS37,"&gt;0")&gt;0,COUNTIF(AS7:AS37,"&gt;0")&amp;" of "&amp;(ROWS(AU7:AU37)-COUNTBLANK(AU7:AU37))&amp;" parts purchased",""),"")</f>
        <v/>
      </c>
      <c r="AV39" s="5" t="n">
        <f aca="false">SUMIF(AS7:AS37,"&gt;0",AV7:AV37)</f>
        <v>0</v>
      </c>
      <c r="AX39" s="27" t="s">
        <v>206</v>
      </c>
      <c r="AY39" s="6" t="str">
        <f aca="false">IFERROR(IF(COUNTIF(AY7:AY37,"&gt;0")&gt;0,COUNTIF(AY7:AY37,"&gt;0")&amp;" of "&amp;(ROWS(BA7:BA37)-COUNTBLANK(BA7:BA37))&amp;" parts purchased",""),"")</f>
        <v>17 of 18 parts purchased</v>
      </c>
      <c r="BB39" s="5" t="n">
        <f aca="false">SUMIF(AY7:AY37,"&gt;0",BB7:BB37)</f>
        <v>63.1061759873081</v>
      </c>
    </row>
    <row r="40" customFormat="false" ht="15" hidden="false" customHeight="false" outlineLevel="0" collapsed="false">
      <c r="B40" s="26" t="s">
        <v>207</v>
      </c>
      <c r="C40" s="0" t="n">
        <v>1.19780157516007</v>
      </c>
      <c r="F40" s="26" t="s">
        <v>208</v>
      </c>
      <c r="I40" s="28" t="str">
        <f aca="false">CONCATENATE(I72,I73,I74,I75,I76,I77,I78,I79,I80,I81,I82,I83,I84,I85,I86,I87,I88,I89,I90,I91,I92,I93,I94,I95,I96,I97,I98,I99,I100,I101,I102)</f>
        <v/>
      </c>
      <c r="J40" s="28"/>
      <c r="K40" s="28"/>
      <c r="L40" s="28"/>
      <c r="O40" s="28" t="str">
        <f aca="false">CONCATENATE(O72,O73,O74,O75,O76,O77,O78,O79,O80,O81,O82,O83,O84,O85,O86,O87,O88,O89,O90,O91,O92,O93,O94,O95,O96,O97,O98,O99,O100,O101,O102)</f>
        <v/>
      </c>
      <c r="P40" s="28"/>
      <c r="Q40" s="28"/>
      <c r="R40" s="28"/>
      <c r="U40" s="28" t="str">
        <f aca="false">CONCATENATE(U72,U73,U74,U75,U76,U77,U78,U79,U80,U81,U82,U83,U84,U85,U86,U87,U88,U89,U90,U91,U92,U93,U94,U95,U96,U97,U98,U99,U100,U101,U102)</f>
        <v/>
      </c>
      <c r="V40" s="28"/>
      <c r="W40" s="28"/>
      <c r="X40" s="28"/>
      <c r="AA40" s="28" t="str">
        <f aca="false">CONCATENATE(AA103,AA72,AA73,AA74,AA75,AA76,AA77,AA78,AA79,AA80,AA81,AA82,AA83,AA84,AA85,AA86,AA87,AA88,AA89,AA90,AA91,AA92,AA93,AA94,AA95,AA96,AA97,AA98,AA99,AA100,AA101,AA102)</f>
        <v>Copy this header and order to a CSV
file and use it for JLCPCB 
manufacturer PCB house.
The multipart components that use
"#" symbol are not allowed by JLCPCB.</v>
      </c>
      <c r="AB40" s="28"/>
      <c r="AC40" s="28"/>
      <c r="AD40" s="28"/>
      <c r="AG40" s="28" t="str">
        <f aca="false">CONCATENATE(AG72,AG73,AG74,AG75,AG76,AG77,AG78,AG79,AG80,AG81,AG82,AG83,AG84,AG85,AG86,AG87,AG88,AG89,AG90,AG91,AG92,AG93,AG94,AG95,AG96,AG97,AG98,AG99,AG100,AG101,AG102)</f>
        <v/>
      </c>
      <c r="AH40" s="28"/>
      <c r="AI40" s="28"/>
      <c r="AJ40" s="28"/>
      <c r="AM40" s="28" t="str">
        <f aca="false">CONCATENATE(AM72,AM73,AM74,AM75,AM76,AM77,AM78,AM79,AM80,AM81,AM82,AM83,AM84,AM85,AM86,AM87,AM88,AM89,AM90,AM91,AM92,AM93,AM94,AM95,AM96,AM97,AM98,AM99,AM100,AM101,AM102)</f>
        <v/>
      </c>
      <c r="AN40" s="28"/>
      <c r="AO40" s="28"/>
      <c r="AP40" s="28"/>
      <c r="AS40" s="28" t="str">
        <f aca="false">CONCATENATE(AS72,AS73,AS74,AS75,AS76,AS77,AS78,AS79,AS80,AS81,AS82,AS83,AS84,AS85,AS86,AS87,AS88,AS89,AS90,AS91,AS92,AS93,AS94,AS95,AS96,AS97,AS98,AS99,AS100,AS101,AS102)</f>
        <v/>
      </c>
      <c r="AT40" s="28"/>
      <c r="AU40" s="28"/>
      <c r="AV40" s="28"/>
      <c r="AY40" s="28" t="str">
        <f aca="false">CONCATENATE(AY72,AY73,AY74,AY75,AY76,AY77,AY78,AY79,AY80,AY81,AY82,AY83,AY84,AY85,AY86,AY87,AY88,AY89,AY90,AY91,AY92,AY93,AY94,AY95,AY96,AY97,AY98,AY99,AY100,AY101,AY102)</f>
        <v>0603B105K100CT 100 C2
VJ0603Y183JXACW1BC 200 C3-C5,C10,C12,C15,C26,C28,C31,C39-C50
0603X475K100CT 100 C7,C23
06033C104KAT2A 100 C8,C9,C11,C14,C16-C18,C24,C25,C27,C30,C32
0603X106K6R3CT 20 C13,C29
ESD5Z3V3-DIO 40 D1
RF-GNB191TS-CF 10 D2
0ZRE0012FF1C 10 F1
AM1SS-0303S-NZ 5 PS2
ARG1206-220K-0.5% 100 R1-R12
AC0603FR-071KL 200 R13-R18,R34-R36,R72-R77,R87-R92
AC0603FR-0710KL 100 R19,R37,R52-R56
SMD0603-27R-1% 100 R22
ARG1206-20R-0.5% 100 R63-R65,R78-R80
B72650M271K72 15 RV1-RV3
16.3840M-CFPX-218 10 Y1,Y2
</v>
      </c>
      <c r="AZ40" s="28"/>
      <c r="BA40" s="28"/>
      <c r="BB40" s="28"/>
    </row>
    <row r="41" customFormat="false" ht="15" hidden="false" customHeight="false" outlineLevel="0" collapsed="false">
      <c r="I41" s="28"/>
      <c r="J41" s="28"/>
      <c r="K41" s="28"/>
      <c r="L41" s="28"/>
      <c r="O41" s="28"/>
      <c r="P41" s="28"/>
      <c r="Q41" s="28"/>
      <c r="R41" s="28"/>
      <c r="U41" s="28"/>
      <c r="V41" s="28"/>
      <c r="W41" s="28"/>
      <c r="X41" s="28"/>
      <c r="AA41" s="28"/>
      <c r="AB41" s="28"/>
      <c r="AC41" s="28"/>
      <c r="AD41" s="28"/>
      <c r="AG41" s="28"/>
      <c r="AH41" s="28"/>
      <c r="AI41" s="28"/>
      <c r="AJ41" s="28"/>
      <c r="AM41" s="28"/>
      <c r="AN41" s="28"/>
      <c r="AO41" s="28"/>
      <c r="AP41" s="28"/>
      <c r="AS41" s="28"/>
      <c r="AT41" s="28"/>
      <c r="AU41" s="28"/>
      <c r="AV41" s="28"/>
      <c r="AY41" s="28"/>
      <c r="AZ41" s="28"/>
      <c r="BA41" s="28"/>
      <c r="BB41" s="28"/>
    </row>
    <row r="42" customFormat="false" ht="15" hidden="false" customHeight="false" outlineLevel="0" collapsed="false">
      <c r="A42" s="2" t="s">
        <v>209</v>
      </c>
      <c r="I42" s="28"/>
      <c r="J42" s="28"/>
      <c r="K42" s="28"/>
      <c r="L42" s="28"/>
      <c r="O42" s="28"/>
      <c r="P42" s="28"/>
      <c r="Q42" s="28"/>
      <c r="R42" s="28"/>
      <c r="U42" s="28"/>
      <c r="V42" s="28"/>
      <c r="W42" s="28"/>
      <c r="X42" s="28"/>
      <c r="AA42" s="28"/>
      <c r="AB42" s="28"/>
      <c r="AC42" s="28"/>
      <c r="AD42" s="28"/>
      <c r="AG42" s="28"/>
      <c r="AH42" s="28"/>
      <c r="AI42" s="28"/>
      <c r="AJ42" s="28"/>
      <c r="AM42" s="28"/>
      <c r="AN42" s="28"/>
      <c r="AO42" s="28"/>
      <c r="AP42" s="28"/>
      <c r="AS42" s="28"/>
      <c r="AT42" s="28"/>
      <c r="AU42" s="28"/>
      <c r="AV42" s="28"/>
      <c r="AY42" s="28"/>
      <c r="AZ42" s="28"/>
      <c r="BA42" s="28"/>
      <c r="BB42" s="28"/>
    </row>
    <row r="43" customFormat="false" ht="15" hidden="false" customHeight="false" outlineLevel="0" collapsed="false">
      <c r="I43" s="28"/>
      <c r="J43" s="28"/>
      <c r="K43" s="28"/>
      <c r="L43" s="28"/>
      <c r="O43" s="28"/>
      <c r="P43" s="28"/>
      <c r="Q43" s="28"/>
      <c r="R43" s="28"/>
      <c r="U43" s="28"/>
      <c r="V43" s="28"/>
      <c r="W43" s="28"/>
      <c r="X43" s="28"/>
      <c r="AA43" s="28"/>
      <c r="AB43" s="28"/>
      <c r="AC43" s="28"/>
      <c r="AD43" s="28"/>
      <c r="AG43" s="28"/>
      <c r="AH43" s="28"/>
      <c r="AI43" s="28"/>
      <c r="AJ43" s="28"/>
      <c r="AM43" s="28"/>
      <c r="AN43" s="28"/>
      <c r="AO43" s="28"/>
      <c r="AP43" s="28"/>
      <c r="AS43" s="28"/>
      <c r="AT43" s="28"/>
      <c r="AU43" s="28"/>
      <c r="AV43" s="28"/>
      <c r="AY43" s="28"/>
      <c r="AZ43" s="28"/>
      <c r="BA43" s="28"/>
      <c r="BB43" s="28"/>
    </row>
    <row r="44" customFormat="false" ht="15" hidden="false" customHeight="false" outlineLevel="0" collapsed="false">
      <c r="I44" s="28"/>
      <c r="J44" s="28"/>
      <c r="K44" s="28"/>
      <c r="L44" s="28"/>
      <c r="O44" s="28"/>
      <c r="P44" s="28"/>
      <c r="Q44" s="28"/>
      <c r="R44" s="28"/>
      <c r="U44" s="28"/>
      <c r="V44" s="28"/>
      <c r="W44" s="28"/>
      <c r="X44" s="28"/>
      <c r="AA44" s="28"/>
      <c r="AB44" s="28"/>
      <c r="AC44" s="28"/>
      <c r="AD44" s="28"/>
      <c r="AG44" s="28"/>
      <c r="AH44" s="28"/>
      <c r="AI44" s="28"/>
      <c r="AJ44" s="28"/>
      <c r="AM44" s="28"/>
      <c r="AN44" s="28"/>
      <c r="AO44" s="28"/>
      <c r="AP44" s="28"/>
      <c r="AS44" s="28"/>
      <c r="AT44" s="28"/>
      <c r="AU44" s="28"/>
      <c r="AV44" s="28"/>
      <c r="AY44" s="28"/>
      <c r="AZ44" s="28"/>
      <c r="BA44" s="28"/>
      <c r="BB44" s="28"/>
    </row>
    <row r="45" customFormat="false" ht="15" hidden="false" customHeight="false" outlineLevel="0" collapsed="false">
      <c r="I45" s="28"/>
      <c r="J45" s="28"/>
      <c r="K45" s="28"/>
      <c r="L45" s="28"/>
      <c r="O45" s="28"/>
      <c r="P45" s="28"/>
      <c r="Q45" s="28"/>
      <c r="R45" s="28"/>
      <c r="U45" s="28"/>
      <c r="V45" s="28"/>
      <c r="W45" s="28"/>
      <c r="X45" s="28"/>
      <c r="AA45" s="28"/>
      <c r="AB45" s="28"/>
      <c r="AC45" s="28"/>
      <c r="AD45" s="28"/>
      <c r="AG45" s="28"/>
      <c r="AH45" s="28"/>
      <c r="AI45" s="28"/>
      <c r="AJ45" s="28"/>
      <c r="AM45" s="28"/>
      <c r="AN45" s="28"/>
      <c r="AO45" s="28"/>
      <c r="AP45" s="28"/>
      <c r="AS45" s="28"/>
      <c r="AT45" s="28"/>
      <c r="AU45" s="28"/>
      <c r="AV45" s="28"/>
      <c r="AY45" s="28"/>
      <c r="AZ45" s="28"/>
      <c r="BA45" s="28"/>
      <c r="BB45" s="28"/>
    </row>
    <row r="46" customFormat="false" ht="15" hidden="false" customHeight="false" outlineLevel="0" collapsed="false">
      <c r="I46" s="28"/>
      <c r="J46" s="28"/>
      <c r="K46" s="28"/>
      <c r="L46" s="28"/>
      <c r="O46" s="28"/>
      <c r="P46" s="28"/>
      <c r="Q46" s="28"/>
      <c r="R46" s="28"/>
      <c r="U46" s="28"/>
      <c r="V46" s="28"/>
      <c r="W46" s="28"/>
      <c r="X46" s="28"/>
      <c r="AA46" s="28"/>
      <c r="AB46" s="28"/>
      <c r="AC46" s="28"/>
      <c r="AD46" s="28"/>
      <c r="AG46" s="28"/>
      <c r="AH46" s="28"/>
      <c r="AI46" s="28"/>
      <c r="AJ46" s="28"/>
      <c r="AM46" s="28"/>
      <c r="AN46" s="28"/>
      <c r="AO46" s="28"/>
      <c r="AP46" s="28"/>
      <c r="AS46" s="28"/>
      <c r="AT46" s="28"/>
      <c r="AU46" s="28"/>
      <c r="AV46" s="28"/>
      <c r="AY46" s="28"/>
      <c r="AZ46" s="28"/>
      <c r="BA46" s="28"/>
      <c r="BB46" s="28"/>
    </row>
    <row r="47" customFormat="false" ht="15" hidden="false" customHeight="false" outlineLevel="0" collapsed="false">
      <c r="I47" s="28"/>
      <c r="J47" s="28"/>
      <c r="K47" s="28"/>
      <c r="L47" s="28"/>
      <c r="O47" s="28"/>
      <c r="P47" s="28"/>
      <c r="Q47" s="28"/>
      <c r="R47" s="28"/>
      <c r="U47" s="28"/>
      <c r="V47" s="28"/>
      <c r="W47" s="28"/>
      <c r="X47" s="28"/>
      <c r="AA47" s="28"/>
      <c r="AB47" s="28"/>
      <c r="AC47" s="28"/>
      <c r="AD47" s="28"/>
      <c r="AG47" s="28"/>
      <c r="AH47" s="28"/>
      <c r="AI47" s="28"/>
      <c r="AJ47" s="28"/>
      <c r="AM47" s="28"/>
      <c r="AN47" s="28"/>
      <c r="AO47" s="28"/>
      <c r="AP47" s="28"/>
      <c r="AS47" s="28"/>
      <c r="AT47" s="28"/>
      <c r="AU47" s="28"/>
      <c r="AV47" s="28"/>
      <c r="AY47" s="28"/>
      <c r="AZ47" s="28"/>
      <c r="BA47" s="28"/>
      <c r="BB47" s="28"/>
    </row>
    <row r="48" customFormat="false" ht="15" hidden="false" customHeight="false" outlineLevel="0" collapsed="false">
      <c r="I48" s="28"/>
      <c r="J48" s="28"/>
      <c r="K48" s="28"/>
      <c r="L48" s="28"/>
      <c r="O48" s="28"/>
      <c r="P48" s="28"/>
      <c r="Q48" s="28"/>
      <c r="R48" s="28"/>
      <c r="U48" s="28"/>
      <c r="V48" s="28"/>
      <c r="W48" s="28"/>
      <c r="X48" s="28"/>
      <c r="AA48" s="28"/>
      <c r="AB48" s="28"/>
      <c r="AC48" s="28"/>
      <c r="AD48" s="28"/>
      <c r="AG48" s="28"/>
      <c r="AH48" s="28"/>
      <c r="AI48" s="28"/>
      <c r="AJ48" s="28"/>
      <c r="AM48" s="28"/>
      <c r="AN48" s="28"/>
      <c r="AO48" s="28"/>
      <c r="AP48" s="28"/>
      <c r="AS48" s="28"/>
      <c r="AT48" s="28"/>
      <c r="AU48" s="28"/>
      <c r="AV48" s="28"/>
      <c r="AY48" s="28"/>
      <c r="AZ48" s="28"/>
      <c r="BA48" s="28"/>
      <c r="BB48" s="28"/>
    </row>
    <row r="49" customFormat="false" ht="15" hidden="false" customHeight="false" outlineLevel="0" collapsed="false">
      <c r="I49" s="28"/>
      <c r="J49" s="28"/>
      <c r="K49" s="28"/>
      <c r="L49" s="28"/>
      <c r="O49" s="28"/>
      <c r="P49" s="28"/>
      <c r="Q49" s="28"/>
      <c r="R49" s="28"/>
      <c r="U49" s="28"/>
      <c r="V49" s="28"/>
      <c r="W49" s="28"/>
      <c r="X49" s="28"/>
      <c r="AA49" s="28"/>
      <c r="AB49" s="28"/>
      <c r="AC49" s="28"/>
      <c r="AD49" s="28"/>
      <c r="AG49" s="28"/>
      <c r="AH49" s="28"/>
      <c r="AI49" s="28"/>
      <c r="AJ49" s="28"/>
      <c r="AM49" s="28"/>
      <c r="AN49" s="28"/>
      <c r="AO49" s="28"/>
      <c r="AP49" s="28"/>
      <c r="AS49" s="28"/>
      <c r="AT49" s="28"/>
      <c r="AU49" s="28"/>
      <c r="AV49" s="28"/>
      <c r="AY49" s="28"/>
      <c r="AZ49" s="28"/>
      <c r="BA49" s="28"/>
      <c r="BB49" s="28"/>
    </row>
    <row r="50" customFormat="false" ht="15" hidden="false" customHeight="false" outlineLevel="0" collapsed="false">
      <c r="I50" s="28"/>
      <c r="J50" s="28"/>
      <c r="K50" s="28"/>
      <c r="L50" s="28"/>
      <c r="O50" s="28"/>
      <c r="P50" s="28"/>
      <c r="Q50" s="28"/>
      <c r="R50" s="28"/>
      <c r="U50" s="28"/>
      <c r="V50" s="28"/>
      <c r="W50" s="28"/>
      <c r="X50" s="28"/>
      <c r="AA50" s="28"/>
      <c r="AB50" s="28"/>
      <c r="AC50" s="28"/>
      <c r="AD50" s="28"/>
      <c r="AG50" s="28"/>
      <c r="AH50" s="28"/>
      <c r="AI50" s="28"/>
      <c r="AJ50" s="28"/>
      <c r="AM50" s="28"/>
      <c r="AN50" s="28"/>
      <c r="AO50" s="28"/>
      <c r="AP50" s="28"/>
      <c r="AS50" s="28"/>
      <c r="AT50" s="28"/>
      <c r="AU50" s="28"/>
      <c r="AV50" s="28"/>
      <c r="AY50" s="28"/>
      <c r="AZ50" s="28"/>
      <c r="BA50" s="28"/>
      <c r="BB50" s="28"/>
    </row>
    <row r="51" customFormat="false" ht="15" hidden="false" customHeight="false" outlineLevel="0" collapsed="false">
      <c r="I51" s="28"/>
      <c r="J51" s="28"/>
      <c r="K51" s="28"/>
      <c r="L51" s="28"/>
      <c r="O51" s="28"/>
      <c r="P51" s="28"/>
      <c r="Q51" s="28"/>
      <c r="R51" s="28"/>
      <c r="U51" s="28"/>
      <c r="V51" s="28"/>
      <c r="W51" s="28"/>
      <c r="X51" s="28"/>
      <c r="AA51" s="28"/>
      <c r="AB51" s="28"/>
      <c r="AC51" s="28"/>
      <c r="AD51" s="28"/>
      <c r="AG51" s="28"/>
      <c r="AH51" s="28"/>
      <c r="AI51" s="28"/>
      <c r="AJ51" s="28"/>
      <c r="AM51" s="28"/>
      <c r="AN51" s="28"/>
      <c r="AO51" s="28"/>
      <c r="AP51" s="28"/>
      <c r="AS51" s="28"/>
      <c r="AT51" s="28"/>
      <c r="AU51" s="28"/>
      <c r="AV51" s="28"/>
      <c r="AY51" s="28"/>
      <c r="AZ51" s="28"/>
      <c r="BA51" s="28"/>
      <c r="BB51" s="28"/>
    </row>
    <row r="52" customFormat="false" ht="15" hidden="false" customHeight="false" outlineLevel="0" collapsed="false">
      <c r="I52" s="28"/>
      <c r="J52" s="28"/>
      <c r="K52" s="28"/>
      <c r="L52" s="28"/>
      <c r="O52" s="28"/>
      <c r="P52" s="28"/>
      <c r="Q52" s="28"/>
      <c r="R52" s="28"/>
      <c r="U52" s="28"/>
      <c r="V52" s="28"/>
      <c r="W52" s="28"/>
      <c r="X52" s="28"/>
      <c r="AA52" s="28"/>
      <c r="AB52" s="28"/>
      <c r="AC52" s="28"/>
      <c r="AD52" s="28"/>
      <c r="AG52" s="28"/>
      <c r="AH52" s="28"/>
      <c r="AI52" s="28"/>
      <c r="AJ52" s="28"/>
      <c r="AM52" s="28"/>
      <c r="AN52" s="28"/>
      <c r="AO52" s="28"/>
      <c r="AP52" s="28"/>
      <c r="AS52" s="28"/>
      <c r="AT52" s="28"/>
      <c r="AU52" s="28"/>
      <c r="AV52" s="28"/>
      <c r="AY52" s="28"/>
      <c r="AZ52" s="28"/>
      <c r="BA52" s="28"/>
      <c r="BB52" s="28"/>
    </row>
    <row r="53" customFormat="false" ht="15" hidden="false" customHeight="false" outlineLevel="0" collapsed="false">
      <c r="I53" s="28"/>
      <c r="J53" s="28"/>
      <c r="K53" s="28"/>
      <c r="L53" s="28"/>
      <c r="O53" s="28"/>
      <c r="P53" s="28"/>
      <c r="Q53" s="28"/>
      <c r="R53" s="28"/>
      <c r="U53" s="28"/>
      <c r="V53" s="28"/>
      <c r="W53" s="28"/>
      <c r="X53" s="28"/>
      <c r="AA53" s="28"/>
      <c r="AB53" s="28"/>
      <c r="AC53" s="28"/>
      <c r="AD53" s="28"/>
      <c r="AG53" s="28"/>
      <c r="AH53" s="28"/>
      <c r="AI53" s="28"/>
      <c r="AJ53" s="28"/>
      <c r="AM53" s="28"/>
      <c r="AN53" s="28"/>
      <c r="AO53" s="28"/>
      <c r="AP53" s="28"/>
      <c r="AS53" s="28"/>
      <c r="AT53" s="28"/>
      <c r="AU53" s="28"/>
      <c r="AV53" s="28"/>
      <c r="AY53" s="28"/>
      <c r="AZ53" s="28"/>
      <c r="BA53" s="28"/>
      <c r="BB53" s="28"/>
    </row>
    <row r="54" customFormat="false" ht="15" hidden="false" customHeight="false" outlineLevel="0" collapsed="false">
      <c r="I54" s="28"/>
      <c r="J54" s="28"/>
      <c r="K54" s="28"/>
      <c r="L54" s="28"/>
      <c r="O54" s="28"/>
      <c r="P54" s="28"/>
      <c r="Q54" s="28"/>
      <c r="R54" s="28"/>
      <c r="U54" s="28"/>
      <c r="V54" s="28"/>
      <c r="W54" s="28"/>
      <c r="X54" s="28"/>
      <c r="AA54" s="28"/>
      <c r="AB54" s="28"/>
      <c r="AC54" s="28"/>
      <c r="AD54" s="28"/>
      <c r="AG54" s="28"/>
      <c r="AH54" s="28"/>
      <c r="AI54" s="28"/>
      <c r="AJ54" s="28"/>
      <c r="AM54" s="28"/>
      <c r="AN54" s="28"/>
      <c r="AO54" s="28"/>
      <c r="AP54" s="28"/>
      <c r="AS54" s="28"/>
      <c r="AT54" s="28"/>
      <c r="AU54" s="28"/>
      <c r="AV54" s="28"/>
      <c r="AY54" s="28"/>
      <c r="AZ54" s="28"/>
      <c r="BA54" s="28"/>
      <c r="BB54" s="28"/>
    </row>
    <row r="55" customFormat="false" ht="15" hidden="false" customHeight="false" outlineLevel="0" collapsed="false">
      <c r="I55" s="28"/>
      <c r="J55" s="28"/>
      <c r="K55" s="28"/>
      <c r="L55" s="28"/>
      <c r="O55" s="28"/>
      <c r="P55" s="28"/>
      <c r="Q55" s="28"/>
      <c r="R55" s="28"/>
      <c r="U55" s="28"/>
      <c r="V55" s="28"/>
      <c r="W55" s="28"/>
      <c r="X55" s="28"/>
      <c r="AA55" s="28"/>
      <c r="AB55" s="28"/>
      <c r="AC55" s="28"/>
      <c r="AD55" s="28"/>
      <c r="AG55" s="28"/>
      <c r="AH55" s="28"/>
      <c r="AI55" s="28"/>
      <c r="AJ55" s="28"/>
      <c r="AM55" s="28"/>
      <c r="AN55" s="28"/>
      <c r="AO55" s="28"/>
      <c r="AP55" s="28"/>
      <c r="AS55" s="28"/>
      <c r="AT55" s="28"/>
      <c r="AU55" s="28"/>
      <c r="AV55" s="28"/>
      <c r="AY55" s="28"/>
      <c r="AZ55" s="28"/>
      <c r="BA55" s="28"/>
      <c r="BB55" s="28"/>
    </row>
    <row r="56" customFormat="false" ht="15" hidden="false" customHeight="false" outlineLevel="0" collapsed="false">
      <c r="I56" s="28"/>
      <c r="J56" s="28"/>
      <c r="K56" s="28"/>
      <c r="L56" s="28"/>
      <c r="O56" s="28"/>
      <c r="P56" s="28"/>
      <c r="Q56" s="28"/>
      <c r="R56" s="28"/>
      <c r="U56" s="28"/>
      <c r="V56" s="28"/>
      <c r="W56" s="28"/>
      <c r="X56" s="28"/>
      <c r="AA56" s="28"/>
      <c r="AB56" s="28"/>
      <c r="AC56" s="28"/>
      <c r="AD56" s="28"/>
      <c r="AG56" s="28"/>
      <c r="AH56" s="28"/>
      <c r="AI56" s="28"/>
      <c r="AJ56" s="28"/>
      <c r="AM56" s="28"/>
      <c r="AN56" s="28"/>
      <c r="AO56" s="28"/>
      <c r="AP56" s="28"/>
      <c r="AS56" s="28"/>
      <c r="AT56" s="28"/>
      <c r="AU56" s="28"/>
      <c r="AV56" s="28"/>
      <c r="AY56" s="28"/>
      <c r="AZ56" s="28"/>
      <c r="BA56" s="28"/>
      <c r="BB56" s="28"/>
    </row>
    <row r="57" customFormat="false" ht="15" hidden="false" customHeight="false" outlineLevel="0" collapsed="false">
      <c r="I57" s="28"/>
      <c r="J57" s="28"/>
      <c r="K57" s="28"/>
      <c r="L57" s="28"/>
      <c r="O57" s="28"/>
      <c r="P57" s="28"/>
      <c r="Q57" s="28"/>
      <c r="R57" s="28"/>
      <c r="U57" s="28"/>
      <c r="V57" s="28"/>
      <c r="W57" s="28"/>
      <c r="X57" s="28"/>
      <c r="AA57" s="28"/>
      <c r="AB57" s="28"/>
      <c r="AC57" s="28"/>
      <c r="AD57" s="28"/>
      <c r="AG57" s="28"/>
      <c r="AH57" s="28"/>
      <c r="AI57" s="28"/>
      <c r="AJ57" s="28"/>
      <c r="AM57" s="28"/>
      <c r="AN57" s="28"/>
      <c r="AO57" s="28"/>
      <c r="AP57" s="28"/>
      <c r="AS57" s="28"/>
      <c r="AT57" s="28"/>
      <c r="AU57" s="28"/>
      <c r="AV57" s="28"/>
      <c r="AY57" s="28"/>
      <c r="AZ57" s="28"/>
      <c r="BA57" s="28"/>
      <c r="BB57" s="28"/>
    </row>
    <row r="58" customFormat="false" ht="15" hidden="false" customHeight="false" outlineLevel="0" collapsed="false">
      <c r="I58" s="28"/>
      <c r="J58" s="28"/>
      <c r="K58" s="28"/>
      <c r="L58" s="28"/>
      <c r="O58" s="28"/>
      <c r="P58" s="28"/>
      <c r="Q58" s="28"/>
      <c r="R58" s="28"/>
      <c r="U58" s="28"/>
      <c r="V58" s="28"/>
      <c r="W58" s="28"/>
      <c r="X58" s="28"/>
      <c r="AA58" s="28"/>
      <c r="AB58" s="28"/>
      <c r="AC58" s="28"/>
      <c r="AD58" s="28"/>
      <c r="AG58" s="28"/>
      <c r="AH58" s="28"/>
      <c r="AI58" s="28"/>
      <c r="AJ58" s="28"/>
      <c r="AM58" s="28"/>
      <c r="AN58" s="28"/>
      <c r="AO58" s="28"/>
      <c r="AP58" s="28"/>
      <c r="AS58" s="28"/>
      <c r="AT58" s="28"/>
      <c r="AU58" s="28"/>
      <c r="AV58" s="28"/>
      <c r="AY58" s="28"/>
      <c r="AZ58" s="28"/>
      <c r="BA58" s="28"/>
      <c r="BB58" s="28"/>
    </row>
    <row r="59" customFormat="false" ht="15" hidden="false" customHeight="false" outlineLevel="0" collapsed="false">
      <c r="I59" s="28"/>
      <c r="J59" s="28"/>
      <c r="K59" s="28"/>
      <c r="L59" s="28"/>
      <c r="O59" s="28"/>
      <c r="P59" s="28"/>
      <c r="Q59" s="28"/>
      <c r="R59" s="28"/>
      <c r="U59" s="28"/>
      <c r="V59" s="28"/>
      <c r="W59" s="28"/>
      <c r="X59" s="28"/>
      <c r="AA59" s="28"/>
      <c r="AB59" s="28"/>
      <c r="AC59" s="28"/>
      <c r="AD59" s="28"/>
      <c r="AG59" s="28"/>
      <c r="AH59" s="28"/>
      <c r="AI59" s="28"/>
      <c r="AJ59" s="28"/>
      <c r="AM59" s="28"/>
      <c r="AN59" s="28"/>
      <c r="AO59" s="28"/>
      <c r="AP59" s="28"/>
      <c r="AS59" s="28"/>
      <c r="AT59" s="28"/>
      <c r="AU59" s="28"/>
      <c r="AV59" s="28"/>
      <c r="AY59" s="28"/>
      <c r="AZ59" s="28"/>
      <c r="BA59" s="28"/>
      <c r="BB59" s="28"/>
    </row>
    <row r="60" customFormat="false" ht="15" hidden="false" customHeight="false" outlineLevel="0" collapsed="false">
      <c r="I60" s="28"/>
      <c r="J60" s="28"/>
      <c r="K60" s="28"/>
      <c r="L60" s="28"/>
      <c r="O60" s="28"/>
      <c r="P60" s="28"/>
      <c r="Q60" s="28"/>
      <c r="R60" s="28"/>
      <c r="U60" s="28"/>
      <c r="V60" s="28"/>
      <c r="W60" s="28"/>
      <c r="X60" s="28"/>
      <c r="AA60" s="28"/>
      <c r="AB60" s="28"/>
      <c r="AC60" s="28"/>
      <c r="AD60" s="28"/>
      <c r="AG60" s="28"/>
      <c r="AH60" s="28"/>
      <c r="AI60" s="28"/>
      <c r="AJ60" s="28"/>
      <c r="AM60" s="28"/>
      <c r="AN60" s="28"/>
      <c r="AO60" s="28"/>
      <c r="AP60" s="28"/>
      <c r="AS60" s="28"/>
      <c r="AT60" s="28"/>
      <c r="AU60" s="28"/>
      <c r="AV60" s="28"/>
      <c r="AY60" s="28"/>
      <c r="AZ60" s="28"/>
      <c r="BA60" s="28"/>
      <c r="BB60" s="28"/>
    </row>
    <row r="61" customFormat="false" ht="15" hidden="false" customHeight="false" outlineLevel="0" collapsed="false">
      <c r="I61" s="28"/>
      <c r="J61" s="28"/>
      <c r="K61" s="28"/>
      <c r="L61" s="28"/>
      <c r="O61" s="28"/>
      <c r="P61" s="28"/>
      <c r="Q61" s="28"/>
      <c r="R61" s="28"/>
      <c r="U61" s="28"/>
      <c r="V61" s="28"/>
      <c r="W61" s="28"/>
      <c r="X61" s="28"/>
      <c r="AA61" s="28"/>
      <c r="AB61" s="28"/>
      <c r="AC61" s="28"/>
      <c r="AD61" s="28"/>
      <c r="AG61" s="28"/>
      <c r="AH61" s="28"/>
      <c r="AI61" s="28"/>
      <c r="AJ61" s="28"/>
      <c r="AM61" s="28"/>
      <c r="AN61" s="28"/>
      <c r="AO61" s="28"/>
      <c r="AP61" s="28"/>
      <c r="AS61" s="28"/>
      <c r="AT61" s="28"/>
      <c r="AU61" s="28"/>
      <c r="AV61" s="28"/>
      <c r="AY61" s="28"/>
      <c r="AZ61" s="28"/>
      <c r="BA61" s="28"/>
      <c r="BB61" s="28"/>
    </row>
    <row r="62" customFormat="false" ht="15" hidden="false" customHeight="false" outlineLevel="0" collapsed="false">
      <c r="I62" s="28"/>
      <c r="J62" s="28"/>
      <c r="K62" s="28"/>
      <c r="L62" s="28"/>
      <c r="O62" s="28"/>
      <c r="P62" s="28"/>
      <c r="Q62" s="28"/>
      <c r="R62" s="28"/>
      <c r="U62" s="28"/>
      <c r="V62" s="28"/>
      <c r="W62" s="28"/>
      <c r="X62" s="28"/>
      <c r="AA62" s="28"/>
      <c r="AB62" s="28"/>
      <c r="AC62" s="28"/>
      <c r="AD62" s="28"/>
      <c r="AG62" s="28"/>
      <c r="AH62" s="28"/>
      <c r="AI62" s="28"/>
      <c r="AJ62" s="28"/>
      <c r="AM62" s="28"/>
      <c r="AN62" s="28"/>
      <c r="AO62" s="28"/>
      <c r="AP62" s="28"/>
      <c r="AS62" s="28"/>
      <c r="AT62" s="28"/>
      <c r="AU62" s="28"/>
      <c r="AV62" s="28"/>
      <c r="AY62" s="28"/>
      <c r="AZ62" s="28"/>
      <c r="BA62" s="28"/>
      <c r="BB62" s="28"/>
    </row>
    <row r="63" customFormat="false" ht="15" hidden="false" customHeight="false" outlineLevel="0" collapsed="false">
      <c r="I63" s="28"/>
      <c r="J63" s="28"/>
      <c r="K63" s="28"/>
      <c r="L63" s="28"/>
      <c r="O63" s="28"/>
      <c r="P63" s="28"/>
      <c r="Q63" s="28"/>
      <c r="R63" s="28"/>
      <c r="U63" s="28"/>
      <c r="V63" s="28"/>
      <c r="W63" s="28"/>
      <c r="X63" s="28"/>
      <c r="AA63" s="28"/>
      <c r="AB63" s="28"/>
      <c r="AC63" s="28"/>
      <c r="AD63" s="28"/>
      <c r="AG63" s="28"/>
      <c r="AH63" s="28"/>
      <c r="AI63" s="28"/>
      <c r="AJ63" s="28"/>
      <c r="AM63" s="28"/>
      <c r="AN63" s="28"/>
      <c r="AO63" s="28"/>
      <c r="AP63" s="28"/>
      <c r="AS63" s="28"/>
      <c r="AT63" s="28"/>
      <c r="AU63" s="28"/>
      <c r="AV63" s="28"/>
      <c r="AY63" s="28"/>
      <c r="AZ63" s="28"/>
      <c r="BA63" s="28"/>
      <c r="BB63" s="28"/>
    </row>
    <row r="64" customFormat="false" ht="15" hidden="false" customHeight="false" outlineLevel="0" collapsed="false">
      <c r="I64" s="28"/>
      <c r="J64" s="28"/>
      <c r="K64" s="28"/>
      <c r="L64" s="28"/>
      <c r="O64" s="28"/>
      <c r="P64" s="28"/>
      <c r="Q64" s="28"/>
      <c r="R64" s="28"/>
      <c r="U64" s="28"/>
      <c r="V64" s="28"/>
      <c r="W64" s="28"/>
      <c r="X64" s="28"/>
      <c r="AA64" s="28"/>
      <c r="AB64" s="28"/>
      <c r="AC64" s="28"/>
      <c r="AD64" s="28"/>
      <c r="AG64" s="28"/>
      <c r="AH64" s="28"/>
      <c r="AI64" s="28"/>
      <c r="AJ64" s="28"/>
      <c r="AM64" s="28"/>
      <c r="AN64" s="28"/>
      <c r="AO64" s="28"/>
      <c r="AP64" s="28"/>
      <c r="AS64" s="28"/>
      <c r="AT64" s="28"/>
      <c r="AU64" s="28"/>
      <c r="AV64" s="28"/>
      <c r="AY64" s="28"/>
      <c r="AZ64" s="28"/>
      <c r="BA64" s="28"/>
      <c r="BB64" s="28"/>
    </row>
    <row r="65" customFormat="false" ht="15" hidden="false" customHeight="false" outlineLevel="0" collapsed="false">
      <c r="I65" s="28"/>
      <c r="J65" s="28"/>
      <c r="K65" s="28"/>
      <c r="L65" s="28"/>
      <c r="O65" s="28"/>
      <c r="P65" s="28"/>
      <c r="Q65" s="28"/>
      <c r="R65" s="28"/>
      <c r="U65" s="28"/>
      <c r="V65" s="28"/>
      <c r="W65" s="28"/>
      <c r="X65" s="28"/>
      <c r="AA65" s="28"/>
      <c r="AB65" s="28"/>
      <c r="AC65" s="28"/>
      <c r="AD65" s="28"/>
      <c r="AG65" s="28"/>
      <c r="AH65" s="28"/>
      <c r="AI65" s="28"/>
      <c r="AJ65" s="28"/>
      <c r="AM65" s="28"/>
      <c r="AN65" s="28"/>
      <c r="AO65" s="28"/>
      <c r="AP65" s="28"/>
      <c r="AS65" s="28"/>
      <c r="AT65" s="28"/>
      <c r="AU65" s="28"/>
      <c r="AV65" s="28"/>
      <c r="AY65" s="28"/>
      <c r="AZ65" s="28"/>
      <c r="BA65" s="28"/>
      <c r="BB65" s="28"/>
    </row>
    <row r="66" customFormat="false" ht="15" hidden="false" customHeight="false" outlineLevel="0" collapsed="false">
      <c r="I66" s="28"/>
      <c r="J66" s="28"/>
      <c r="K66" s="28"/>
      <c r="L66" s="28"/>
      <c r="O66" s="28"/>
      <c r="P66" s="28"/>
      <c r="Q66" s="28"/>
      <c r="R66" s="28"/>
      <c r="U66" s="28"/>
      <c r="V66" s="28"/>
      <c r="W66" s="28"/>
      <c r="X66" s="28"/>
      <c r="AA66" s="28"/>
      <c r="AB66" s="28"/>
      <c r="AC66" s="28"/>
      <c r="AD66" s="28"/>
      <c r="AG66" s="28"/>
      <c r="AH66" s="28"/>
      <c r="AI66" s="28"/>
      <c r="AJ66" s="28"/>
      <c r="AM66" s="28"/>
      <c r="AN66" s="28"/>
      <c r="AO66" s="28"/>
      <c r="AP66" s="28"/>
      <c r="AS66" s="28"/>
      <c r="AT66" s="28"/>
      <c r="AU66" s="28"/>
      <c r="AV66" s="28"/>
      <c r="AY66" s="28"/>
      <c r="AZ66" s="28"/>
      <c r="BA66" s="28"/>
      <c r="BB66" s="28"/>
    </row>
    <row r="67" customFormat="false" ht="15" hidden="false" customHeight="false" outlineLevel="0" collapsed="false">
      <c r="I67" s="28"/>
      <c r="J67" s="28"/>
      <c r="K67" s="28"/>
      <c r="L67" s="28"/>
      <c r="O67" s="28"/>
      <c r="P67" s="28"/>
      <c r="Q67" s="28"/>
      <c r="R67" s="28"/>
      <c r="U67" s="28"/>
      <c r="V67" s="28"/>
      <c r="W67" s="28"/>
      <c r="X67" s="28"/>
      <c r="AA67" s="28"/>
      <c r="AB67" s="28"/>
      <c r="AC67" s="28"/>
      <c r="AD67" s="28"/>
      <c r="AG67" s="28"/>
      <c r="AH67" s="28"/>
      <c r="AI67" s="28"/>
      <c r="AJ67" s="28"/>
      <c r="AM67" s="28"/>
      <c r="AN67" s="28"/>
      <c r="AO67" s="28"/>
      <c r="AP67" s="28"/>
      <c r="AS67" s="28"/>
      <c r="AT67" s="28"/>
      <c r="AU67" s="28"/>
      <c r="AV67" s="28"/>
      <c r="AY67" s="28"/>
      <c r="AZ67" s="28"/>
      <c r="BA67" s="28"/>
      <c r="BB67" s="28"/>
    </row>
    <row r="68" customFormat="false" ht="15" hidden="false" customHeight="false" outlineLevel="0" collapsed="false">
      <c r="I68" s="28"/>
      <c r="J68" s="28"/>
      <c r="K68" s="28"/>
      <c r="L68" s="28"/>
      <c r="O68" s="28"/>
      <c r="P68" s="28"/>
      <c r="Q68" s="28"/>
      <c r="R68" s="28"/>
      <c r="U68" s="28"/>
      <c r="V68" s="28"/>
      <c r="W68" s="28"/>
      <c r="X68" s="28"/>
      <c r="AA68" s="28"/>
      <c r="AB68" s="28"/>
      <c r="AC68" s="28"/>
      <c r="AD68" s="28"/>
      <c r="AG68" s="28"/>
      <c r="AH68" s="28"/>
      <c r="AI68" s="28"/>
      <c r="AJ68" s="28"/>
      <c r="AM68" s="28"/>
      <c r="AN68" s="28"/>
      <c r="AO68" s="28"/>
      <c r="AP68" s="28"/>
      <c r="AS68" s="28"/>
      <c r="AT68" s="28"/>
      <c r="AU68" s="28"/>
      <c r="AV68" s="28"/>
      <c r="AY68" s="28"/>
      <c r="AZ68" s="28"/>
      <c r="BA68" s="28"/>
      <c r="BB68" s="28"/>
    </row>
    <row r="69" customFormat="false" ht="15" hidden="false" customHeight="false" outlineLevel="0" collapsed="false">
      <c r="I69" s="28"/>
      <c r="J69" s="28"/>
      <c r="K69" s="28"/>
      <c r="L69" s="28"/>
      <c r="O69" s="28"/>
      <c r="P69" s="28"/>
      <c r="Q69" s="28"/>
      <c r="R69" s="28"/>
      <c r="U69" s="28"/>
      <c r="V69" s="28"/>
      <c r="W69" s="28"/>
      <c r="X69" s="28"/>
      <c r="AA69" s="28"/>
      <c r="AB69" s="28"/>
      <c r="AC69" s="28"/>
      <c r="AD69" s="28"/>
      <c r="AG69" s="28"/>
      <c r="AH69" s="28"/>
      <c r="AI69" s="28"/>
      <c r="AJ69" s="28"/>
      <c r="AM69" s="28"/>
      <c r="AN69" s="28"/>
      <c r="AO69" s="28"/>
      <c r="AP69" s="28"/>
      <c r="AS69" s="28"/>
      <c r="AT69" s="28"/>
      <c r="AU69" s="28"/>
      <c r="AV69" s="28"/>
      <c r="AY69" s="28"/>
      <c r="AZ69" s="28"/>
      <c r="BA69" s="28"/>
      <c r="BB69" s="28"/>
    </row>
    <row r="70" customFormat="false" ht="15" hidden="false" customHeight="false" outlineLevel="0" collapsed="false">
      <c r="I70" s="28"/>
      <c r="J70" s="28"/>
      <c r="K70" s="28"/>
      <c r="L70" s="28"/>
      <c r="O70" s="28"/>
      <c r="P70" s="28"/>
      <c r="Q70" s="28"/>
      <c r="R70" s="28"/>
      <c r="U70" s="28"/>
      <c r="V70" s="28"/>
      <c r="W70" s="28"/>
      <c r="X70" s="28"/>
      <c r="AA70" s="28"/>
      <c r="AB70" s="28"/>
      <c r="AC70" s="28"/>
      <c r="AD70" s="28"/>
      <c r="AG70" s="28"/>
      <c r="AH70" s="28"/>
      <c r="AI70" s="28"/>
      <c r="AJ70" s="28"/>
      <c r="AM70" s="28"/>
      <c r="AN70" s="28"/>
      <c r="AO70" s="28"/>
      <c r="AP70" s="28"/>
      <c r="AS70" s="28"/>
      <c r="AT70" s="28"/>
      <c r="AU70" s="28"/>
      <c r="AV70" s="28"/>
      <c r="AY70" s="28"/>
      <c r="AZ70" s="28"/>
      <c r="BA70" s="28"/>
      <c r="BB70" s="28"/>
    </row>
    <row r="71" customFormat="false" ht="15" hidden="false" customHeight="false" outlineLevel="0" collapsed="false">
      <c r="I71" s="28"/>
      <c r="J71" s="28"/>
      <c r="K71" s="28"/>
      <c r="L71" s="28"/>
      <c r="O71" s="28"/>
      <c r="P71" s="28"/>
      <c r="Q71" s="28"/>
      <c r="R71" s="28"/>
      <c r="U71" s="28"/>
      <c r="V71" s="28"/>
      <c r="W71" s="28"/>
      <c r="X71" s="28"/>
      <c r="AA71" s="28"/>
      <c r="AB71" s="28"/>
      <c r="AC71" s="28"/>
      <c r="AD71" s="28"/>
      <c r="AG71" s="28"/>
      <c r="AH71" s="28"/>
      <c r="AI71" s="28"/>
      <c r="AJ71" s="28"/>
      <c r="AM71" s="28"/>
      <c r="AN71" s="28"/>
      <c r="AO71" s="28"/>
      <c r="AP71" s="28"/>
      <c r="AS71" s="28"/>
      <c r="AT71" s="28"/>
      <c r="AU71" s="28"/>
      <c r="AV71" s="28"/>
      <c r="AY71" s="28"/>
      <c r="AZ71" s="28"/>
      <c r="BA71" s="28"/>
      <c r="BB71" s="28"/>
    </row>
    <row r="72" customFormat="false" ht="30" hidden="true" customHeight="true" outlineLevel="0" collapsed="false">
      <c r="I72" s="0" t="str">
        <f aca="false" t="array" ref="I72:I102">IF(ISNUMBER(I7:I37)*(I7:I37&gt;=K7:K37)*(M7:M37&lt;&gt;""),M7:M37&amp;","&amp;TEXT(ROUNDUP(I7:I37/IF(ISNUMBER(K7:K37),K7:K37,1),0)*K7:K37,"##0")&amp;","&amp;SUBSTITUTE(SUBSTITUTE(IF(PURCHASE_DESCRIPTION&lt;&gt;"",PURCHASE_DESCRIPTION&amp;":","")&amp;A7:A37,",",";"),"
"," ")&amp;CHAR(10),"")</f>
        <v/>
      </c>
      <c r="O72" s="0" t="str">
        <f aca="false" t="array" ref="O72:O102">IF(ISNUMBER(O7:O37)*(O7:O37&gt;=Q7:Q37)*(S7:S37&lt;&gt;""),TEXT(ROUNDUP(O7:O37/IF(ISNUMBER(Q7:Q37),Q7:Q37,1),0)*Q7:Q37,"##0")&amp;","&amp;S7:S37&amp;","&amp;SUBSTITUTE(SUBSTITUTE(IF(PURCHASE_DESCRIPTION&lt;&gt;"",PURCHASE_DESCRIPTION&amp;":","")&amp;A7:A37,",",";"),"
"," ")&amp;CHAR(10),"")</f>
        <v/>
      </c>
      <c r="U72" s="0" t="str">
        <f aca="false" t="array" ref="U72:U102">IF(ISNUMBER(U7:U37)*(U7:U37&gt;=W7:W37)*(Y7:Y37&lt;&gt;""),Y7:Y37&amp;","&amp;TEXT(ROUNDUP(U7:U37/IF(ISNUMBER(W7:W37),W7:W37,1),0)*W7:W37,"##0")&amp;","&amp;""&amp;","&amp;LEFT(SUBSTITUTE(SUBSTITUTE(IF(PURCHASE_DESCRIPTION&lt;&gt;"",PURCHASE_DESCRIPTION&amp;":","")&amp;A7:A37,",",";"),"
"," "),30)&amp;CHAR(10),"")</f>
        <v/>
      </c>
      <c r="AA72" s="0" t="str">
        <f aca="false" t="array" ref="AA72:AA102">IF(ISNUMBER(AA7:AA37)*(AA7:AA37&gt;=AC7:AC37)*(AE7:AE37&lt;&gt;""),TEXT(ROUNDUP(AA7:AA37/IF(ISNUMBER(AC7:AC37),AC7:AC37,1),0)*AC7:AC37,"##0")&amp;","&amp;SUBSTITUTE(SUBSTITUTE(IF(PURCHASE_DESCRIPTION&lt;&gt;"",PURCHASE_DESCRIPTION&amp;":","")&amp;A7:A37,",",";"),"
"," ")&amp;","&amp;SUBSTITUTE(SUBSTITUTE(IF(PURCHASE_DESCRIPTION&lt;&gt;"",PURCHASE_DESCRIPTION&amp;":","")&amp;C7:C37,",",";"),"
"," ")&amp;","&amp;AE7:AE37&amp;CHAR(10),"")</f>
        <v/>
      </c>
      <c r="AG72" s="0" t="str">
        <f aca="false" t="array" ref="AG72:AG102">IF(ISNUMBER(AG7:AG37)*(AG7:AG37&gt;=AI7:AI37)*(AK7:AK37&lt;&gt;""),AK7:AK37&amp;"|"&amp;TEXT(ROUNDUP(AG7:AG37/IF(ISNUMBER(AI7:AI37),AI7:AI37,1),0)*AI7:AI37,"##0")&amp;"|"&amp;SUBSTITUTE(SUBSTITUTE(SUBSTITUTE(IF(PURCHASE_DESCRIPTION&lt;&gt;"",PURCHASE_DESCRIPTION&amp;":","")&amp;A7:A37,"|",";")," ","_"),"
","_")&amp;CHAR(10),"")</f>
        <v/>
      </c>
      <c r="AM72" s="0" t="str">
        <f aca="false" t="array" ref="AM72:AM102">IF(ISNUMBER(AM7:AM37)*(AM7:AM37&gt;=AO7:AO37)*(AQ7:AQ37&lt;&gt;""),AQ7:AQ37&amp;","&amp;TEXT(ROUNDUP(AM7:AM37/IF(ISNUMBER(AO7:AO37),AO7:AO37,1),0)*AO7:AO37,"##0")&amp;","&amp;SUBSTITUTE(SUBSTITUTE(IF(PURCHASE_DESCRIPTION&lt;&gt;"",PURCHASE_DESCRIPTION&amp;":","")&amp;A7:A37,",",";"),"
"," ")&amp;","&amp;""&amp;CHAR(10),"")</f>
        <v/>
      </c>
      <c r="AS72" s="0" t="str">
        <f aca="false" t="array" ref="AS72:AS102">IF(ISNUMBER(AS7:AS37)*(AS7:AS37&gt;=AU7:AU37)*(AW7:AW37&lt;&gt;""),AW7:AW37&amp;","&amp;TEXT(ROUNDUP(AS7:AS37/IF(ISNUMBER(AU7:AU37),AU7:AU37,1),0)*AU7:AU37,"##0")&amp;","&amp;""&amp;","&amp;""&amp;","&amp;""&amp;","&amp;D7:D37&amp;","&amp;SUBSTITUTE(SUBSTITUTE(IF(PURCHASE_DESCRIPTION&lt;&gt;"",PURCHASE_DESCRIPTION&amp;":","")&amp;A7:A37,",",";"),"
"," ")&amp;CHAR(10),"")</f>
        <v/>
      </c>
      <c r="AY72" s="0" t="str">
        <f aca="false" t="array" ref="AY72:AY102">IF(ISNUMBER(AY7:AY37)*(AY7:AY37&gt;=BA7:BA37)*(BC7:BC37&lt;&gt;""),BC7:BC37&amp;" "&amp;TEXT(ROUNDUP(AY7:AY37/IF(ISNUMBER(BA7:BA37),BA7:BA37,1),0)*BA7:BA37,"##0")&amp;" "&amp;SUBSTITUTE(SUBSTITUTE(IF(PURCHASE_DESCRIPTION&lt;&gt;"",PURCHASE_DESCRIPTION&amp;":","")&amp;A7:A37," ",";"),"
",";")&amp;CHAR(10),"")</f>
        <v/>
      </c>
    </row>
    <row r="73" customFormat="false" ht="30" hidden="true" customHeight="true" outlineLevel="0" collapsed="false">
      <c r="I73" s="0" t="str">
        <v/>
      </c>
      <c r="O73" s="0" t="str">
        <v/>
      </c>
      <c r="U73" s="0" t="str">
        <v/>
      </c>
      <c r="AA73" s="0" t="str">
        <v/>
      </c>
      <c r="AG73" s="0" t="str">
        <v/>
      </c>
      <c r="AM73" s="0" t="str">
        <v/>
      </c>
      <c r="AS73" s="0" t="str">
        <v/>
      </c>
      <c r="AY73" s="0" t="str">
        <v>0603B105K100CT 100 C2
</v>
      </c>
    </row>
    <row r="74" customFormat="false" ht="30" hidden="true" customHeight="true" outlineLevel="0" collapsed="false">
      <c r="I74" s="0" t="str">
        <v/>
      </c>
      <c r="O74" s="0" t="str">
        <v/>
      </c>
      <c r="U74" s="0" t="str">
        <v/>
      </c>
      <c r="AA74" s="0" t="str">
        <v/>
      </c>
      <c r="AG74" s="0" t="str">
        <v/>
      </c>
      <c r="AM74" s="0" t="str">
        <v/>
      </c>
      <c r="AS74" s="0" t="str">
        <v/>
      </c>
      <c r="AY74" s="0" t="str">
        <v>VJ0603Y183JXACW1BC 200 C3-C5,C10,C12,C15,C26,C28,C31,C39-C50
</v>
      </c>
    </row>
    <row r="75" customFormat="false" ht="30" hidden="true" customHeight="true" outlineLevel="0" collapsed="false">
      <c r="I75" s="0" t="str">
        <v/>
      </c>
      <c r="O75" s="0" t="str">
        <v/>
      </c>
      <c r="U75" s="0" t="str">
        <v/>
      </c>
      <c r="AA75" s="0" t="str">
        <v/>
      </c>
      <c r="AG75" s="0" t="str">
        <v/>
      </c>
      <c r="AM75" s="0" t="str">
        <v/>
      </c>
      <c r="AS75" s="0" t="str">
        <v/>
      </c>
      <c r="AY75" s="0" t="str">
        <v/>
      </c>
    </row>
    <row r="76" customFormat="false" ht="30" hidden="true" customHeight="true" outlineLevel="0" collapsed="false">
      <c r="I76" s="0" t="str">
        <v/>
      </c>
      <c r="O76" s="0" t="str">
        <v/>
      </c>
      <c r="U76" s="0" t="str">
        <v/>
      </c>
      <c r="AA76" s="0" t="str">
        <v/>
      </c>
      <c r="AG76" s="0" t="str">
        <v/>
      </c>
      <c r="AM76" s="0" t="str">
        <v/>
      </c>
      <c r="AS76" s="0" t="str">
        <v/>
      </c>
      <c r="AY76" s="0" t="str">
        <v>0603X475K100CT 100 C7,C23
</v>
      </c>
    </row>
    <row r="77" customFormat="false" ht="30" hidden="true" customHeight="true" outlineLevel="0" collapsed="false">
      <c r="I77" s="0" t="str">
        <v/>
      </c>
      <c r="O77" s="0" t="str">
        <v/>
      </c>
      <c r="U77" s="0" t="str">
        <v/>
      </c>
      <c r="AA77" s="0" t="str">
        <v/>
      </c>
      <c r="AG77" s="0" t="str">
        <v/>
      </c>
      <c r="AM77" s="0" t="str">
        <v/>
      </c>
      <c r="AS77" s="0" t="str">
        <v/>
      </c>
      <c r="AY77" s="0" t="str">
        <v>06033C104KAT2A 100 C8,C9,C11,C14,C16-C18,C24,C25,C27,C30,C32
</v>
      </c>
    </row>
    <row r="78" customFormat="false" ht="30" hidden="true" customHeight="true" outlineLevel="0" collapsed="false">
      <c r="I78" s="0" t="str">
        <v/>
      </c>
      <c r="O78" s="0" t="str">
        <v/>
      </c>
      <c r="U78" s="0" t="str">
        <v/>
      </c>
      <c r="AA78" s="0" t="str">
        <v/>
      </c>
      <c r="AG78" s="0" t="str">
        <v/>
      </c>
      <c r="AM78" s="0" t="str">
        <v/>
      </c>
      <c r="AS78" s="0" t="str">
        <v/>
      </c>
      <c r="AY78" s="0" t="str">
        <v>0603X106K6R3CT 20 C13,C29
</v>
      </c>
    </row>
    <row r="79" customFormat="false" ht="30" hidden="true" customHeight="true" outlineLevel="0" collapsed="false">
      <c r="I79" s="0" t="str">
        <v/>
      </c>
      <c r="O79" s="0" t="str">
        <v/>
      </c>
      <c r="U79" s="0" t="str">
        <v/>
      </c>
      <c r="AA79" s="0" t="str">
        <v/>
      </c>
      <c r="AG79" s="0" t="str">
        <v/>
      </c>
      <c r="AM79" s="0" t="str">
        <v/>
      </c>
      <c r="AS79" s="0" t="str">
        <v/>
      </c>
      <c r="AY79" s="0" t="str">
        <v>ESD5Z3V3-DIO 40 D1
</v>
      </c>
    </row>
    <row r="80" customFormat="false" ht="30" hidden="true" customHeight="true" outlineLevel="0" collapsed="false">
      <c r="I80" s="0" t="str">
        <v/>
      </c>
      <c r="O80" s="0" t="str">
        <v/>
      </c>
      <c r="U80" s="0" t="str">
        <v/>
      </c>
      <c r="AA80" s="0" t="str">
        <v/>
      </c>
      <c r="AG80" s="0" t="str">
        <v/>
      </c>
      <c r="AM80" s="0" t="str">
        <v/>
      </c>
      <c r="AS80" s="0" t="str">
        <v/>
      </c>
      <c r="AY80" s="0" t="str">
        <v>RF-GNB191TS-CF 10 D2
</v>
      </c>
    </row>
    <row r="81" customFormat="false" ht="30" hidden="true" customHeight="true" outlineLevel="0" collapsed="false">
      <c r="I81" s="0" t="str">
        <v/>
      </c>
      <c r="O81" s="0" t="str">
        <v/>
      </c>
      <c r="U81" s="0" t="str">
        <v/>
      </c>
      <c r="AA81" s="0" t="str">
        <v/>
      </c>
      <c r="AG81" s="0" t="str">
        <v/>
      </c>
      <c r="AM81" s="0" t="str">
        <v/>
      </c>
      <c r="AS81" s="0" t="str">
        <v/>
      </c>
      <c r="AY81" s="0" t="str">
        <v>0ZRE0012FF1C 10 F1
</v>
      </c>
    </row>
    <row r="82" customFormat="false" ht="30" hidden="true" customHeight="true" outlineLevel="0" collapsed="false">
      <c r="I82" s="0" t="str">
        <v/>
      </c>
      <c r="O82" s="0" t="str">
        <v/>
      </c>
      <c r="U82" s="0" t="str">
        <v/>
      </c>
      <c r="AA82" s="0" t="str">
        <v/>
      </c>
      <c r="AG82" s="0" t="str">
        <v/>
      </c>
      <c r="AM82" s="0" t="str">
        <v/>
      </c>
      <c r="AS82" s="0" t="str">
        <v/>
      </c>
      <c r="AY82" s="0" t="str">
        <v/>
      </c>
    </row>
    <row r="83" customFormat="false" ht="30" hidden="true" customHeight="true" outlineLevel="0" collapsed="false">
      <c r="I83" s="0" t="str">
        <v/>
      </c>
      <c r="O83" s="0" t="str">
        <v/>
      </c>
      <c r="U83" s="0" t="str">
        <v/>
      </c>
      <c r="AA83" s="0" t="str">
        <v/>
      </c>
      <c r="AG83" s="0" t="str">
        <v/>
      </c>
      <c r="AM83" s="0" t="str">
        <v/>
      </c>
      <c r="AS83" s="0" t="str">
        <v/>
      </c>
      <c r="AY83" s="0" t="str">
        <v/>
      </c>
    </row>
    <row r="84" customFormat="false" ht="30" hidden="true" customHeight="true" outlineLevel="0" collapsed="false">
      <c r="I84" s="0" t="str">
        <v/>
      </c>
      <c r="O84" s="0" t="str">
        <v/>
      </c>
      <c r="U84" s="0" t="str">
        <v/>
      </c>
      <c r="AA84" s="0" t="str">
        <v/>
      </c>
      <c r="AG84" s="0" t="str">
        <v/>
      </c>
      <c r="AM84" s="0" t="str">
        <v/>
      </c>
      <c r="AS84" s="0" t="str">
        <v/>
      </c>
      <c r="AY84" s="0" t="str">
        <v/>
      </c>
    </row>
    <row r="85" customFormat="false" ht="30" hidden="true" customHeight="true" outlineLevel="0" collapsed="false">
      <c r="I85" s="0" t="str">
        <v/>
      </c>
      <c r="O85" s="0" t="str">
        <v/>
      </c>
      <c r="U85" s="0" t="str">
        <v/>
      </c>
      <c r="AA85" s="0" t="str">
        <v/>
      </c>
      <c r="AG85" s="0" t="str">
        <v/>
      </c>
      <c r="AM85" s="0" t="str">
        <v/>
      </c>
      <c r="AS85" s="0" t="str">
        <v/>
      </c>
      <c r="AY85" s="0" t="str">
        <v/>
      </c>
    </row>
    <row r="86" customFormat="false" ht="30" hidden="true" customHeight="true" outlineLevel="0" collapsed="false">
      <c r="I86" s="0" t="str">
        <v/>
      </c>
      <c r="O86" s="0" t="str">
        <v/>
      </c>
      <c r="U86" s="0" t="str">
        <v/>
      </c>
      <c r="AA86" s="0" t="str">
        <v/>
      </c>
      <c r="AG86" s="0" t="str">
        <v/>
      </c>
      <c r="AM86" s="0" t="str">
        <v/>
      </c>
      <c r="AS86" s="0" t="str">
        <v/>
      </c>
      <c r="AY86" s="0" t="str">
        <v/>
      </c>
    </row>
    <row r="87" customFormat="false" ht="30" hidden="true" customHeight="true" outlineLevel="0" collapsed="false">
      <c r="I87" s="0" t="str">
        <v/>
      </c>
      <c r="O87" s="0" t="str">
        <v/>
      </c>
      <c r="U87" s="0" t="str">
        <v/>
      </c>
      <c r="AA87" s="0" t="str">
        <v/>
      </c>
      <c r="AG87" s="0" t="str">
        <v/>
      </c>
      <c r="AM87" s="0" t="str">
        <v/>
      </c>
      <c r="AS87" s="0" t="str">
        <v/>
      </c>
      <c r="AY87" s="0" t="str">
        <v/>
      </c>
    </row>
    <row r="88" customFormat="false" ht="30" hidden="true" customHeight="true" outlineLevel="0" collapsed="false">
      <c r="I88" s="0" t="str">
        <v/>
      </c>
      <c r="O88" s="0" t="str">
        <v/>
      </c>
      <c r="U88" s="0" t="str">
        <v/>
      </c>
      <c r="AA88" s="0" t="str">
        <v/>
      </c>
      <c r="AG88" s="0" t="str">
        <v/>
      </c>
      <c r="AM88" s="0" t="str">
        <v/>
      </c>
      <c r="AS88" s="0" t="str">
        <v/>
      </c>
      <c r="AY88" s="0" t="str">
        <v/>
      </c>
    </row>
    <row r="89" customFormat="false" ht="30" hidden="true" customHeight="true" outlineLevel="0" collapsed="false">
      <c r="I89" s="0" t="str">
        <v/>
      </c>
      <c r="O89" s="0" t="str">
        <v/>
      </c>
      <c r="U89" s="0" t="str">
        <v/>
      </c>
      <c r="AA89" s="0" t="str">
        <v/>
      </c>
      <c r="AG89" s="0" t="str">
        <v/>
      </c>
      <c r="AM89" s="0" t="str">
        <v/>
      </c>
      <c r="AS89" s="0" t="str">
        <v/>
      </c>
      <c r="AY89" s="0" t="str">
        <v/>
      </c>
    </row>
    <row r="90" customFormat="false" ht="30" hidden="true" customHeight="true" outlineLevel="0" collapsed="false">
      <c r="I90" s="0" t="str">
        <v/>
      </c>
      <c r="O90" s="0" t="str">
        <v/>
      </c>
      <c r="U90" s="0" t="str">
        <v/>
      </c>
      <c r="AA90" s="0" t="str">
        <v/>
      </c>
      <c r="AG90" s="0" t="str">
        <v/>
      </c>
      <c r="AM90" s="0" t="str">
        <v/>
      </c>
      <c r="AS90" s="0" t="str">
        <v/>
      </c>
      <c r="AY90" s="0" t="str">
        <v/>
      </c>
    </row>
    <row r="91" customFormat="false" ht="30" hidden="true" customHeight="true" outlineLevel="0" collapsed="false">
      <c r="I91" s="0" t="str">
        <v/>
      </c>
      <c r="O91" s="0" t="str">
        <v/>
      </c>
      <c r="U91" s="0" t="str">
        <v/>
      </c>
      <c r="AA91" s="0" t="str">
        <v/>
      </c>
      <c r="AG91" s="0" t="str">
        <v/>
      </c>
      <c r="AM91" s="0" t="str">
        <v/>
      </c>
      <c r="AS91" s="0" t="str">
        <v/>
      </c>
      <c r="AY91" s="0" t="str">
        <v/>
      </c>
    </row>
    <row r="92" customFormat="false" ht="30" hidden="true" customHeight="true" outlineLevel="0" collapsed="false">
      <c r="I92" s="0" t="str">
        <v/>
      </c>
      <c r="O92" s="0" t="str">
        <v/>
      </c>
      <c r="U92" s="0" t="str">
        <v/>
      </c>
      <c r="AA92" s="0" t="str">
        <v/>
      </c>
      <c r="AG92" s="0" t="str">
        <v/>
      </c>
      <c r="AM92" s="0" t="str">
        <v/>
      </c>
      <c r="AS92" s="0" t="str">
        <v/>
      </c>
      <c r="AY92" s="0" t="str">
        <v/>
      </c>
    </row>
    <row r="93" customFormat="false" ht="30" hidden="true" customHeight="true" outlineLevel="0" collapsed="false">
      <c r="I93" s="0" t="str">
        <v/>
      </c>
      <c r="O93" s="0" t="str">
        <v/>
      </c>
      <c r="U93" s="0" t="str">
        <v/>
      </c>
      <c r="AA93" s="0" t="str">
        <v/>
      </c>
      <c r="AG93" s="0" t="str">
        <v/>
      </c>
      <c r="AM93" s="0" t="str">
        <v/>
      </c>
      <c r="AS93" s="0" t="str">
        <v/>
      </c>
      <c r="AY93" s="0" t="str">
        <v>AM1SS-0303S-NZ 5 PS2
</v>
      </c>
    </row>
    <row r="94" customFormat="false" ht="30" hidden="true" customHeight="true" outlineLevel="0" collapsed="false">
      <c r="I94" s="0" t="str">
        <v/>
      </c>
      <c r="O94" s="0" t="str">
        <v/>
      </c>
      <c r="U94" s="0" t="str">
        <v/>
      </c>
      <c r="AA94" s="0" t="str">
        <v/>
      </c>
      <c r="AG94" s="0" t="str">
        <v/>
      </c>
      <c r="AM94" s="0" t="str">
        <v/>
      </c>
      <c r="AS94" s="0" t="str">
        <v/>
      </c>
      <c r="AY94" s="0" t="str">
        <v>ARG1206-220K-0.5% 100 R1-R12
</v>
      </c>
    </row>
    <row r="95" customFormat="false" ht="30" hidden="true" customHeight="true" outlineLevel="0" collapsed="false">
      <c r="I95" s="0" t="str">
        <v/>
      </c>
      <c r="O95" s="0" t="str">
        <v/>
      </c>
      <c r="U95" s="0" t="str">
        <v/>
      </c>
      <c r="AA95" s="0" t="str">
        <v/>
      </c>
      <c r="AG95" s="0" t="str">
        <v/>
      </c>
      <c r="AM95" s="0" t="str">
        <v/>
      </c>
      <c r="AS95" s="0" t="str">
        <v/>
      </c>
      <c r="AY95" s="0" t="str">
        <v>AC0603FR-071KL 200 R13-R18,R34-R36,R72-R77,R87-R92
</v>
      </c>
    </row>
    <row r="96" customFormat="false" ht="30" hidden="true" customHeight="true" outlineLevel="0" collapsed="false">
      <c r="I96" s="0" t="str">
        <v/>
      </c>
      <c r="O96" s="0" t="str">
        <v/>
      </c>
      <c r="U96" s="0" t="str">
        <v/>
      </c>
      <c r="AA96" s="0" t="str">
        <v/>
      </c>
      <c r="AG96" s="0" t="str">
        <v/>
      </c>
      <c r="AM96" s="0" t="str">
        <v/>
      </c>
      <c r="AS96" s="0" t="str">
        <v/>
      </c>
      <c r="AY96" s="0" t="str">
        <v>AC0603FR-0710KL 100 R19,R37,R52-R56
</v>
      </c>
    </row>
    <row r="97" customFormat="false" ht="30" hidden="true" customHeight="true" outlineLevel="0" collapsed="false">
      <c r="I97" s="0" t="str">
        <v/>
      </c>
      <c r="O97" s="0" t="str">
        <v/>
      </c>
      <c r="U97" s="0" t="str">
        <v/>
      </c>
      <c r="AA97" s="0" t="str">
        <v/>
      </c>
      <c r="AG97" s="0" t="str">
        <v/>
      </c>
      <c r="AM97" s="0" t="str">
        <v/>
      </c>
      <c r="AS97" s="0" t="str">
        <v/>
      </c>
      <c r="AY97" s="0" t="str">
        <v>SMD0603-27R-1% 100 R22
</v>
      </c>
    </row>
    <row r="98" customFormat="false" ht="30" hidden="true" customHeight="true" outlineLevel="0" collapsed="false">
      <c r="I98" s="0" t="str">
        <v/>
      </c>
      <c r="O98" s="0" t="str">
        <v/>
      </c>
      <c r="U98" s="0" t="str">
        <v/>
      </c>
      <c r="AA98" s="0" t="str">
        <v/>
      </c>
      <c r="AG98" s="0" t="str">
        <v/>
      </c>
      <c r="AM98" s="0" t="str">
        <v/>
      </c>
      <c r="AS98" s="0" t="str">
        <v/>
      </c>
      <c r="AY98" s="0" t="str">
        <v>ARG1206-20R-0.5% 100 R63-R65,R78-R80
</v>
      </c>
    </row>
    <row r="99" customFormat="false" ht="30" hidden="true" customHeight="true" outlineLevel="0" collapsed="false">
      <c r="I99" s="0" t="str">
        <v/>
      </c>
      <c r="O99" s="0" t="str">
        <v/>
      </c>
      <c r="U99" s="0" t="str">
        <v/>
      </c>
      <c r="AA99" s="0" t="str">
        <v/>
      </c>
      <c r="AG99" s="0" t="str">
        <v/>
      </c>
      <c r="AM99" s="0" t="str">
        <v/>
      </c>
      <c r="AS99" s="0" t="str">
        <v/>
      </c>
      <c r="AY99" s="0" t="str">
        <v/>
      </c>
    </row>
    <row r="100" customFormat="false" ht="30" hidden="true" customHeight="true" outlineLevel="0" collapsed="false">
      <c r="I100" s="0" t="str">
        <v/>
      </c>
      <c r="O100" s="0" t="str">
        <v/>
      </c>
      <c r="U100" s="0" t="str">
        <v/>
      </c>
      <c r="AA100" s="0" t="str">
        <v/>
      </c>
      <c r="AG100" s="0" t="str">
        <v/>
      </c>
      <c r="AM100" s="0" t="str">
        <v/>
      </c>
      <c r="AS100" s="0" t="str">
        <v/>
      </c>
      <c r="AY100" s="0" t="str">
        <v>B72650M271K72 15 RV1-RV3
</v>
      </c>
    </row>
    <row r="101" customFormat="false" ht="30" hidden="true" customHeight="true" outlineLevel="0" collapsed="false">
      <c r="I101" s="0" t="str">
        <v/>
      </c>
      <c r="O101" s="0" t="str">
        <v/>
      </c>
      <c r="U101" s="0" t="str">
        <v/>
      </c>
      <c r="AA101" s="0" t="str">
        <v/>
      </c>
      <c r="AG101" s="0" t="str">
        <v/>
      </c>
      <c r="AM101" s="0" t="str">
        <v/>
      </c>
      <c r="AS101" s="0" t="str">
        <v/>
      </c>
      <c r="AY101" s="0" t="str">
        <v/>
      </c>
    </row>
    <row r="102" customFormat="false" ht="30" hidden="true" customHeight="true" outlineLevel="0" collapsed="false">
      <c r="I102" s="0" t="str">
        <v/>
      </c>
      <c r="O102" s="0" t="str">
        <v/>
      </c>
      <c r="U102" s="0" t="str">
        <v/>
      </c>
      <c r="AA102" s="0" t="str">
        <v/>
      </c>
      <c r="AG102" s="0" t="str">
        <v/>
      </c>
      <c r="AM102" s="0" t="str">
        <v/>
      </c>
      <c r="AS102" s="0" t="str">
        <v/>
      </c>
      <c r="AY102" s="0" t="str">
        <v>16.3840M-CFPX-218 10 Y1,Y2
</v>
      </c>
    </row>
    <row r="103" customFormat="false" ht="30" hidden="true" customHeight="true" outlineLevel="0" collapsed="false">
      <c r="AA103" s="0" t="str">
        <f aca="false">IFERROR(IF(COUNTIFS(AA7:AA37,"&gt;0",AD7:AD37,"&lt;&gt;")&gt;0,"Quantity,Comment,Designator,Footprint,LCSC Part #(optional)"&amp;CHAR(10),""),"")</f>
        <v/>
      </c>
    </row>
  </sheetData>
  <mergeCells count="17">
    <mergeCell ref="A5:G5"/>
    <mergeCell ref="H5:M5"/>
    <mergeCell ref="N5:S5"/>
    <mergeCell ref="T5:Y5"/>
    <mergeCell ref="Z5:AE5"/>
    <mergeCell ref="AF5:AK5"/>
    <mergeCell ref="AL5:AQ5"/>
    <mergeCell ref="AR5:AW5"/>
    <mergeCell ref="AX5:BC5"/>
    <mergeCell ref="I40:L71"/>
    <mergeCell ref="O40:R71"/>
    <mergeCell ref="U40:X71"/>
    <mergeCell ref="AA40:AD71"/>
    <mergeCell ref="AG40:AJ71"/>
    <mergeCell ref="AM40:AP71"/>
    <mergeCell ref="AS40:AV71"/>
    <mergeCell ref="AY40:BB71"/>
  </mergeCells>
  <conditionalFormatting sqref="AF10">
    <cfRule type="cellIs" priority="2" operator="lessThan" aboveAverage="0" equalAverage="0" bottom="0" percent="0" rank="0" text="" dxfId="0">
      <formula>E10</formula>
    </cfRule>
  </conditionalFormatting>
  <conditionalFormatting sqref="AF11">
    <cfRule type="cellIs" priority="3" operator="lessThan" aboveAverage="0" equalAverage="0" bottom="0" percent="0" rank="0" text="" dxfId="0">
      <formula>E11</formula>
    </cfRule>
  </conditionalFormatting>
  <conditionalFormatting sqref="AF12">
    <cfRule type="cellIs" priority="4" operator="lessThan" aboveAverage="0" equalAverage="0" bottom="0" percent="0" rank="0" text="" dxfId="0">
      <formula>E12</formula>
    </cfRule>
  </conditionalFormatting>
  <conditionalFormatting sqref="AF13">
    <cfRule type="cellIs" priority="5" operator="lessThan" aboveAverage="0" equalAverage="0" bottom="0" percent="0" rank="0" text="" dxfId="0">
      <formula>E13</formula>
    </cfRule>
  </conditionalFormatting>
  <conditionalFormatting sqref="AF14">
    <cfRule type="cellIs" priority="6" operator="lessThan" aboveAverage="0" equalAverage="0" bottom="0" percent="0" rank="0" text="" dxfId="0">
      <formula>E14</formula>
    </cfRule>
  </conditionalFormatting>
  <conditionalFormatting sqref="AF16">
    <cfRule type="cellIs" priority="7" operator="lessThan" aboveAverage="0" equalAverage="0" bottom="0" percent="0" rank="0" text="" dxfId="0">
      <formula>E16</formula>
    </cfRule>
  </conditionalFormatting>
  <conditionalFormatting sqref="AF17">
    <cfRule type="cellIs" priority="8" operator="lessThan" aboveAverage="0" equalAverage="0" bottom="0" percent="0" rank="0" text="" dxfId="0">
      <formula>E17</formula>
    </cfRule>
  </conditionalFormatting>
  <conditionalFormatting sqref="AF26">
    <cfRule type="cellIs" priority="9" operator="lessThan" aboveAverage="0" equalAverage="0" bottom="0" percent="0" rank="0" text="" dxfId="0">
      <formula>E26</formula>
    </cfRule>
  </conditionalFormatting>
  <conditionalFormatting sqref="AF30">
    <cfRule type="cellIs" priority="10" operator="lessThan" aboveAverage="0" equalAverage="0" bottom="0" percent="0" rank="0" text="" dxfId="0">
      <formula>E30</formula>
    </cfRule>
  </conditionalFormatting>
  <conditionalFormatting sqref="AF31">
    <cfRule type="cellIs" priority="11" operator="lessThan" aboveAverage="0" equalAverage="0" bottom="0" percent="0" rank="0" text="" dxfId="0">
      <formula>E31</formula>
    </cfRule>
  </conditionalFormatting>
  <conditionalFormatting sqref="AF32">
    <cfRule type="cellIs" priority="12" operator="lessThan" aboveAverage="0" equalAverage="0" bottom="0" percent="0" rank="0" text="" dxfId="0">
      <formula>E32</formula>
    </cfRule>
  </conditionalFormatting>
  <conditionalFormatting sqref="AF35">
    <cfRule type="cellIs" priority="13" operator="lessThan" aboveAverage="0" equalAverage="0" bottom="0" percent="0" rank="0" text="" dxfId="0">
      <formula>E35</formula>
    </cfRule>
  </conditionalFormatting>
  <conditionalFormatting sqref="AF37">
    <cfRule type="cellIs" priority="14" operator="lessThan" aboveAverage="0" equalAverage="0" bottom="0" percent="0" rank="0" text="" dxfId="0">
      <formula>E37</formula>
    </cfRule>
  </conditionalFormatting>
  <conditionalFormatting sqref="AF7">
    <cfRule type="cellIs" priority="15" operator="lessThan" aboveAverage="0" equalAverage="0" bottom="0" percent="0" rank="0" text="" dxfId="0">
      <formula>E7</formula>
    </cfRule>
  </conditionalFormatting>
  <conditionalFormatting sqref="AF8">
    <cfRule type="cellIs" priority="16" operator="lessThan" aboveAverage="0" equalAverage="0" bottom="0" percent="0" rank="0" text="" dxfId="0">
      <formula>E8</formula>
    </cfRule>
  </conditionalFormatting>
  <conditionalFormatting sqref="AF9">
    <cfRule type="cellIs" priority="17" operator="lessThan" aboveAverage="0" equalAverage="0" bottom="0" percent="0" rank="0" text="" dxfId="0">
      <formula>E9</formula>
    </cfRule>
  </conditionalFormatting>
  <conditionalFormatting sqref="AG10">
    <cfRule type="expression" priority="18" aboveAverage="0" equalAverage="0" bottom="0" percent="0" rank="0" text="" dxfId="1">
      <formula>AND(NOT(ISBLANK(AG10)),OR(AF10="NonStk",AG10&gt;AF10))</formula>
    </cfRule>
  </conditionalFormatting>
  <conditionalFormatting sqref="AG11">
    <cfRule type="expression" priority="19" aboveAverage="0" equalAverage="0" bottom="0" percent="0" rank="0" text="" dxfId="1">
      <formula>AND(NOT(ISBLANK(AG11)),OR(AF11="NonStk",AG11&gt;AF11))</formula>
    </cfRule>
  </conditionalFormatting>
  <conditionalFormatting sqref="AG12">
    <cfRule type="expression" priority="20" aboveAverage="0" equalAverage="0" bottom="0" percent="0" rank="0" text="" dxfId="1">
      <formula>AND(NOT(ISBLANK(AG12)),OR(AF12="NonStk",AG12&gt;AF12))</formula>
    </cfRule>
  </conditionalFormatting>
  <conditionalFormatting sqref="AG13">
    <cfRule type="expression" priority="21" aboveAverage="0" equalAverage="0" bottom="0" percent="0" rank="0" text="" dxfId="1">
      <formula>AND(NOT(ISBLANK(AG13)),OR(AF13="NonStk",AG13&gt;AF13))</formula>
    </cfRule>
  </conditionalFormatting>
  <conditionalFormatting sqref="AG14">
    <cfRule type="expression" priority="22" aboveAverage="0" equalAverage="0" bottom="0" percent="0" rank="0" text="" dxfId="1">
      <formula>AND(NOT(ISBLANK(AG14)),OR(AF14="NonStk",AG14&gt;AF14))</formula>
    </cfRule>
  </conditionalFormatting>
  <conditionalFormatting sqref="AG16">
    <cfRule type="expression" priority="23" aboveAverage="0" equalAverage="0" bottom="0" percent="0" rank="0" text="" dxfId="1">
      <formula>AND(NOT(ISBLANK(AG16)),OR(AF16="NonStk",AG16&gt;AF16))</formula>
    </cfRule>
  </conditionalFormatting>
  <conditionalFormatting sqref="AG17">
    <cfRule type="expression" priority="24" aboveAverage="0" equalAverage="0" bottom="0" percent="0" rank="0" text="" dxfId="1">
      <formula>AND(NOT(ISBLANK(AG17)),OR(AF17="NonStk",AG17&gt;AF17))</formula>
    </cfRule>
  </conditionalFormatting>
  <conditionalFormatting sqref="AG26">
    <cfRule type="expression" priority="25" aboveAverage="0" equalAverage="0" bottom="0" percent="0" rank="0" text="" dxfId="1">
      <formula>AND(NOT(ISBLANK(AG26)),OR(AF26="NonStk",AG26&gt;AF26))</formula>
    </cfRule>
  </conditionalFormatting>
  <conditionalFormatting sqref="AG30">
    <cfRule type="expression" priority="26" aboveAverage="0" equalAverage="0" bottom="0" percent="0" rank="0" text="" dxfId="1">
      <formula>AND(NOT(ISBLANK(AG30)),OR(AF30="NonStk",AG30&gt;AF30))</formula>
    </cfRule>
  </conditionalFormatting>
  <conditionalFormatting sqref="AG31">
    <cfRule type="expression" priority="27" aboveAverage="0" equalAverage="0" bottom="0" percent="0" rank="0" text="" dxfId="1">
      <formula>AND(NOT(ISBLANK(AG31)),OR(AF31="NonStk",AG31&gt;AF31))</formula>
    </cfRule>
  </conditionalFormatting>
  <conditionalFormatting sqref="AG32">
    <cfRule type="expression" priority="28" aboveAverage="0" equalAverage="0" bottom="0" percent="0" rank="0" text="" dxfId="2">
      <formula>AND(AG32&gt;0,MOD(AG32,AI32)&lt;&gt;0)</formula>
    </cfRule>
    <cfRule type="expression" priority="29" aboveAverage="0" equalAverage="0" bottom="0" percent="0" rank="0" text="" dxfId="1">
      <formula>AND(NOT(ISBLANK(AG32)),OR(AF32="NonStk",AG32&gt;AF32))</formula>
    </cfRule>
  </conditionalFormatting>
  <conditionalFormatting sqref="AG35">
    <cfRule type="expression" priority="30" aboveAverage="0" equalAverage="0" bottom="0" percent="0" rank="0" text="" dxfId="1">
      <formula>AND(NOT(ISBLANK(AG35)),OR(AF35="NonStk",AG35&gt;AF35))</formula>
    </cfRule>
  </conditionalFormatting>
  <conditionalFormatting sqref="AG37">
    <cfRule type="expression" priority="31" aboveAverage="0" equalAverage="0" bottom="0" percent="0" rank="0" text="" dxfId="1">
      <formula>AND(NOT(ISBLANK(AG37)),OR(AF37="NonStk",AG37&gt;AF37))</formula>
    </cfRule>
  </conditionalFormatting>
  <conditionalFormatting sqref="AG7">
    <cfRule type="expression" priority="32" aboveAverage="0" equalAverage="0" bottom="0" percent="0" rank="0" text="" dxfId="1">
      <formula>AND(NOT(ISBLANK(AG7)),OR(AF7="NonStk",AG7&gt;AF7))</formula>
    </cfRule>
  </conditionalFormatting>
  <conditionalFormatting sqref="AG8">
    <cfRule type="expression" priority="33" aboveAverage="0" equalAverage="0" bottom="0" percent="0" rank="0" text="" dxfId="1">
      <formula>AND(NOT(ISBLANK(AG8)),OR(AF8="NonStk",AG8&gt;AF8))</formula>
    </cfRule>
  </conditionalFormatting>
  <conditionalFormatting sqref="AG9">
    <cfRule type="expression" priority="34" aboveAverage="0" equalAverage="0" bottom="0" percent="0" rank="0" text="" dxfId="1">
      <formula>AND(NOT(ISBLANK(AG9)),OR(AF9="NonStk",AG9&gt;AF9))</formula>
    </cfRule>
  </conditionalFormatting>
  <conditionalFormatting sqref="AH10">
    <cfRule type="cellIs" priority="35" operator="lessThanOrEqual" aboveAverage="0" equalAverage="0" bottom="0" percent="0" rank="0" text="" dxfId="3">
      <formula>F10</formula>
    </cfRule>
  </conditionalFormatting>
  <conditionalFormatting sqref="AH11">
    <cfRule type="cellIs" priority="36" operator="lessThanOrEqual" aboveAverage="0" equalAverage="0" bottom="0" percent="0" rank="0" text="" dxfId="3">
      <formula>F11</formula>
    </cfRule>
  </conditionalFormatting>
  <conditionalFormatting sqref="AH12">
    <cfRule type="cellIs" priority="37" operator="lessThanOrEqual" aboveAverage="0" equalAverage="0" bottom="0" percent="0" rank="0" text="" dxfId="3">
      <formula>F12</formula>
    </cfRule>
  </conditionalFormatting>
  <conditionalFormatting sqref="AH13">
    <cfRule type="cellIs" priority="38" operator="lessThanOrEqual" aboveAverage="0" equalAverage="0" bottom="0" percent="0" rank="0" text="" dxfId="3">
      <formula>F13</formula>
    </cfRule>
  </conditionalFormatting>
  <conditionalFormatting sqref="AH14">
    <cfRule type="cellIs" priority="39" operator="lessThanOrEqual" aboveAverage="0" equalAverage="0" bottom="0" percent="0" rank="0" text="" dxfId="3">
      <formula>F14</formula>
    </cfRule>
  </conditionalFormatting>
  <conditionalFormatting sqref="AH16">
    <cfRule type="cellIs" priority="40" operator="lessThanOrEqual" aboveAverage="0" equalAverage="0" bottom="0" percent="0" rank="0" text="" dxfId="3">
      <formula>F16</formula>
    </cfRule>
  </conditionalFormatting>
  <conditionalFormatting sqref="AH17">
    <cfRule type="cellIs" priority="41" operator="lessThanOrEqual" aboveAverage="0" equalAverage="0" bottom="0" percent="0" rank="0" text="" dxfId="3">
      <formula>F17</formula>
    </cfRule>
  </conditionalFormatting>
  <conditionalFormatting sqref="AH26">
    <cfRule type="cellIs" priority="42" operator="lessThanOrEqual" aboveAverage="0" equalAverage="0" bottom="0" percent="0" rank="0" text="" dxfId="3">
      <formula>F26</formula>
    </cfRule>
  </conditionalFormatting>
  <conditionalFormatting sqref="AH30">
    <cfRule type="cellIs" priority="43" operator="lessThanOrEqual" aboveAverage="0" equalAverage="0" bottom="0" percent="0" rank="0" text="" dxfId="3">
      <formula>F30</formula>
    </cfRule>
  </conditionalFormatting>
  <conditionalFormatting sqref="AH31">
    <cfRule type="cellIs" priority="44" operator="lessThanOrEqual" aboveAverage="0" equalAverage="0" bottom="0" percent="0" rank="0" text="" dxfId="3">
      <formula>F31</formula>
    </cfRule>
  </conditionalFormatting>
  <conditionalFormatting sqref="AH32">
    <cfRule type="cellIs" priority="45" operator="lessThanOrEqual" aboveAverage="0" equalAverage="0" bottom="0" percent="0" rank="0" text="" dxfId="3">
      <formula>F32</formula>
    </cfRule>
    <cfRule type="expression" priority="46" aboveAverage="0" equalAverage="0" bottom="0" percent="0" rank="0" text="" dxfId="2">
      <formula>AND(E32&lt;10000,AG32&lt;10000)</formula>
    </cfRule>
  </conditionalFormatting>
  <conditionalFormatting sqref="AH35">
    <cfRule type="cellIs" priority="47" operator="lessThanOrEqual" aboveAverage="0" equalAverage="0" bottom="0" percent="0" rank="0" text="" dxfId="3">
      <formula>F35</formula>
    </cfRule>
  </conditionalFormatting>
  <conditionalFormatting sqref="AH37">
    <cfRule type="cellIs" priority="48" operator="lessThanOrEqual" aboveAverage="0" equalAverage="0" bottom="0" percent="0" rank="0" text="" dxfId="3">
      <formula>F37</formula>
    </cfRule>
  </conditionalFormatting>
  <conditionalFormatting sqref="AH7">
    <cfRule type="cellIs" priority="49" operator="lessThanOrEqual" aboveAverage="0" equalAverage="0" bottom="0" percent="0" rank="0" text="" dxfId="3">
      <formula>F7</formula>
    </cfRule>
  </conditionalFormatting>
  <conditionalFormatting sqref="AH8">
    <cfRule type="cellIs" priority="50" operator="lessThanOrEqual" aboveAverage="0" equalAverage="0" bottom="0" percent="0" rank="0" text="" dxfId="3">
      <formula>F8</formula>
    </cfRule>
  </conditionalFormatting>
  <conditionalFormatting sqref="AH9">
    <cfRule type="cellIs" priority="51" operator="lessThanOrEqual" aboveAverage="0" equalAverage="0" bottom="0" percent="0" rank="0" text="" dxfId="3">
      <formula>F9</formula>
    </cfRule>
  </conditionalFormatting>
  <conditionalFormatting sqref="AI32">
    <cfRule type="expression" priority="52" aboveAverage="0" equalAverage="0" bottom="0" percent="0" rank="0" text="" dxfId="2">
      <formula>AND(E32&lt;10000,AG32&lt;10000)</formula>
    </cfRule>
  </conditionalFormatting>
  <conditionalFormatting sqref="AJ10">
    <cfRule type="cellIs" priority="53" operator="lessThanOrEqual" aboveAverage="0" equalAverage="0" bottom="0" percent="0" rank="0" text="" dxfId="3">
      <formula>G10</formula>
    </cfRule>
  </conditionalFormatting>
  <conditionalFormatting sqref="AJ11">
    <cfRule type="cellIs" priority="54" operator="lessThanOrEqual" aboveAverage="0" equalAverage="0" bottom="0" percent="0" rank="0" text="" dxfId="3">
      <formula>G11</formula>
    </cfRule>
  </conditionalFormatting>
  <conditionalFormatting sqref="AJ12">
    <cfRule type="cellIs" priority="55" operator="lessThanOrEqual" aboveAverage="0" equalAverage="0" bottom="0" percent="0" rank="0" text="" dxfId="3">
      <formula>G12</formula>
    </cfRule>
  </conditionalFormatting>
  <conditionalFormatting sqref="AJ13">
    <cfRule type="cellIs" priority="56" operator="lessThanOrEqual" aboveAverage="0" equalAverage="0" bottom="0" percent="0" rank="0" text="" dxfId="3">
      <formula>G13</formula>
    </cfRule>
  </conditionalFormatting>
  <conditionalFormatting sqref="AJ14">
    <cfRule type="cellIs" priority="57" operator="lessThanOrEqual" aboveAverage="0" equalAverage="0" bottom="0" percent="0" rank="0" text="" dxfId="3">
      <formula>G14</formula>
    </cfRule>
  </conditionalFormatting>
  <conditionalFormatting sqref="AJ16">
    <cfRule type="cellIs" priority="58" operator="lessThanOrEqual" aboveAverage="0" equalAverage="0" bottom="0" percent="0" rank="0" text="" dxfId="3">
      <formula>G16</formula>
    </cfRule>
  </conditionalFormatting>
  <conditionalFormatting sqref="AJ17">
    <cfRule type="cellIs" priority="59" operator="lessThanOrEqual" aboveAverage="0" equalAverage="0" bottom="0" percent="0" rank="0" text="" dxfId="3">
      <formula>G17</formula>
    </cfRule>
  </conditionalFormatting>
  <conditionalFormatting sqref="AJ26">
    <cfRule type="cellIs" priority="60" operator="lessThanOrEqual" aboveAverage="0" equalAverage="0" bottom="0" percent="0" rank="0" text="" dxfId="3">
      <formula>G26</formula>
    </cfRule>
  </conditionalFormatting>
  <conditionalFormatting sqref="AJ30">
    <cfRule type="cellIs" priority="61" operator="lessThanOrEqual" aboveAverage="0" equalAverage="0" bottom="0" percent="0" rank="0" text="" dxfId="3">
      <formula>G30</formula>
    </cfRule>
  </conditionalFormatting>
  <conditionalFormatting sqref="AJ31">
    <cfRule type="cellIs" priority="62" operator="lessThanOrEqual" aboveAverage="0" equalAverage="0" bottom="0" percent="0" rank="0" text="" dxfId="3">
      <formula>G31</formula>
    </cfRule>
  </conditionalFormatting>
  <conditionalFormatting sqref="AJ32">
    <cfRule type="cellIs" priority="63" operator="lessThanOrEqual" aboveAverage="0" equalAverage="0" bottom="0" percent="0" rank="0" text="" dxfId="3">
      <formula>G32</formula>
    </cfRule>
    <cfRule type="expression" priority="64" aboveAverage="0" equalAverage="0" bottom="0" percent="0" rank="0" text="" dxfId="2">
      <formula>AND(E32&lt;10000,AG32&lt;10000)</formula>
    </cfRule>
  </conditionalFormatting>
  <conditionalFormatting sqref="AJ35">
    <cfRule type="cellIs" priority="65" operator="lessThanOrEqual" aboveAverage="0" equalAverage="0" bottom="0" percent="0" rank="0" text="" dxfId="3">
      <formula>G35</formula>
    </cfRule>
  </conditionalFormatting>
  <conditionalFormatting sqref="AJ37">
    <cfRule type="cellIs" priority="66" operator="lessThanOrEqual" aboveAverage="0" equalAverage="0" bottom="0" percent="0" rank="0" text="" dxfId="3">
      <formula>G37</formula>
    </cfRule>
  </conditionalFormatting>
  <conditionalFormatting sqref="AJ7">
    <cfRule type="cellIs" priority="67" operator="lessThanOrEqual" aboveAverage="0" equalAverage="0" bottom="0" percent="0" rank="0" text="" dxfId="3">
      <formula>G7</formula>
    </cfRule>
  </conditionalFormatting>
  <conditionalFormatting sqref="AJ8">
    <cfRule type="cellIs" priority="68" operator="lessThanOrEqual" aboveAverage="0" equalAverage="0" bottom="0" percent="0" rank="0" text="" dxfId="3">
      <formula>G8</formula>
    </cfRule>
  </conditionalFormatting>
  <conditionalFormatting sqref="AJ9">
    <cfRule type="cellIs" priority="69" operator="lessThanOrEqual" aboveAverage="0" equalAverage="0" bottom="0" percent="0" rank="0" text="" dxfId="3">
      <formula>G9</formula>
    </cfRule>
  </conditionalFormatting>
  <conditionalFormatting sqref="AL10">
    <cfRule type="cellIs" priority="70" operator="lessThan" aboveAverage="0" equalAverage="0" bottom="0" percent="0" rank="0" text="" dxfId="0">
      <formula>E10</formula>
    </cfRule>
  </conditionalFormatting>
  <conditionalFormatting sqref="AL12">
    <cfRule type="cellIs" priority="71" operator="lessThan" aboveAverage="0" equalAverage="0" bottom="0" percent="0" rank="0" text="" dxfId="0">
      <formula>E12</formula>
    </cfRule>
  </conditionalFormatting>
  <conditionalFormatting sqref="AL13">
    <cfRule type="cellIs" priority="72" operator="lessThan" aboveAverage="0" equalAverage="0" bottom="0" percent="0" rank="0" text="" dxfId="0">
      <formula>E13</formula>
    </cfRule>
  </conditionalFormatting>
  <conditionalFormatting sqref="AL16">
    <cfRule type="cellIs" priority="73" operator="lessThan" aboveAverage="0" equalAverage="0" bottom="0" percent="0" rank="0" text="" dxfId="0">
      <formula>E16</formula>
    </cfRule>
  </conditionalFormatting>
  <conditionalFormatting sqref="AL17">
    <cfRule type="cellIs" priority="74" operator="lessThan" aboveAverage="0" equalAverage="0" bottom="0" percent="0" rank="0" text="" dxfId="0">
      <formula>E17</formula>
    </cfRule>
  </conditionalFormatting>
  <conditionalFormatting sqref="AL26">
    <cfRule type="cellIs" priority="75" operator="lessThan" aboveAverage="0" equalAverage="0" bottom="0" percent="0" rank="0" text="" dxfId="0">
      <formula>E26</formula>
    </cfRule>
  </conditionalFormatting>
  <conditionalFormatting sqref="AL28">
    <cfRule type="cellIs" priority="76" operator="lessThan" aboveAverage="0" equalAverage="0" bottom="0" percent="0" rank="0" text="" dxfId="0">
      <formula>E28</formula>
    </cfRule>
  </conditionalFormatting>
  <conditionalFormatting sqref="AL30">
    <cfRule type="cellIs" priority="77" operator="lessThan" aboveAverage="0" equalAverage="0" bottom="0" percent="0" rank="0" text="" dxfId="0">
      <formula>E30</formula>
    </cfRule>
  </conditionalFormatting>
  <conditionalFormatting sqref="AL31">
    <cfRule type="cellIs" priority="78" operator="lessThan" aboveAverage="0" equalAverage="0" bottom="0" percent="0" rank="0" text="" dxfId="0">
      <formula>E31</formula>
    </cfRule>
  </conditionalFormatting>
  <conditionalFormatting sqref="AL35">
    <cfRule type="cellIs" priority="79" operator="lessThan" aboveAverage="0" equalAverage="0" bottom="0" percent="0" rank="0" text="" dxfId="0">
      <formula>E35</formula>
    </cfRule>
  </conditionalFormatting>
  <conditionalFormatting sqref="AL7">
    <cfRule type="cellIs" priority="80" operator="lessThan" aboveAverage="0" equalAverage="0" bottom="0" percent="0" rank="0" text="" dxfId="0">
      <formula>E7</formula>
    </cfRule>
  </conditionalFormatting>
  <conditionalFormatting sqref="AL8">
    <cfRule type="cellIs" priority="81" operator="lessThan" aboveAverage="0" equalAverage="0" bottom="0" percent="0" rank="0" text="" dxfId="0">
      <formula>E8</formula>
    </cfRule>
  </conditionalFormatting>
  <conditionalFormatting sqref="AL9">
    <cfRule type="cellIs" priority="82" operator="lessThan" aboveAverage="0" equalAverage="0" bottom="0" percent="0" rank="0" text="" dxfId="0">
      <formula>E9</formula>
    </cfRule>
  </conditionalFormatting>
  <conditionalFormatting sqref="AM10">
    <cfRule type="expression" priority="83" aboveAverage="0" equalAverage="0" bottom="0" percent="0" rank="0" text="" dxfId="1">
      <formula>AND(NOT(ISBLANK(AM10)),OR(AL10="NonStk",AM10&gt;AL10))</formula>
    </cfRule>
  </conditionalFormatting>
  <conditionalFormatting sqref="AM12">
    <cfRule type="expression" priority="84" aboveAverage="0" equalAverage="0" bottom="0" percent="0" rank="0" text="" dxfId="1">
      <formula>AND(NOT(ISBLANK(AM12)),OR(AL12="NonStk",AM12&gt;AL12))</formula>
    </cfRule>
  </conditionalFormatting>
  <conditionalFormatting sqref="AM13">
    <cfRule type="expression" priority="85" aboveAverage="0" equalAverage="0" bottom="0" percent="0" rank="0" text="" dxfId="2">
      <formula>AND(AM13&gt;0,MOD(AM13,AO13)&lt;&gt;0)</formula>
    </cfRule>
    <cfRule type="expression" priority="86" aboveAverage="0" equalAverage="0" bottom="0" percent="0" rank="0" text="" dxfId="1">
      <formula>AND(NOT(ISBLANK(AM13)),OR(AL13="NonStk",AM13&gt;AL13))</formula>
    </cfRule>
  </conditionalFormatting>
  <conditionalFormatting sqref="AM16">
    <cfRule type="expression" priority="87" aboveAverage="0" equalAverage="0" bottom="0" percent="0" rank="0" text="" dxfId="2">
      <formula>AND(AM16&gt;0,MOD(AM16,AO16)&lt;&gt;0)</formula>
    </cfRule>
    <cfRule type="expression" priority="88" aboveAverage="0" equalAverage="0" bottom="0" percent="0" rank="0" text="" dxfId="1">
      <formula>AND(NOT(ISBLANK(AM16)),OR(AL16="NonStk",AM16&gt;AL16))</formula>
    </cfRule>
  </conditionalFormatting>
  <conditionalFormatting sqref="AM17">
    <cfRule type="expression" priority="89" aboveAverage="0" equalAverage="0" bottom="0" percent="0" rank="0" text="" dxfId="1">
      <formula>AND(NOT(ISBLANK(AM17)),OR(AL17="NonStk",AM17&gt;AL17))</formula>
    </cfRule>
  </conditionalFormatting>
  <conditionalFormatting sqref="AM26">
    <cfRule type="expression" priority="90" aboveAverage="0" equalAverage="0" bottom="0" percent="0" rank="0" text="" dxfId="2">
      <formula>AND(AM26&gt;0,MOD(AM26,AO26)&lt;&gt;0)</formula>
    </cfRule>
    <cfRule type="expression" priority="91" aboveAverage="0" equalAverage="0" bottom="0" percent="0" rank="0" text="" dxfId="1">
      <formula>AND(NOT(ISBLANK(AM26)),OR(AL26="NonStk",AM26&gt;AL26))</formula>
    </cfRule>
  </conditionalFormatting>
  <conditionalFormatting sqref="AM28">
    <cfRule type="expression" priority="92" aboveAverage="0" equalAverage="0" bottom="0" percent="0" rank="0" text="" dxfId="1">
      <formula>AND(NOT(ISBLANK(AM28)),OR(AL28="NonStk",AM28&gt;AL28))</formula>
    </cfRule>
  </conditionalFormatting>
  <conditionalFormatting sqref="AM30">
    <cfRule type="expression" priority="93" aboveAverage="0" equalAverage="0" bottom="0" percent="0" rank="0" text="" dxfId="1">
      <formula>AND(NOT(ISBLANK(AM30)),OR(AL30="NonStk",AM30&gt;AL30))</formula>
    </cfRule>
  </conditionalFormatting>
  <conditionalFormatting sqref="AM31">
    <cfRule type="expression" priority="94" aboveAverage="0" equalAverage="0" bottom="0" percent="0" rank="0" text="" dxfId="1">
      <formula>AND(NOT(ISBLANK(AM31)),OR(AL31="NonStk",AM31&gt;AL31))</formula>
    </cfRule>
  </conditionalFormatting>
  <conditionalFormatting sqref="AM35">
    <cfRule type="expression" priority="95" aboveAverage="0" equalAverage="0" bottom="0" percent="0" rank="0" text="" dxfId="1">
      <formula>AND(NOT(ISBLANK(AM35)),OR(AL35="NonStk",AM35&gt;AL35))</formula>
    </cfRule>
  </conditionalFormatting>
  <conditionalFormatting sqref="AM7">
    <cfRule type="expression" priority="96" aboveAverage="0" equalAverage="0" bottom="0" percent="0" rank="0" text="" dxfId="2">
      <formula>AND(AM7&gt;0,MOD(AM7,AO7)&lt;&gt;0)</formula>
    </cfRule>
    <cfRule type="expression" priority="97" aboveAverage="0" equalAverage="0" bottom="0" percent="0" rank="0" text="" dxfId="1">
      <formula>AND(NOT(ISBLANK(AM7)),OR(AL7="NonStk",AM7&gt;AL7))</formula>
    </cfRule>
  </conditionalFormatting>
  <conditionalFormatting sqref="AM8">
    <cfRule type="expression" priority="98" aboveAverage="0" equalAverage="0" bottom="0" percent="0" rank="0" text="" dxfId="1">
      <formula>AND(NOT(ISBLANK(AM8)),OR(AL8="NonStk",AM8&gt;AL8))</formula>
    </cfRule>
  </conditionalFormatting>
  <conditionalFormatting sqref="AM9">
    <cfRule type="expression" priority="99" aboveAverage="0" equalAverage="0" bottom="0" percent="0" rank="0" text="" dxfId="2">
      <formula>AND(AM9&gt;0,MOD(AM9,AO9)&lt;&gt;0)</formula>
    </cfRule>
    <cfRule type="expression" priority="100" aboveAverage="0" equalAverage="0" bottom="0" percent="0" rank="0" text="" dxfId="1">
      <formula>AND(NOT(ISBLANK(AM9)),OR(AL9="NonStk",AM9&gt;AL9))</formula>
    </cfRule>
  </conditionalFormatting>
  <conditionalFormatting sqref="AN10">
    <cfRule type="cellIs" priority="101" operator="lessThanOrEqual" aboveAverage="0" equalAverage="0" bottom="0" percent="0" rank="0" text="" dxfId="3">
      <formula>F10</formula>
    </cfRule>
  </conditionalFormatting>
  <conditionalFormatting sqref="AN12">
    <cfRule type="cellIs" priority="102" operator="lessThanOrEqual" aboveAverage="0" equalAverage="0" bottom="0" percent="0" rank="0" text="" dxfId="3">
      <formula>F12</formula>
    </cfRule>
  </conditionalFormatting>
  <conditionalFormatting sqref="AN13">
    <cfRule type="cellIs" priority="103" operator="lessThanOrEqual" aboveAverage="0" equalAverage="0" bottom="0" percent="0" rank="0" text="" dxfId="3">
      <formula>F13</formula>
    </cfRule>
    <cfRule type="expression" priority="104" aboveAverage="0" equalAverage="0" bottom="0" percent="0" rank="0" text="" dxfId="2">
      <formula>AND(E13&lt;4000,AM13&lt;4000)</formula>
    </cfRule>
  </conditionalFormatting>
  <conditionalFormatting sqref="AN16">
    <cfRule type="cellIs" priority="105" operator="lessThanOrEqual" aboveAverage="0" equalAverage="0" bottom="0" percent="0" rank="0" text="" dxfId="3">
      <formula>F16</formula>
    </cfRule>
    <cfRule type="expression" priority="106" aboveAverage="0" equalAverage="0" bottom="0" percent="0" rank="0" text="" dxfId="2">
      <formula>AND(E16&lt;2000,AM16&lt;2000)</formula>
    </cfRule>
  </conditionalFormatting>
  <conditionalFormatting sqref="AN17">
    <cfRule type="cellIs" priority="107" operator="lessThanOrEqual" aboveAverage="0" equalAverage="0" bottom="0" percent="0" rank="0" text="" dxfId="3">
      <formula>F17</formula>
    </cfRule>
  </conditionalFormatting>
  <conditionalFormatting sqref="AN26">
    <cfRule type="cellIs" priority="108" operator="lessThanOrEqual" aboveAverage="0" equalAverage="0" bottom="0" percent="0" rank="0" text="" dxfId="3">
      <formula>F26</formula>
    </cfRule>
    <cfRule type="expression" priority="109" aboveAverage="0" equalAverage="0" bottom="0" percent="0" rank="0" text="" dxfId="2">
      <formula>AND(E26&lt;30000,AM26&lt;30000)</formula>
    </cfRule>
  </conditionalFormatting>
  <conditionalFormatting sqref="AN28">
    <cfRule type="cellIs" priority="110" operator="lessThanOrEqual" aboveAverage="0" equalAverage="0" bottom="0" percent="0" rank="0" text="" dxfId="3">
      <formula>F28</formula>
    </cfRule>
  </conditionalFormatting>
  <conditionalFormatting sqref="AN30">
    <cfRule type="cellIs" priority="111" operator="lessThanOrEqual" aboveAverage="0" equalAverage="0" bottom="0" percent="0" rank="0" text="" dxfId="3">
      <formula>F30</formula>
    </cfRule>
  </conditionalFormatting>
  <conditionalFormatting sqref="AN31">
    <cfRule type="cellIs" priority="112" operator="lessThanOrEqual" aboveAverage="0" equalAverage="0" bottom="0" percent="0" rank="0" text="" dxfId="3">
      <formula>F31</formula>
    </cfRule>
  </conditionalFormatting>
  <conditionalFormatting sqref="AN35">
    <cfRule type="cellIs" priority="113" operator="lessThanOrEqual" aboveAverage="0" equalAverage="0" bottom="0" percent="0" rank="0" text="" dxfId="3">
      <formula>F35</formula>
    </cfRule>
  </conditionalFormatting>
  <conditionalFormatting sqref="AN7">
    <cfRule type="cellIs" priority="114" operator="lessThanOrEqual" aboveAverage="0" equalAverage="0" bottom="0" percent="0" rank="0" text="" dxfId="3">
      <formula>F7</formula>
    </cfRule>
    <cfRule type="expression" priority="115" aboveAverage="0" equalAverage="0" bottom="0" percent="0" rank="0" text="" dxfId="2">
      <formula>AND(E7&lt;2000,AM7&lt;2000)</formula>
    </cfRule>
  </conditionalFormatting>
  <conditionalFormatting sqref="AN8">
    <cfRule type="cellIs" priority="116" operator="lessThanOrEqual" aboveAverage="0" equalAverage="0" bottom="0" percent="0" rank="0" text="" dxfId="3">
      <formula>F8</formula>
    </cfRule>
  </conditionalFormatting>
  <conditionalFormatting sqref="AN9">
    <cfRule type="cellIs" priority="117" operator="lessThanOrEqual" aboveAverage="0" equalAverage="0" bottom="0" percent="0" rank="0" text="" dxfId="3">
      <formula>F9</formula>
    </cfRule>
    <cfRule type="expression" priority="118" aboveAverage="0" equalAverage="0" bottom="0" percent="0" rank="0" text="" dxfId="2">
      <formula>AND(E9&lt;4000,AM9&lt;4000)</formula>
    </cfRule>
  </conditionalFormatting>
  <conditionalFormatting sqref="AO13">
    <cfRule type="expression" priority="119" aboveAverage="0" equalAverage="0" bottom="0" percent="0" rank="0" text="" dxfId="2">
      <formula>AND(E13&lt;4000,AM13&lt;4000)</formula>
    </cfRule>
  </conditionalFormatting>
  <conditionalFormatting sqref="AO16">
    <cfRule type="expression" priority="120" aboveAverage="0" equalAverage="0" bottom="0" percent="0" rank="0" text="" dxfId="2">
      <formula>AND(E16&lt;2000,AM16&lt;2000)</formula>
    </cfRule>
  </conditionalFormatting>
  <conditionalFormatting sqref="AO26">
    <cfRule type="expression" priority="121" aboveAverage="0" equalAverage="0" bottom="0" percent="0" rank="0" text="" dxfId="2">
      <formula>AND(E26&lt;30000,AM26&lt;30000)</formula>
    </cfRule>
  </conditionalFormatting>
  <conditionalFormatting sqref="AO7">
    <cfRule type="expression" priority="122" aboveAverage="0" equalAverage="0" bottom="0" percent="0" rank="0" text="" dxfId="2">
      <formula>AND(E7&lt;2000,AM7&lt;2000)</formula>
    </cfRule>
  </conditionalFormatting>
  <conditionalFormatting sqref="AO9">
    <cfRule type="expression" priority="123" aboveAverage="0" equalAverage="0" bottom="0" percent="0" rank="0" text="" dxfId="2">
      <formula>AND(E9&lt;4000,AM9&lt;4000)</formula>
    </cfRule>
  </conditionalFormatting>
  <conditionalFormatting sqref="AP10">
    <cfRule type="cellIs" priority="124" operator="lessThanOrEqual" aboveAverage="0" equalAverage="0" bottom="0" percent="0" rank="0" text="" dxfId="3">
      <formula>G10</formula>
    </cfRule>
  </conditionalFormatting>
  <conditionalFormatting sqref="AP12">
    <cfRule type="cellIs" priority="125" operator="lessThanOrEqual" aboveAverage="0" equalAverage="0" bottom="0" percent="0" rank="0" text="" dxfId="3">
      <formula>G12</formula>
    </cfRule>
  </conditionalFormatting>
  <conditionalFormatting sqref="AP13">
    <cfRule type="cellIs" priority="126" operator="lessThanOrEqual" aboveAverage="0" equalAverage="0" bottom="0" percent="0" rank="0" text="" dxfId="3">
      <formula>G13</formula>
    </cfRule>
    <cfRule type="expression" priority="127" aboveAverage="0" equalAverage="0" bottom="0" percent="0" rank="0" text="" dxfId="2">
      <formula>AND(E13&lt;4000,AM13&lt;4000)</formula>
    </cfRule>
  </conditionalFormatting>
  <conditionalFormatting sqref="AP16">
    <cfRule type="cellIs" priority="128" operator="lessThanOrEqual" aboveAverage="0" equalAverage="0" bottom="0" percent="0" rank="0" text="" dxfId="3">
      <formula>G16</formula>
    </cfRule>
    <cfRule type="expression" priority="129" aboveAverage="0" equalAverage="0" bottom="0" percent="0" rank="0" text="" dxfId="2">
      <formula>AND(E16&lt;2000,AM16&lt;2000)</formula>
    </cfRule>
  </conditionalFormatting>
  <conditionalFormatting sqref="AP17">
    <cfRule type="cellIs" priority="130" operator="lessThanOrEqual" aboveAverage="0" equalAverage="0" bottom="0" percent="0" rank="0" text="" dxfId="3">
      <formula>G17</formula>
    </cfRule>
  </conditionalFormatting>
  <conditionalFormatting sqref="AP26">
    <cfRule type="cellIs" priority="131" operator="lessThanOrEqual" aboveAverage="0" equalAverage="0" bottom="0" percent="0" rank="0" text="" dxfId="3">
      <formula>G26</formula>
    </cfRule>
    <cfRule type="expression" priority="132" aboveAverage="0" equalAverage="0" bottom="0" percent="0" rank="0" text="" dxfId="2">
      <formula>AND(E26&lt;30000,AM26&lt;30000)</formula>
    </cfRule>
  </conditionalFormatting>
  <conditionalFormatting sqref="AP28">
    <cfRule type="cellIs" priority="133" operator="lessThanOrEqual" aboveAverage="0" equalAverage="0" bottom="0" percent="0" rank="0" text="" dxfId="3">
      <formula>G28</formula>
    </cfRule>
  </conditionalFormatting>
  <conditionalFormatting sqref="AP30">
    <cfRule type="cellIs" priority="134" operator="lessThanOrEqual" aboveAverage="0" equalAverage="0" bottom="0" percent="0" rank="0" text="" dxfId="3">
      <formula>G30</formula>
    </cfRule>
  </conditionalFormatting>
  <conditionalFormatting sqref="AP31">
    <cfRule type="cellIs" priority="135" operator="lessThanOrEqual" aboveAverage="0" equalAverage="0" bottom="0" percent="0" rank="0" text="" dxfId="3">
      <formula>G31</formula>
    </cfRule>
  </conditionalFormatting>
  <conditionalFormatting sqref="AP35">
    <cfRule type="cellIs" priority="136" operator="lessThanOrEqual" aboveAverage="0" equalAverage="0" bottom="0" percent="0" rank="0" text="" dxfId="3">
      <formula>G35</formula>
    </cfRule>
  </conditionalFormatting>
  <conditionalFormatting sqref="AP7">
    <cfRule type="cellIs" priority="137" operator="lessThanOrEqual" aboveAverage="0" equalAverage="0" bottom="0" percent="0" rank="0" text="" dxfId="3">
      <formula>G7</formula>
    </cfRule>
    <cfRule type="expression" priority="138" aboveAverage="0" equalAverage="0" bottom="0" percent="0" rank="0" text="" dxfId="2">
      <formula>AND(E7&lt;2000,AM7&lt;2000)</formula>
    </cfRule>
  </conditionalFormatting>
  <conditionalFormatting sqref="AP8">
    <cfRule type="cellIs" priority="139" operator="lessThanOrEqual" aboveAverage="0" equalAverage="0" bottom="0" percent="0" rank="0" text="" dxfId="3">
      <formula>G8</formula>
    </cfRule>
  </conditionalFormatting>
  <conditionalFormatting sqref="AP9">
    <cfRule type="cellIs" priority="140" operator="lessThanOrEqual" aboveAverage="0" equalAverage="0" bottom="0" percent="0" rank="0" text="" dxfId="3">
      <formula>G9</formula>
    </cfRule>
    <cfRule type="expression" priority="141" aboveAverage="0" equalAverage="0" bottom="0" percent="0" rank="0" text="" dxfId="2">
      <formula>AND(E9&lt;4000,AM9&lt;4000)</formula>
    </cfRule>
  </conditionalFormatting>
  <conditionalFormatting sqref="AR10">
    <cfRule type="cellIs" priority="142" operator="lessThan" aboveAverage="0" equalAverage="0" bottom="0" percent="0" rank="0" text="" dxfId="0">
      <formula>E10</formula>
    </cfRule>
  </conditionalFormatting>
  <conditionalFormatting sqref="AR12">
    <cfRule type="cellIs" priority="143" operator="lessThan" aboveAverage="0" equalAverage="0" bottom="0" percent="0" rank="0" text="" dxfId="0">
      <formula>E12</formula>
    </cfRule>
  </conditionalFormatting>
  <conditionalFormatting sqref="AR17">
    <cfRule type="cellIs" priority="144" operator="lessThan" aboveAverage="0" equalAverage="0" bottom="0" percent="0" rank="0" text="" dxfId="0">
      <formula>E17</formula>
    </cfRule>
  </conditionalFormatting>
  <conditionalFormatting sqref="AR30">
    <cfRule type="cellIs" priority="145" operator="lessThan" aboveAverage="0" equalAverage="0" bottom="0" percent="0" rank="0" text="" dxfId="0">
      <formula>E30</formula>
    </cfRule>
  </conditionalFormatting>
  <conditionalFormatting sqref="AR31">
    <cfRule type="cellIs" priority="146" operator="lessThan" aboveAverage="0" equalAverage="0" bottom="0" percent="0" rank="0" text="" dxfId="0">
      <formula>E31</formula>
    </cfRule>
  </conditionalFormatting>
  <conditionalFormatting sqref="AR35">
    <cfRule type="cellIs" priority="147" operator="lessThan" aboveAverage="0" equalAverage="0" bottom="0" percent="0" rank="0" text="" dxfId="0">
      <formula>E35</formula>
    </cfRule>
  </conditionalFormatting>
  <conditionalFormatting sqref="AS10">
    <cfRule type="expression" priority="148" aboveAverage="0" equalAverage="0" bottom="0" percent="0" rank="0" text="" dxfId="2">
      <formula>AND(AS10&gt;0,MOD(AS10,AU10)&lt;&gt;0)</formula>
    </cfRule>
    <cfRule type="expression" priority="149" aboveAverage="0" equalAverage="0" bottom="0" percent="0" rank="0" text="" dxfId="1">
      <formula>AND(NOT(ISBLANK(AS10)),OR(AR10="NonStk",AS10&gt;AR10))</formula>
    </cfRule>
  </conditionalFormatting>
  <conditionalFormatting sqref="AS12">
    <cfRule type="expression" priority="150" aboveAverage="0" equalAverage="0" bottom="0" percent="0" rank="0" text="" dxfId="2">
      <formula>AND(AS12&gt;0,MOD(AS12,AU12)&lt;&gt;0)</formula>
    </cfRule>
    <cfRule type="expression" priority="151" aboveAverage="0" equalAverage="0" bottom="0" percent="0" rank="0" text="" dxfId="1">
      <formula>AND(NOT(ISBLANK(AS12)),OR(AR12="NonStk",AS12&gt;AR12))</formula>
    </cfRule>
  </conditionalFormatting>
  <conditionalFormatting sqref="AS17">
    <cfRule type="expression" priority="152" aboveAverage="0" equalAverage="0" bottom="0" percent="0" rank="0" text="" dxfId="2">
      <formula>AND(AS17&gt;0,MOD(AS17,AU17)&lt;&gt;0)</formula>
    </cfRule>
    <cfRule type="expression" priority="153" aboveAverage="0" equalAverage="0" bottom="0" percent="0" rank="0" text="" dxfId="1">
      <formula>AND(NOT(ISBLANK(AS17)),OR(AR17="NonStk",AS17&gt;AR17))</formula>
    </cfRule>
  </conditionalFormatting>
  <conditionalFormatting sqref="AS30">
    <cfRule type="expression" priority="154" aboveAverage="0" equalAverage="0" bottom="0" percent="0" rank="0" text="" dxfId="2">
      <formula>AND(AS30&gt;0,MOD(AS30,AU30)&lt;&gt;0)</formula>
    </cfRule>
    <cfRule type="expression" priority="155" aboveAverage="0" equalAverage="0" bottom="0" percent="0" rank="0" text="" dxfId="1">
      <formula>AND(NOT(ISBLANK(AS30)),OR(AR30="NonStk",AS30&gt;AR30))</formula>
    </cfRule>
  </conditionalFormatting>
  <conditionalFormatting sqref="AS31">
    <cfRule type="expression" priority="156" aboveAverage="0" equalAverage="0" bottom="0" percent="0" rank="0" text="" dxfId="2">
      <formula>AND(AS31&gt;0,MOD(AS31,AU31)&lt;&gt;0)</formula>
    </cfRule>
    <cfRule type="expression" priority="157" aboveAverage="0" equalAverage="0" bottom="0" percent="0" rank="0" text="" dxfId="1">
      <formula>AND(NOT(ISBLANK(AS31)),OR(AR31="NonStk",AS31&gt;AR31))</formula>
    </cfRule>
  </conditionalFormatting>
  <conditionalFormatting sqref="AS35">
    <cfRule type="expression" priority="158" aboveAverage="0" equalAverage="0" bottom="0" percent="0" rank="0" text="" dxfId="2">
      <formula>AND(AS35&gt;0,MOD(AS35,AU35)&lt;&gt;0)</formula>
    </cfRule>
    <cfRule type="expression" priority="159" aboveAverage="0" equalAverage="0" bottom="0" percent="0" rank="0" text="" dxfId="1">
      <formula>AND(NOT(ISBLANK(AS35)),OR(AR35="NonStk",AS35&gt;AR35))</formula>
    </cfRule>
  </conditionalFormatting>
  <conditionalFormatting sqref="AT10">
    <cfRule type="cellIs" priority="160" operator="lessThanOrEqual" aboveAverage="0" equalAverage="0" bottom="0" percent="0" rank="0" text="" dxfId="3">
      <formula>F10</formula>
    </cfRule>
  </conditionalFormatting>
  <conditionalFormatting sqref="AT12">
    <cfRule type="cellIs" priority="161" operator="lessThanOrEqual" aboveAverage="0" equalAverage="0" bottom="0" percent="0" rank="0" text="" dxfId="3">
      <formula>F12</formula>
    </cfRule>
  </conditionalFormatting>
  <conditionalFormatting sqref="AT17">
    <cfRule type="cellIs" priority="162" operator="lessThanOrEqual" aboveAverage="0" equalAverage="0" bottom="0" percent="0" rank="0" text="" dxfId="3">
      <formula>F17</formula>
    </cfRule>
  </conditionalFormatting>
  <conditionalFormatting sqref="AT30">
    <cfRule type="cellIs" priority="163" operator="lessThanOrEqual" aboveAverage="0" equalAverage="0" bottom="0" percent="0" rank="0" text="" dxfId="3">
      <formula>F30</formula>
    </cfRule>
  </conditionalFormatting>
  <conditionalFormatting sqref="AT31">
    <cfRule type="cellIs" priority="164" operator="lessThanOrEqual" aboveAverage="0" equalAverage="0" bottom="0" percent="0" rank="0" text="" dxfId="3">
      <formula>F31</formula>
    </cfRule>
  </conditionalFormatting>
  <conditionalFormatting sqref="AT35">
    <cfRule type="cellIs" priority="165" operator="lessThanOrEqual" aboveAverage="0" equalAverage="0" bottom="0" percent="0" rank="0" text="" dxfId="3">
      <formula>F35</formula>
    </cfRule>
  </conditionalFormatting>
  <conditionalFormatting sqref="AV10">
    <cfRule type="cellIs" priority="166" operator="lessThanOrEqual" aboveAverage="0" equalAverage="0" bottom="0" percent="0" rank="0" text="" dxfId="3">
      <formula>G10</formula>
    </cfRule>
  </conditionalFormatting>
  <conditionalFormatting sqref="AV12">
    <cfRule type="cellIs" priority="167" operator="lessThanOrEqual" aboveAverage="0" equalAverage="0" bottom="0" percent="0" rank="0" text="" dxfId="3">
      <formula>G12</formula>
    </cfRule>
  </conditionalFormatting>
  <conditionalFormatting sqref="AV17">
    <cfRule type="cellIs" priority="168" operator="lessThanOrEqual" aboveAverage="0" equalAverage="0" bottom="0" percent="0" rank="0" text="" dxfId="3">
      <formula>G17</formula>
    </cfRule>
  </conditionalFormatting>
  <conditionalFormatting sqref="AV30">
    <cfRule type="cellIs" priority="169" operator="lessThanOrEqual" aboveAverage="0" equalAverage="0" bottom="0" percent="0" rank="0" text="" dxfId="3">
      <formula>G30</formula>
    </cfRule>
  </conditionalFormatting>
  <conditionalFormatting sqref="AV31">
    <cfRule type="cellIs" priority="170" operator="lessThanOrEqual" aboveAverage="0" equalAverage="0" bottom="0" percent="0" rank="0" text="" dxfId="3">
      <formula>G31</formula>
    </cfRule>
  </conditionalFormatting>
  <conditionalFormatting sqref="AV35">
    <cfRule type="cellIs" priority="171" operator="lessThanOrEqual" aboveAverage="0" equalAverage="0" bottom="0" percent="0" rank="0" text="" dxfId="3">
      <formula>G35</formula>
    </cfRule>
  </conditionalFormatting>
  <conditionalFormatting sqref="AX10">
    <cfRule type="cellIs" priority="172" operator="lessThan" aboveAverage="0" equalAverage="0" bottom="0" percent="0" rank="0" text="" dxfId="0">
      <formula>E10</formula>
    </cfRule>
  </conditionalFormatting>
  <conditionalFormatting sqref="AX11">
    <cfRule type="cellIs" priority="173" operator="lessThan" aboveAverage="0" equalAverage="0" bottom="0" percent="0" rank="0" text="" dxfId="0">
      <formula>E11</formula>
    </cfRule>
  </conditionalFormatting>
  <conditionalFormatting sqref="AX12">
    <cfRule type="cellIs" priority="174" operator="lessThan" aboveAverage="0" equalAverage="0" bottom="0" percent="0" rank="0" text="" dxfId="0">
      <formula>E12</formula>
    </cfRule>
  </conditionalFormatting>
  <conditionalFormatting sqref="AX13">
    <cfRule type="cellIs" priority="175" operator="lessThan" aboveAverage="0" equalAverage="0" bottom="0" percent="0" rank="0" text="" dxfId="0">
      <formula>E13</formula>
    </cfRule>
  </conditionalFormatting>
  <conditionalFormatting sqref="AX14">
    <cfRule type="cellIs" priority="176" operator="lessThan" aboveAverage="0" equalAverage="0" bottom="0" percent="0" rank="0" text="" dxfId="0">
      <formula>E14</formula>
    </cfRule>
  </conditionalFormatting>
  <conditionalFormatting sqref="AX15">
    <cfRule type="cellIs" priority="177" operator="lessThan" aboveAverage="0" equalAverage="0" bottom="0" percent="0" rank="0" text="" dxfId="0">
      <formula>E15</formula>
    </cfRule>
  </conditionalFormatting>
  <conditionalFormatting sqref="AX16">
    <cfRule type="cellIs" priority="178" operator="lessThan" aboveAverage="0" equalAverage="0" bottom="0" percent="0" rank="0" text="" dxfId="0">
      <formula>E16</formula>
    </cfRule>
  </conditionalFormatting>
  <conditionalFormatting sqref="AX17">
    <cfRule type="cellIs" priority="179" operator="lessThan" aboveAverage="0" equalAverage="0" bottom="0" percent="0" rank="0" text="" dxfId="0">
      <formula>E17</formula>
    </cfRule>
  </conditionalFormatting>
  <conditionalFormatting sqref="AX28">
    <cfRule type="cellIs" priority="180" operator="lessThan" aboveAverage="0" equalAverage="0" bottom="0" percent="0" rank="0" text="" dxfId="0">
      <formula>E28</formula>
    </cfRule>
  </conditionalFormatting>
  <conditionalFormatting sqref="AX29">
    <cfRule type="cellIs" priority="181" operator="lessThan" aboveAverage="0" equalAverage="0" bottom="0" percent="0" rank="0" text="" dxfId="0">
      <formula>E29</formula>
    </cfRule>
  </conditionalFormatting>
  <conditionalFormatting sqref="AX30">
    <cfRule type="cellIs" priority="182" operator="lessThan" aboveAverage="0" equalAverage="0" bottom="0" percent="0" rank="0" text="" dxfId="0">
      <formula>E30</formula>
    </cfRule>
  </conditionalFormatting>
  <conditionalFormatting sqref="AX31">
    <cfRule type="cellIs" priority="183" operator="lessThan" aboveAverage="0" equalAverage="0" bottom="0" percent="0" rank="0" text="" dxfId="0">
      <formula>E31</formula>
    </cfRule>
  </conditionalFormatting>
  <conditionalFormatting sqref="AX32">
    <cfRule type="cellIs" priority="184" operator="lessThan" aboveAverage="0" equalAverage="0" bottom="0" percent="0" rank="0" text="" dxfId="0">
      <formula>E32</formula>
    </cfRule>
  </conditionalFormatting>
  <conditionalFormatting sqref="AX33">
    <cfRule type="cellIs" priority="185" operator="lessThan" aboveAverage="0" equalAverage="0" bottom="0" percent="0" rank="0" text="" dxfId="0">
      <formula>E33</formula>
    </cfRule>
  </conditionalFormatting>
  <conditionalFormatting sqref="AX35">
    <cfRule type="cellIs" priority="186" operator="lessThan" aboveAverage="0" equalAverage="0" bottom="0" percent="0" rank="0" text="" dxfId="0">
      <formula>E35</formula>
    </cfRule>
  </conditionalFormatting>
  <conditionalFormatting sqref="AX37">
    <cfRule type="cellIs" priority="187" operator="lessThan" aboveAverage="0" equalAverage="0" bottom="0" percent="0" rank="0" text="" dxfId="0">
      <formula>E37</formula>
    </cfRule>
  </conditionalFormatting>
  <conditionalFormatting sqref="AX8">
    <cfRule type="cellIs" priority="188" operator="lessThan" aboveAverage="0" equalAverage="0" bottom="0" percent="0" rank="0" text="" dxfId="0">
      <formula>E8</formula>
    </cfRule>
  </conditionalFormatting>
  <conditionalFormatting sqref="AX9">
    <cfRule type="cellIs" priority="189" operator="lessThan" aboveAverage="0" equalAverage="0" bottom="0" percent="0" rank="0" text="" dxfId="0">
      <formula>E9</formula>
    </cfRule>
  </conditionalFormatting>
  <conditionalFormatting sqref="AY10">
    <cfRule type="expression" priority="190" aboveAverage="0" equalAverage="0" bottom="0" percent="0" rank="0" text="" dxfId="2">
      <formula>AND(AY10&gt;0,MOD(AY10,BA10)&lt;&gt;0)</formula>
    </cfRule>
    <cfRule type="expression" priority="191" aboveAverage="0" equalAverage="0" bottom="0" percent="0" rank="0" text="" dxfId="1">
      <formula>AND(NOT(ISBLANK(AY10)),OR(AX10="NonStk",AY10&gt;AX10))</formula>
    </cfRule>
  </conditionalFormatting>
  <conditionalFormatting sqref="AY11">
    <cfRule type="expression" priority="192" aboveAverage="0" equalAverage="0" bottom="0" percent="0" rank="0" text="" dxfId="2">
      <formula>AND(AY11&gt;0,MOD(AY11,BA11)&lt;&gt;0)</formula>
    </cfRule>
    <cfRule type="expression" priority="193" aboveAverage="0" equalAverage="0" bottom="0" percent="0" rank="0" text="" dxfId="1">
      <formula>AND(NOT(ISBLANK(AY11)),OR(AX11="NonStk",AY11&gt;AX11))</formula>
    </cfRule>
  </conditionalFormatting>
  <conditionalFormatting sqref="AY12">
    <cfRule type="expression" priority="194" aboveAverage="0" equalAverage="0" bottom="0" percent="0" rank="0" text="" dxfId="2">
      <formula>AND(AY12&gt;0,MOD(AY12,BA12)&lt;&gt;0)</formula>
    </cfRule>
    <cfRule type="expression" priority="195" aboveAverage="0" equalAverage="0" bottom="0" percent="0" rank="0" text="" dxfId="1">
      <formula>AND(NOT(ISBLANK(AY12)),OR(AX12="NonStk",AY12&gt;AX12))</formula>
    </cfRule>
  </conditionalFormatting>
  <conditionalFormatting sqref="AY13">
    <cfRule type="expression" priority="196" aboveAverage="0" equalAverage="0" bottom="0" percent="0" rank="0" text="" dxfId="2">
      <formula>AND(AY13&gt;0,MOD(AY13,BA13)&lt;&gt;0)</formula>
    </cfRule>
    <cfRule type="expression" priority="197" aboveAverage="0" equalAverage="0" bottom="0" percent="0" rank="0" text="" dxfId="1">
      <formula>AND(NOT(ISBLANK(AY13)),OR(AX13="NonStk",AY13&gt;AX13))</formula>
    </cfRule>
  </conditionalFormatting>
  <conditionalFormatting sqref="AY14">
    <cfRule type="expression" priority="198" aboveAverage="0" equalAverage="0" bottom="0" percent="0" rank="0" text="" dxfId="2">
      <formula>AND(AY14&gt;0,MOD(AY14,BA14)&lt;&gt;0)</formula>
    </cfRule>
    <cfRule type="expression" priority="199" aboveAverage="0" equalAverage="0" bottom="0" percent="0" rank="0" text="" dxfId="1">
      <formula>AND(NOT(ISBLANK(AY14)),OR(AX14="NonStk",AY14&gt;AX14))</formula>
    </cfRule>
  </conditionalFormatting>
  <conditionalFormatting sqref="AY15">
    <cfRule type="expression" priority="200" aboveAverage="0" equalAverage="0" bottom="0" percent="0" rank="0" text="" dxfId="2">
      <formula>AND(AY15&gt;0,MOD(AY15,BA15)&lt;&gt;0)</formula>
    </cfRule>
    <cfRule type="expression" priority="201" aboveAverage="0" equalAverage="0" bottom="0" percent="0" rank="0" text="" dxfId="1">
      <formula>AND(NOT(ISBLANK(AY15)),OR(AX15="NonStk",AY15&gt;AX15))</formula>
    </cfRule>
  </conditionalFormatting>
  <conditionalFormatting sqref="AY16">
    <cfRule type="expression" priority="202" aboveAverage="0" equalAverage="0" bottom="0" percent="0" rank="0" text="" dxfId="2">
      <formula>AND(AY16&gt;0,MOD(AY16,BA16)&lt;&gt;0)</formula>
    </cfRule>
    <cfRule type="expression" priority="203" aboveAverage="0" equalAverage="0" bottom="0" percent="0" rank="0" text="" dxfId="1">
      <formula>AND(NOT(ISBLANK(AY16)),OR(AX16="NonStk",AY16&gt;AX16))</formula>
    </cfRule>
  </conditionalFormatting>
  <conditionalFormatting sqref="AY17">
    <cfRule type="expression" priority="204" aboveAverage="0" equalAverage="0" bottom="0" percent="0" rank="0" text="" dxfId="2">
      <formula>AND(AY17&gt;0,MOD(AY17,BA17)&lt;&gt;0)</formula>
    </cfRule>
    <cfRule type="expression" priority="205" aboveAverage="0" equalAverage="0" bottom="0" percent="0" rank="0" text="" dxfId="1">
      <formula>AND(NOT(ISBLANK(AY17)),OR(AX17="NonStk",AY17&gt;AX17))</formula>
    </cfRule>
  </conditionalFormatting>
  <conditionalFormatting sqref="AY28">
    <cfRule type="expression" priority="206" aboveAverage="0" equalAverage="0" bottom="0" percent="0" rank="0" text="" dxfId="1">
      <formula>AND(NOT(ISBLANK(AY28)),OR(AX28="NonStk",AY28&gt;AX28))</formula>
    </cfRule>
  </conditionalFormatting>
  <conditionalFormatting sqref="AY29">
    <cfRule type="expression" priority="207" aboveAverage="0" equalAverage="0" bottom="0" percent="0" rank="0" text="" dxfId="2">
      <formula>AND(AY29&gt;0,MOD(AY29,BA29)&lt;&gt;0)</formula>
    </cfRule>
    <cfRule type="expression" priority="208" aboveAverage="0" equalAverage="0" bottom="0" percent="0" rank="0" text="" dxfId="1">
      <formula>AND(NOT(ISBLANK(AY29)),OR(AX29="NonStk",AY29&gt;AX29))</formula>
    </cfRule>
  </conditionalFormatting>
  <conditionalFormatting sqref="AY30">
    <cfRule type="expression" priority="209" aboveAverage="0" equalAverage="0" bottom="0" percent="0" rank="0" text="" dxfId="2">
      <formula>AND(AY30&gt;0,MOD(AY30,BA30)&lt;&gt;0)</formula>
    </cfRule>
    <cfRule type="expression" priority="210" aboveAverage="0" equalAverage="0" bottom="0" percent="0" rank="0" text="" dxfId="1">
      <formula>AND(NOT(ISBLANK(AY30)),OR(AX30="NonStk",AY30&gt;AX30))</formula>
    </cfRule>
  </conditionalFormatting>
  <conditionalFormatting sqref="AY31">
    <cfRule type="expression" priority="211" aboveAverage="0" equalAverage="0" bottom="0" percent="0" rank="0" text="" dxfId="2">
      <formula>AND(AY31&gt;0,MOD(AY31,BA31)&lt;&gt;0)</formula>
    </cfRule>
    <cfRule type="expression" priority="212" aboveAverage="0" equalAverage="0" bottom="0" percent="0" rank="0" text="" dxfId="1">
      <formula>AND(NOT(ISBLANK(AY31)),OR(AX31="NonStk",AY31&gt;AX31))</formula>
    </cfRule>
  </conditionalFormatting>
  <conditionalFormatting sqref="AY32">
    <cfRule type="expression" priority="213" aboveAverage="0" equalAverage="0" bottom="0" percent="0" rank="0" text="" dxfId="2">
      <formula>AND(AY32&gt;0,MOD(AY32,BA32)&lt;&gt;0)</formula>
    </cfRule>
    <cfRule type="expression" priority="214" aboveAverage="0" equalAverage="0" bottom="0" percent="0" rank="0" text="" dxfId="1">
      <formula>AND(NOT(ISBLANK(AY32)),OR(AX32="NonStk",AY32&gt;AX32))</formula>
    </cfRule>
  </conditionalFormatting>
  <conditionalFormatting sqref="AY33">
    <cfRule type="expression" priority="215" aboveAverage="0" equalAverage="0" bottom="0" percent="0" rank="0" text="" dxfId="2">
      <formula>AND(AY33&gt;0,MOD(AY33,BA33)&lt;&gt;0)</formula>
    </cfRule>
    <cfRule type="expression" priority="216" aboveAverage="0" equalAverage="0" bottom="0" percent="0" rank="0" text="" dxfId="1">
      <formula>AND(NOT(ISBLANK(AY33)),OR(AX33="NonStk",AY33&gt;AX33))</formula>
    </cfRule>
  </conditionalFormatting>
  <conditionalFormatting sqref="AY35">
    <cfRule type="expression" priority="217" aboveAverage="0" equalAverage="0" bottom="0" percent="0" rank="0" text="" dxfId="2">
      <formula>AND(AY35&gt;0,MOD(AY35,BA35)&lt;&gt;0)</formula>
    </cfRule>
    <cfRule type="expression" priority="218" aboveAverage="0" equalAverage="0" bottom="0" percent="0" rank="0" text="" dxfId="1">
      <formula>AND(NOT(ISBLANK(AY35)),OR(AX35="NonStk",AY35&gt;AX35))</formula>
    </cfRule>
  </conditionalFormatting>
  <conditionalFormatting sqref="AY37">
    <cfRule type="expression" priority="219" aboveAverage="0" equalAverage="0" bottom="0" percent="0" rank="0" text="" dxfId="1">
      <formula>AND(NOT(ISBLANK(AY37)),OR(AX37="NonStk",AY37&gt;AX37))</formula>
    </cfRule>
  </conditionalFormatting>
  <conditionalFormatting sqref="AY8">
    <cfRule type="expression" priority="220" aboveAverage="0" equalAverage="0" bottom="0" percent="0" rank="0" text="" dxfId="2">
      <formula>AND(AY8&gt;0,MOD(AY8,BA8)&lt;&gt;0)</formula>
    </cfRule>
    <cfRule type="expression" priority="221" aboveAverage="0" equalAverage="0" bottom="0" percent="0" rank="0" text="" dxfId="1">
      <formula>AND(NOT(ISBLANK(AY8)),OR(AX8="NonStk",AY8&gt;AX8))</formula>
    </cfRule>
  </conditionalFormatting>
  <conditionalFormatting sqref="AY9">
    <cfRule type="expression" priority="222" aboveAverage="0" equalAverage="0" bottom="0" percent="0" rank="0" text="" dxfId="2">
      <formula>AND(AY9&gt;0,MOD(AY9,BA9)&lt;&gt;0)</formula>
    </cfRule>
    <cfRule type="expression" priority="223" aboveAverage="0" equalAverage="0" bottom="0" percent="0" rank="0" text="" dxfId="1">
      <formula>AND(NOT(ISBLANK(AY9)),OR(AX9="NonStk",AY9&gt;AX9))</formula>
    </cfRule>
  </conditionalFormatting>
  <conditionalFormatting sqref="AZ10">
    <cfRule type="cellIs" priority="224" operator="lessThanOrEqual" aboveAverage="0" equalAverage="0" bottom="0" percent="0" rank="0" text="" dxfId="3">
      <formula>F10</formula>
    </cfRule>
  </conditionalFormatting>
  <conditionalFormatting sqref="AZ11">
    <cfRule type="cellIs" priority="225" operator="lessThanOrEqual" aboveAverage="0" equalAverage="0" bottom="0" percent="0" rank="0" text="" dxfId="3">
      <formula>F11</formula>
    </cfRule>
  </conditionalFormatting>
  <conditionalFormatting sqref="AZ12">
    <cfRule type="cellIs" priority="226" operator="lessThanOrEqual" aboveAverage="0" equalAverage="0" bottom="0" percent="0" rank="0" text="" dxfId="3">
      <formula>F12</formula>
    </cfRule>
  </conditionalFormatting>
  <conditionalFormatting sqref="AZ13">
    <cfRule type="cellIs" priority="227" operator="lessThanOrEqual" aboveAverage="0" equalAverage="0" bottom="0" percent="0" rank="0" text="" dxfId="3">
      <formula>F13</formula>
    </cfRule>
  </conditionalFormatting>
  <conditionalFormatting sqref="AZ14">
    <cfRule type="cellIs" priority="228" operator="lessThanOrEqual" aboveAverage="0" equalAverage="0" bottom="0" percent="0" rank="0" text="" dxfId="3">
      <formula>F14</formula>
    </cfRule>
  </conditionalFormatting>
  <conditionalFormatting sqref="AZ15">
    <cfRule type="cellIs" priority="229" operator="lessThanOrEqual" aboveAverage="0" equalAverage="0" bottom="0" percent="0" rank="0" text="" dxfId="3">
      <formula>F15</formula>
    </cfRule>
  </conditionalFormatting>
  <conditionalFormatting sqref="AZ16">
    <cfRule type="cellIs" priority="230" operator="lessThanOrEqual" aboveAverage="0" equalAverage="0" bottom="0" percent="0" rank="0" text="" dxfId="3">
      <formula>F16</formula>
    </cfRule>
  </conditionalFormatting>
  <conditionalFormatting sqref="AZ17">
    <cfRule type="cellIs" priority="231" operator="lessThanOrEqual" aboveAverage="0" equalAverage="0" bottom="0" percent="0" rank="0" text="" dxfId="3">
      <formula>F17</formula>
    </cfRule>
    <cfRule type="expression" priority="232" aboveAverage="0" equalAverage="0" bottom="0" percent="0" rank="0" text="" dxfId="2">
      <formula>AND(E17&lt;250,AY17&lt;250)</formula>
    </cfRule>
  </conditionalFormatting>
  <conditionalFormatting sqref="AZ28">
    <cfRule type="cellIs" priority="233" operator="lessThanOrEqual" aboveAverage="0" equalAverage="0" bottom="0" percent="0" rank="0" text="" dxfId="3">
      <formula>F28</formula>
    </cfRule>
  </conditionalFormatting>
  <conditionalFormatting sqref="AZ29">
    <cfRule type="cellIs" priority="234" operator="lessThanOrEqual" aboveAverage="0" equalAverage="0" bottom="0" percent="0" rank="0" text="" dxfId="3">
      <formula>F29</formula>
    </cfRule>
  </conditionalFormatting>
  <conditionalFormatting sqref="AZ30">
    <cfRule type="cellIs" priority="235" operator="lessThanOrEqual" aboveAverage="0" equalAverage="0" bottom="0" percent="0" rank="0" text="" dxfId="3">
      <formula>F30</formula>
    </cfRule>
  </conditionalFormatting>
  <conditionalFormatting sqref="AZ31">
    <cfRule type="cellIs" priority="236" operator="lessThanOrEqual" aboveAverage="0" equalAverage="0" bottom="0" percent="0" rank="0" text="" dxfId="3">
      <formula>F31</formula>
    </cfRule>
  </conditionalFormatting>
  <conditionalFormatting sqref="AZ32">
    <cfRule type="cellIs" priority="237" operator="lessThanOrEqual" aboveAverage="0" equalAverage="0" bottom="0" percent="0" rank="0" text="" dxfId="3">
      <formula>F32</formula>
    </cfRule>
  </conditionalFormatting>
  <conditionalFormatting sqref="AZ33">
    <cfRule type="cellIs" priority="238" operator="lessThanOrEqual" aboveAverage="0" equalAverage="0" bottom="0" percent="0" rank="0" text="" dxfId="3">
      <formula>F33</formula>
    </cfRule>
  </conditionalFormatting>
  <conditionalFormatting sqref="AZ35">
    <cfRule type="cellIs" priority="239" operator="lessThanOrEqual" aboveAverage="0" equalAverage="0" bottom="0" percent="0" rank="0" text="" dxfId="3">
      <formula>F35</formula>
    </cfRule>
  </conditionalFormatting>
  <conditionalFormatting sqref="AZ37">
    <cfRule type="cellIs" priority="240" operator="lessThanOrEqual" aboveAverage="0" equalAverage="0" bottom="0" percent="0" rank="0" text="" dxfId="3">
      <formula>F37</formula>
    </cfRule>
  </conditionalFormatting>
  <conditionalFormatting sqref="AZ8">
    <cfRule type="cellIs" priority="241" operator="lessThanOrEqual" aboveAverage="0" equalAverage="0" bottom="0" percent="0" rank="0" text="" dxfId="3">
      <formula>F8</formula>
    </cfRule>
  </conditionalFormatting>
  <conditionalFormatting sqref="AZ9">
    <cfRule type="cellIs" priority="242" operator="lessThanOrEqual" aboveAverage="0" equalAverage="0" bottom="0" percent="0" rank="0" text="" dxfId="3">
      <formula>F9</formula>
    </cfRule>
  </conditionalFormatting>
  <conditionalFormatting sqref="BA17">
    <cfRule type="expression" priority="243" aboveAverage="0" equalAverage="0" bottom="0" percent="0" rank="0" text="" dxfId="2">
      <formula>AND(E17&lt;250,AY17&lt;250)</formula>
    </cfRule>
  </conditionalFormatting>
  <conditionalFormatting sqref="BB10">
    <cfRule type="cellIs" priority="244" operator="lessThanOrEqual" aboveAverage="0" equalAverage="0" bottom="0" percent="0" rank="0" text="" dxfId="3">
      <formula>G10</formula>
    </cfRule>
  </conditionalFormatting>
  <conditionalFormatting sqref="BB11">
    <cfRule type="cellIs" priority="245" operator="lessThanOrEqual" aboveAverage="0" equalAverage="0" bottom="0" percent="0" rank="0" text="" dxfId="3">
      <formula>G11</formula>
    </cfRule>
  </conditionalFormatting>
  <conditionalFormatting sqref="BB12">
    <cfRule type="cellIs" priority="246" operator="lessThanOrEqual" aboveAverage="0" equalAverage="0" bottom="0" percent="0" rank="0" text="" dxfId="3">
      <formula>G12</formula>
    </cfRule>
  </conditionalFormatting>
  <conditionalFormatting sqref="BB13">
    <cfRule type="cellIs" priority="247" operator="lessThanOrEqual" aboveAverage="0" equalAverage="0" bottom="0" percent="0" rank="0" text="" dxfId="3">
      <formula>G13</formula>
    </cfRule>
  </conditionalFormatting>
  <conditionalFormatting sqref="BB14">
    <cfRule type="cellIs" priority="248" operator="lessThanOrEqual" aboveAverage="0" equalAverage="0" bottom="0" percent="0" rank="0" text="" dxfId="3">
      <formula>G14</formula>
    </cfRule>
  </conditionalFormatting>
  <conditionalFormatting sqref="BB15">
    <cfRule type="cellIs" priority="249" operator="lessThanOrEqual" aboveAverage="0" equalAverage="0" bottom="0" percent="0" rank="0" text="" dxfId="3">
      <formula>G15</formula>
    </cfRule>
  </conditionalFormatting>
  <conditionalFormatting sqref="BB16">
    <cfRule type="cellIs" priority="250" operator="lessThanOrEqual" aboveAverage="0" equalAverage="0" bottom="0" percent="0" rank="0" text="" dxfId="3">
      <formula>G16</formula>
    </cfRule>
  </conditionalFormatting>
  <conditionalFormatting sqref="BB17">
    <cfRule type="cellIs" priority="251" operator="lessThanOrEqual" aboveAverage="0" equalAverage="0" bottom="0" percent="0" rank="0" text="" dxfId="3">
      <formula>G17</formula>
    </cfRule>
    <cfRule type="expression" priority="252" aboveAverage="0" equalAverage="0" bottom="0" percent="0" rank="0" text="" dxfId="2">
      <formula>AND(E17&lt;250,AY17&lt;250)</formula>
    </cfRule>
  </conditionalFormatting>
  <conditionalFormatting sqref="BB28">
    <cfRule type="cellIs" priority="253" operator="lessThanOrEqual" aboveAverage="0" equalAverage="0" bottom="0" percent="0" rank="0" text="" dxfId="3">
      <formula>G28</formula>
    </cfRule>
  </conditionalFormatting>
  <conditionalFormatting sqref="BB29">
    <cfRule type="cellIs" priority="254" operator="lessThanOrEqual" aboveAverage="0" equalAverage="0" bottom="0" percent="0" rank="0" text="" dxfId="3">
      <formula>G29</formula>
    </cfRule>
  </conditionalFormatting>
  <conditionalFormatting sqref="BB30">
    <cfRule type="cellIs" priority="255" operator="lessThanOrEqual" aboveAverage="0" equalAverage="0" bottom="0" percent="0" rank="0" text="" dxfId="3">
      <formula>G30</formula>
    </cfRule>
  </conditionalFormatting>
  <conditionalFormatting sqref="BB31">
    <cfRule type="cellIs" priority="256" operator="lessThanOrEqual" aboveAverage="0" equalAverage="0" bottom="0" percent="0" rank="0" text="" dxfId="3">
      <formula>G31</formula>
    </cfRule>
  </conditionalFormatting>
  <conditionalFormatting sqref="BB32">
    <cfRule type="cellIs" priority="257" operator="lessThanOrEqual" aboveAverage="0" equalAverage="0" bottom="0" percent="0" rank="0" text="" dxfId="3">
      <formula>G32</formula>
    </cfRule>
  </conditionalFormatting>
  <conditionalFormatting sqref="BB33">
    <cfRule type="cellIs" priority="258" operator="lessThanOrEqual" aboveAverage="0" equalAverage="0" bottom="0" percent="0" rank="0" text="" dxfId="3">
      <formula>G33</formula>
    </cfRule>
  </conditionalFormatting>
  <conditionalFormatting sqref="BB35">
    <cfRule type="cellIs" priority="259" operator="lessThanOrEqual" aboveAverage="0" equalAverage="0" bottom="0" percent="0" rank="0" text="" dxfId="3">
      <formula>G35</formula>
    </cfRule>
  </conditionalFormatting>
  <conditionalFormatting sqref="BB37">
    <cfRule type="cellIs" priority="260" operator="lessThanOrEqual" aboveAverage="0" equalAverage="0" bottom="0" percent="0" rank="0" text="" dxfId="3">
      <formula>G37</formula>
    </cfRule>
  </conditionalFormatting>
  <conditionalFormatting sqref="BB8">
    <cfRule type="cellIs" priority="261" operator="lessThanOrEqual" aboveAverage="0" equalAverage="0" bottom="0" percent="0" rank="0" text="" dxfId="3">
      <formula>G8</formula>
    </cfRule>
  </conditionalFormatting>
  <conditionalFormatting sqref="BB9">
    <cfRule type="cellIs" priority="262" operator="lessThanOrEqual" aboveAverage="0" equalAverage="0" bottom="0" percent="0" rank="0" text="" dxfId="3">
      <formula>G9</formula>
    </cfRule>
  </conditionalFormatting>
  <conditionalFormatting sqref="E10">
    <cfRule type="expression" priority="263" aboveAverage="0" equalAverage="0" bottom="0" percent="0" rank="0" text="" dxfId="4">
      <formula>AND(ISBLANK(D10),ISBLANK(L10),ISBLANK(R10),ISBLANK(X10),ISBLANK(AD10),ISBLANK(AJ10),ISBLANK(AP10),ISBLANK(AV10),ISBLANK(BB10))</formula>
    </cfRule>
    <cfRule type="expression" priority="264" aboveAverage="0" equalAverage="0" bottom="0" percent="0" rank="0" text="" dxfId="1">
      <formula>IF(SUM(H10,N10,T10,Z10,AF10,AL10,AR10,AX10)=0,1,0)</formula>
    </cfRule>
    <cfRule type="cellIs" priority="265" operator="greaterThan" aboveAverage="0" equalAverage="0" bottom="0" percent="0" rank="0" text="" dxfId="0">
      <formula>SUM(H10,N10,T10,Z10,AF10,AL10,AR10,AX10)</formula>
    </cfRule>
    <cfRule type="cellIs" priority="266" operator="greaterThan" aboveAverage="0" equalAverage="0" bottom="0" percent="0" rank="0" text="" dxfId="2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priority="267" aboveAverage="0" equalAverage="0" bottom="0" percent="0" rank="0" text="" dxfId="4">
      <formula>AND(ISBLANK(D11),ISBLANK(L11),ISBLANK(R11),ISBLANK(X11),ISBLANK(AD11),ISBLANK(AJ11),ISBLANK(AP11),ISBLANK(AV11),ISBLANK(BB11))</formula>
    </cfRule>
    <cfRule type="expression" priority="268" aboveAverage="0" equalAverage="0" bottom="0" percent="0" rank="0" text="" dxfId="1">
      <formula>IF(SUM(H11,N11,T11,Z11,AF11,AL11,AR11,AX11)=0,1,0)</formula>
    </cfRule>
    <cfRule type="cellIs" priority="269" operator="greaterThan" aboveAverage="0" equalAverage="0" bottom="0" percent="0" rank="0" text="" dxfId="0">
      <formula>SUM(H11,N11,T11,Z11,AF11,AL11,AR11,AX11)</formula>
    </cfRule>
    <cfRule type="cellIs" priority="270" operator="greaterThan" aboveAverage="0" equalAverage="0" bottom="0" percent="0" rank="0" text="" dxfId="2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priority="271" aboveAverage="0" equalAverage="0" bottom="0" percent="0" rank="0" text="" dxfId="4">
      <formula>AND(ISBLANK(D12),ISBLANK(L12),ISBLANK(R12),ISBLANK(X12),ISBLANK(AD12),ISBLANK(AJ12),ISBLANK(AP12),ISBLANK(AV12),ISBLANK(BB12))</formula>
    </cfRule>
    <cfRule type="expression" priority="272" aboveAverage="0" equalAverage="0" bottom="0" percent="0" rank="0" text="" dxfId="1">
      <formula>IF(SUM(H12,N12,T12,Z12,AF12,AL12,AR12,AX12)=0,1,0)</formula>
    </cfRule>
    <cfRule type="cellIs" priority="273" operator="greaterThan" aboveAverage="0" equalAverage="0" bottom="0" percent="0" rank="0" text="" dxfId="0">
      <formula>SUM(H12,N12,T12,Z12,AF12,AL12,AR12,AX12)</formula>
    </cfRule>
    <cfRule type="cellIs" priority="274" operator="greaterThan" aboveAverage="0" equalAverage="0" bottom="0" percent="0" rank="0" text="" dxfId="2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priority="275" aboveAverage="0" equalAverage="0" bottom="0" percent="0" rank="0" text="" dxfId="4">
      <formula>AND(ISBLANK(D13),ISBLANK(L13),ISBLANK(R13),ISBLANK(X13),ISBLANK(AD13),ISBLANK(AJ13),ISBLANK(AP13),ISBLANK(AV13),ISBLANK(BB13))</formula>
    </cfRule>
    <cfRule type="expression" priority="276" aboveAverage="0" equalAverage="0" bottom="0" percent="0" rank="0" text="" dxfId="1">
      <formula>IF(SUM(H13,N13,T13,Z13,AF13,AL13,AR13,AX13)=0,1,0)</formula>
    </cfRule>
    <cfRule type="cellIs" priority="277" operator="greaterThan" aboveAverage="0" equalAverage="0" bottom="0" percent="0" rank="0" text="" dxfId="0">
      <formula>SUM(H13,N13,T13,Z13,AF13,AL13,AR13,AX13)</formula>
    </cfRule>
    <cfRule type="cellIs" priority="278" operator="greaterThan" aboveAverage="0" equalAverage="0" bottom="0" percent="0" rank="0" text="" dxfId="2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priority="279" aboveAverage="0" equalAverage="0" bottom="0" percent="0" rank="0" text="" dxfId="4">
      <formula>AND(ISBLANK(D14),ISBLANK(L14),ISBLANK(R14),ISBLANK(X14),ISBLANK(AD14),ISBLANK(AJ14),ISBLANK(AP14),ISBLANK(AV14),ISBLANK(BB14))</formula>
    </cfRule>
    <cfRule type="expression" priority="280" aboveAverage="0" equalAverage="0" bottom="0" percent="0" rank="0" text="" dxfId="1">
      <formula>IF(SUM(H14,N14,T14,Z14,AF14,AL14,AR14,AX14)=0,1,0)</formula>
    </cfRule>
    <cfRule type="cellIs" priority="281" operator="greaterThan" aboveAverage="0" equalAverage="0" bottom="0" percent="0" rank="0" text="" dxfId="0">
      <formula>SUM(H14,N14,T14,Z14,AF14,AL14,AR14,AX14)</formula>
    </cfRule>
    <cfRule type="cellIs" priority="282" operator="greaterThan" aboveAverage="0" equalAverage="0" bottom="0" percent="0" rank="0" text="" dxfId="2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priority="283" aboveAverage="0" equalAverage="0" bottom="0" percent="0" rank="0" text="" dxfId="4">
      <formula>AND(ISBLANK(D15),ISBLANK(L15),ISBLANK(R15),ISBLANK(X15),ISBLANK(AD15),ISBLANK(AJ15),ISBLANK(AP15),ISBLANK(AV15),ISBLANK(BB15))</formula>
    </cfRule>
    <cfRule type="expression" priority="284" aboveAverage="0" equalAverage="0" bottom="0" percent="0" rank="0" text="" dxfId="1">
      <formula>IF(SUM(H15,N15,T15,Z15,AF15,AL15,AR15,AX15)=0,1,0)</formula>
    </cfRule>
    <cfRule type="cellIs" priority="285" operator="greaterThan" aboveAverage="0" equalAverage="0" bottom="0" percent="0" rank="0" text="" dxfId="0">
      <formula>SUM(H15,N15,T15,Z15,AF15,AL15,AR15,AX15)</formula>
    </cfRule>
    <cfRule type="cellIs" priority="286" operator="greaterThan" aboveAverage="0" equalAverage="0" bottom="0" percent="0" rank="0" text="" dxfId="2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priority="287" aboveAverage="0" equalAverage="0" bottom="0" percent="0" rank="0" text="" dxfId="4">
      <formula>AND(ISBLANK(D16),ISBLANK(L16),ISBLANK(R16),ISBLANK(X16),ISBLANK(AD16),ISBLANK(AJ16),ISBLANK(AP16),ISBLANK(AV16),ISBLANK(BB16))</formula>
    </cfRule>
    <cfRule type="expression" priority="288" aboveAverage="0" equalAverage="0" bottom="0" percent="0" rank="0" text="" dxfId="1">
      <formula>IF(SUM(H16,N16,T16,Z16,AF16,AL16,AR16,AX16)=0,1,0)</formula>
    </cfRule>
    <cfRule type="cellIs" priority="289" operator="greaterThan" aboveAverage="0" equalAverage="0" bottom="0" percent="0" rank="0" text="" dxfId="0">
      <formula>SUM(H16,N16,T16,Z16,AF16,AL16,AR16,AX16)</formula>
    </cfRule>
    <cfRule type="cellIs" priority="290" operator="greaterThan" aboveAverage="0" equalAverage="0" bottom="0" percent="0" rank="0" text="" dxfId="2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priority="291" aboveAverage="0" equalAverage="0" bottom="0" percent="0" rank="0" text="" dxfId="4">
      <formula>AND(ISBLANK(D17),ISBLANK(L17),ISBLANK(R17),ISBLANK(X17),ISBLANK(AD17),ISBLANK(AJ17),ISBLANK(AP17),ISBLANK(AV17),ISBLANK(BB17))</formula>
    </cfRule>
    <cfRule type="expression" priority="292" aboveAverage="0" equalAverage="0" bottom="0" percent="0" rank="0" text="" dxfId="1">
      <formula>IF(SUM(H17,N17,T17,Z17,AF17,AL17,AR17,AX17)=0,1,0)</formula>
    </cfRule>
    <cfRule type="cellIs" priority="293" operator="greaterThan" aboveAverage="0" equalAverage="0" bottom="0" percent="0" rank="0" text="" dxfId="0">
      <formula>SUM(H17,N17,T17,Z17,AF17,AL17,AR17,AX17)</formula>
    </cfRule>
    <cfRule type="cellIs" priority="294" operator="greaterThan" aboveAverage="0" equalAverage="0" bottom="0" percent="0" rank="0" text="" dxfId="2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priority="295" aboveAverage="0" equalAverage="0" bottom="0" percent="0" rank="0" text="" dxfId="4">
      <formula>AND(ISBLANK(D18),ISBLANK(L18),ISBLANK(R18),ISBLANK(X18),ISBLANK(AD18),ISBLANK(AJ18),ISBLANK(AP18),ISBLANK(AV18),ISBLANK(BB18))</formula>
    </cfRule>
    <cfRule type="expression" priority="296" aboveAverage="0" equalAverage="0" bottom="0" percent="0" rank="0" text="" dxfId="1">
      <formula>IF(SUM(H18,N18,T18,Z18,AF18,AL18,AR18,AX18)=0,1,0)</formula>
    </cfRule>
    <cfRule type="cellIs" priority="297" operator="greaterThan" aboveAverage="0" equalAverage="0" bottom="0" percent="0" rank="0" text="" dxfId="0">
      <formula>SUM(H18,N18,T18,Z18,AF18,AL18,AR18,AX18)</formula>
    </cfRule>
    <cfRule type="cellIs" priority="298" operator="greaterThan" aboveAverage="0" equalAverage="0" bottom="0" percent="0" rank="0" text="" dxfId="2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priority="299" aboveAverage="0" equalAverage="0" bottom="0" percent="0" rank="0" text="" dxfId="4">
      <formula>AND(ISBLANK(D19),ISBLANK(L19),ISBLANK(R19),ISBLANK(X19),ISBLANK(AD19),ISBLANK(AJ19),ISBLANK(AP19),ISBLANK(AV19),ISBLANK(BB19))</formula>
    </cfRule>
    <cfRule type="expression" priority="300" aboveAverage="0" equalAverage="0" bottom="0" percent="0" rank="0" text="" dxfId="1">
      <formula>IF(SUM(H19,N19,T19,Z19,AF19,AL19,AR19,AX19)=0,1,0)</formula>
    </cfRule>
    <cfRule type="cellIs" priority="301" operator="greaterThan" aboveAverage="0" equalAverage="0" bottom="0" percent="0" rank="0" text="" dxfId="0">
      <formula>SUM(H19,N19,T19,Z19,AF19,AL19,AR19,AX19)</formula>
    </cfRule>
    <cfRule type="cellIs" priority="302" operator="greaterThan" aboveAverage="0" equalAverage="0" bottom="0" percent="0" rank="0" text="" dxfId="2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priority="303" aboveAverage="0" equalAverage="0" bottom="0" percent="0" rank="0" text="" dxfId="4">
      <formula>AND(ISBLANK(D20),ISBLANK(L20),ISBLANK(R20),ISBLANK(X20),ISBLANK(AD20),ISBLANK(AJ20),ISBLANK(AP20),ISBLANK(AV20),ISBLANK(BB20))</formula>
    </cfRule>
    <cfRule type="expression" priority="304" aboveAverage="0" equalAverage="0" bottom="0" percent="0" rank="0" text="" dxfId="1">
      <formula>IF(SUM(H20,N20,T20,Z20,AF20,AL20,AR20,AX20)=0,1,0)</formula>
    </cfRule>
    <cfRule type="cellIs" priority="305" operator="greaterThan" aboveAverage="0" equalAverage="0" bottom="0" percent="0" rank="0" text="" dxfId="0">
      <formula>SUM(H20,N20,T20,Z20,AF20,AL20,AR20,AX20)</formula>
    </cfRule>
    <cfRule type="cellIs" priority="306" operator="greaterThan" aboveAverage="0" equalAverage="0" bottom="0" percent="0" rank="0" text="" dxfId="2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priority="307" aboveAverage="0" equalAverage="0" bottom="0" percent="0" rank="0" text="" dxfId="4">
      <formula>AND(ISBLANK(D21),ISBLANK(L21),ISBLANK(R21),ISBLANK(X21),ISBLANK(AD21),ISBLANK(AJ21),ISBLANK(AP21),ISBLANK(AV21),ISBLANK(BB21))</formula>
    </cfRule>
    <cfRule type="expression" priority="308" aboveAverage="0" equalAverage="0" bottom="0" percent="0" rank="0" text="" dxfId="1">
      <formula>IF(SUM(H21,N21,T21,Z21,AF21,AL21,AR21,AX21)=0,1,0)</formula>
    </cfRule>
    <cfRule type="cellIs" priority="309" operator="greaterThan" aboveAverage="0" equalAverage="0" bottom="0" percent="0" rank="0" text="" dxfId="0">
      <formula>SUM(H21,N21,T21,Z21,AF21,AL21,AR21,AX21)</formula>
    </cfRule>
    <cfRule type="cellIs" priority="310" operator="greaterThan" aboveAverage="0" equalAverage="0" bottom="0" percent="0" rank="0" text="" dxfId="2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priority="311" aboveAverage="0" equalAverage="0" bottom="0" percent="0" rank="0" text="" dxfId="4">
      <formula>AND(ISBLANK(D22),ISBLANK(L22),ISBLANK(R22),ISBLANK(X22),ISBLANK(AD22),ISBLANK(AJ22),ISBLANK(AP22),ISBLANK(AV22),ISBLANK(BB22))</formula>
    </cfRule>
    <cfRule type="expression" priority="312" aboveAverage="0" equalAverage="0" bottom="0" percent="0" rank="0" text="" dxfId="1">
      <formula>IF(SUM(H22,N22,T22,Z22,AF22,AL22,AR22,AX22)=0,1,0)</formula>
    </cfRule>
    <cfRule type="cellIs" priority="313" operator="greaterThan" aboveAverage="0" equalAverage="0" bottom="0" percent="0" rank="0" text="" dxfId="0">
      <formula>SUM(H22,N22,T22,Z22,AF22,AL22,AR22,AX22)</formula>
    </cfRule>
    <cfRule type="cellIs" priority="314" operator="greaterThan" aboveAverage="0" equalAverage="0" bottom="0" percent="0" rank="0" text="" dxfId="2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priority="315" aboveAverage="0" equalAverage="0" bottom="0" percent="0" rank="0" text="" dxfId="4">
      <formula>AND(ISBLANK(D23),ISBLANK(L23),ISBLANK(R23),ISBLANK(X23),ISBLANK(AD23),ISBLANK(AJ23),ISBLANK(AP23),ISBLANK(AV23),ISBLANK(BB23))</formula>
    </cfRule>
    <cfRule type="expression" priority="316" aboveAverage="0" equalAverage="0" bottom="0" percent="0" rank="0" text="" dxfId="1">
      <formula>IF(SUM(H23,N23,T23,Z23,AF23,AL23,AR23,AX23)=0,1,0)</formula>
    </cfRule>
    <cfRule type="cellIs" priority="317" operator="greaterThan" aboveAverage="0" equalAverage="0" bottom="0" percent="0" rank="0" text="" dxfId="0">
      <formula>SUM(H23,N23,T23,Z23,AF23,AL23,AR23,AX23)</formula>
    </cfRule>
    <cfRule type="cellIs" priority="318" operator="greaterThan" aboveAverage="0" equalAverage="0" bottom="0" percent="0" rank="0" text="" dxfId="2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priority="319" aboveAverage="0" equalAverage="0" bottom="0" percent="0" rank="0" text="" dxfId="4">
      <formula>AND(ISBLANK(D24),ISBLANK(L24),ISBLANK(R24),ISBLANK(X24),ISBLANK(AD24),ISBLANK(AJ24),ISBLANK(AP24),ISBLANK(AV24),ISBLANK(BB24))</formula>
    </cfRule>
    <cfRule type="expression" priority="320" aboveAverage="0" equalAverage="0" bottom="0" percent="0" rank="0" text="" dxfId="1">
      <formula>IF(SUM(H24,N24,T24,Z24,AF24,AL24,AR24,AX24)=0,1,0)</formula>
    </cfRule>
    <cfRule type="cellIs" priority="321" operator="greaterThan" aboveAverage="0" equalAverage="0" bottom="0" percent="0" rank="0" text="" dxfId="0">
      <formula>SUM(H24,N24,T24,Z24,AF24,AL24,AR24,AX24)</formula>
    </cfRule>
    <cfRule type="cellIs" priority="322" operator="greaterThan" aboveAverage="0" equalAverage="0" bottom="0" percent="0" rank="0" text="" dxfId="2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priority="323" aboveAverage="0" equalAverage="0" bottom="0" percent="0" rank="0" text="" dxfId="4">
      <formula>AND(ISBLANK(D25),ISBLANK(L25),ISBLANK(R25),ISBLANK(X25),ISBLANK(AD25),ISBLANK(AJ25),ISBLANK(AP25),ISBLANK(AV25),ISBLANK(BB25))</formula>
    </cfRule>
    <cfRule type="expression" priority="324" aboveAverage="0" equalAverage="0" bottom="0" percent="0" rank="0" text="" dxfId="1">
      <formula>IF(SUM(H25,N25,T25,Z25,AF25,AL25,AR25,AX25)=0,1,0)</formula>
    </cfRule>
    <cfRule type="cellIs" priority="325" operator="greaterThan" aboveAverage="0" equalAverage="0" bottom="0" percent="0" rank="0" text="" dxfId="0">
      <formula>SUM(H25,N25,T25,Z25,AF25,AL25,AR25,AX25)</formula>
    </cfRule>
    <cfRule type="cellIs" priority="326" operator="greaterThan" aboveAverage="0" equalAverage="0" bottom="0" percent="0" rank="0" text="" dxfId="2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priority="327" aboveAverage="0" equalAverage="0" bottom="0" percent="0" rank="0" text="" dxfId="4">
      <formula>AND(ISBLANK(D26),ISBLANK(L26),ISBLANK(R26),ISBLANK(X26),ISBLANK(AD26),ISBLANK(AJ26),ISBLANK(AP26),ISBLANK(AV26),ISBLANK(BB26))</formula>
    </cfRule>
    <cfRule type="expression" priority="328" aboveAverage="0" equalAverage="0" bottom="0" percent="0" rank="0" text="" dxfId="1">
      <formula>IF(SUM(H26,N26,T26,Z26,AF26,AL26,AR26,AX26)=0,1,0)</formula>
    </cfRule>
    <cfRule type="cellIs" priority="329" operator="greaterThan" aboveAverage="0" equalAverage="0" bottom="0" percent="0" rank="0" text="" dxfId="0">
      <formula>SUM(H26,N26,T26,Z26,AF26,AL26,AR26,AX26)</formula>
    </cfRule>
    <cfRule type="cellIs" priority="330" operator="greaterThan" aboveAverage="0" equalAverage="0" bottom="0" percent="0" rank="0" text="" dxfId="2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priority="331" aboveAverage="0" equalAverage="0" bottom="0" percent="0" rank="0" text="" dxfId="4">
      <formula>AND(ISBLANK(D27),ISBLANK(L27),ISBLANK(R27),ISBLANK(X27),ISBLANK(AD27),ISBLANK(AJ27),ISBLANK(AP27),ISBLANK(AV27),ISBLANK(BB27))</formula>
    </cfRule>
    <cfRule type="expression" priority="332" aboveAverage="0" equalAverage="0" bottom="0" percent="0" rank="0" text="" dxfId="1">
      <formula>IF(SUM(H27,N27,T27,Z27,AF27,AL27,AR27,AX27)=0,1,0)</formula>
    </cfRule>
    <cfRule type="cellIs" priority="333" operator="greaterThan" aboveAverage="0" equalAverage="0" bottom="0" percent="0" rank="0" text="" dxfId="0">
      <formula>SUM(H27,N27,T27,Z27,AF27,AL27,AR27,AX27)</formula>
    </cfRule>
    <cfRule type="cellIs" priority="334" operator="greaterThan" aboveAverage="0" equalAverage="0" bottom="0" percent="0" rank="0" text="" dxfId="2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priority="335" aboveAverage="0" equalAverage="0" bottom="0" percent="0" rank="0" text="" dxfId="4">
      <formula>AND(ISBLANK(D28),ISBLANK(L28),ISBLANK(R28),ISBLANK(X28),ISBLANK(AD28),ISBLANK(AJ28),ISBLANK(AP28),ISBLANK(AV28),ISBLANK(BB28))</formula>
    </cfRule>
    <cfRule type="expression" priority="336" aboveAverage="0" equalAverage="0" bottom="0" percent="0" rank="0" text="" dxfId="1">
      <formula>IF(SUM(H28,N28,T28,Z28,AF28,AL28,AR28,AX28)=0,1,0)</formula>
    </cfRule>
    <cfRule type="cellIs" priority="337" operator="greaterThan" aboveAverage="0" equalAverage="0" bottom="0" percent="0" rank="0" text="" dxfId="0">
      <formula>SUM(H28,N28,T28,Z28,AF28,AL28,AR28,AX28)</formula>
    </cfRule>
    <cfRule type="cellIs" priority="338" operator="greaterThan" aboveAverage="0" equalAverage="0" bottom="0" percent="0" rank="0" text="" dxfId="2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priority="339" aboveAverage="0" equalAverage="0" bottom="0" percent="0" rank="0" text="" dxfId="4">
      <formula>AND(ISBLANK(D29),ISBLANK(L29),ISBLANK(R29),ISBLANK(X29),ISBLANK(AD29),ISBLANK(AJ29),ISBLANK(AP29),ISBLANK(AV29),ISBLANK(BB29))</formula>
    </cfRule>
    <cfRule type="expression" priority="340" aboveAverage="0" equalAverage="0" bottom="0" percent="0" rank="0" text="" dxfId="1">
      <formula>IF(SUM(H29,N29,T29,Z29,AF29,AL29,AR29,AX29)=0,1,0)</formula>
    </cfRule>
    <cfRule type="cellIs" priority="341" operator="greaterThan" aboveAverage="0" equalAverage="0" bottom="0" percent="0" rank="0" text="" dxfId="0">
      <formula>SUM(H29,N29,T29,Z29,AF29,AL29,AR29,AX29)</formula>
    </cfRule>
    <cfRule type="cellIs" priority="342" operator="greaterThan" aboveAverage="0" equalAverage="0" bottom="0" percent="0" rank="0" text="" dxfId="2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priority="343" aboveAverage="0" equalAverage="0" bottom="0" percent="0" rank="0" text="" dxfId="4">
      <formula>AND(ISBLANK(D30),ISBLANK(L30),ISBLANK(R30),ISBLANK(X30),ISBLANK(AD30),ISBLANK(AJ30),ISBLANK(AP30),ISBLANK(AV30),ISBLANK(BB30))</formula>
    </cfRule>
    <cfRule type="expression" priority="344" aboveAverage="0" equalAverage="0" bottom="0" percent="0" rank="0" text="" dxfId="1">
      <formula>IF(SUM(H30,N30,T30,Z30,AF30,AL30,AR30,AX30)=0,1,0)</formula>
    </cfRule>
    <cfRule type="cellIs" priority="345" operator="greaterThan" aboveAverage="0" equalAverage="0" bottom="0" percent="0" rank="0" text="" dxfId="0">
      <formula>SUM(H30,N30,T30,Z30,AF30,AL30,AR30,AX30)</formula>
    </cfRule>
    <cfRule type="cellIs" priority="346" operator="greaterThan" aboveAverage="0" equalAverage="0" bottom="0" percent="0" rank="0" text="" dxfId="2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priority="347" aboveAverage="0" equalAverage="0" bottom="0" percent="0" rank="0" text="" dxfId="4">
      <formula>AND(ISBLANK(D31),ISBLANK(L31),ISBLANK(R31),ISBLANK(X31),ISBLANK(AD31),ISBLANK(AJ31),ISBLANK(AP31),ISBLANK(AV31),ISBLANK(BB31))</formula>
    </cfRule>
    <cfRule type="expression" priority="348" aboveAverage="0" equalAverage="0" bottom="0" percent="0" rank="0" text="" dxfId="1">
      <formula>IF(SUM(H31,N31,T31,Z31,AF31,AL31,AR31,AX31)=0,1,0)</formula>
    </cfRule>
    <cfRule type="cellIs" priority="349" operator="greaterThan" aboveAverage="0" equalAverage="0" bottom="0" percent="0" rank="0" text="" dxfId="0">
      <formula>SUM(H31,N31,T31,Z31,AF31,AL31,AR31,AX31)</formula>
    </cfRule>
    <cfRule type="cellIs" priority="350" operator="greaterThan" aboveAverage="0" equalAverage="0" bottom="0" percent="0" rank="0" text="" dxfId="2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priority="351" aboveAverage="0" equalAverage="0" bottom="0" percent="0" rank="0" text="" dxfId="4">
      <formula>AND(ISBLANK(D32),ISBLANK(L32),ISBLANK(R32),ISBLANK(X32),ISBLANK(AD32),ISBLANK(AJ32),ISBLANK(AP32),ISBLANK(AV32),ISBLANK(BB32))</formula>
    </cfRule>
    <cfRule type="expression" priority="352" aboveAverage="0" equalAverage="0" bottom="0" percent="0" rank="0" text="" dxfId="1">
      <formula>IF(SUM(H32,N32,T32,Z32,AF32,AL32,AR32,AX32)=0,1,0)</formula>
    </cfRule>
    <cfRule type="cellIs" priority="353" operator="greaterThan" aboveAverage="0" equalAverage="0" bottom="0" percent="0" rank="0" text="" dxfId="0">
      <formula>SUM(H32,N32,T32,Z32,AF32,AL32,AR32,AX32)</formula>
    </cfRule>
    <cfRule type="cellIs" priority="354" operator="greaterThan" aboveAverage="0" equalAverage="0" bottom="0" percent="0" rank="0" text="" dxfId="2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priority="355" aboveAverage="0" equalAverage="0" bottom="0" percent="0" rank="0" text="" dxfId="4">
      <formula>AND(ISBLANK(D33),ISBLANK(L33),ISBLANK(R33),ISBLANK(X33),ISBLANK(AD33),ISBLANK(AJ33),ISBLANK(AP33),ISBLANK(AV33),ISBLANK(BB33))</formula>
    </cfRule>
    <cfRule type="expression" priority="356" aboveAverage="0" equalAverage="0" bottom="0" percent="0" rank="0" text="" dxfId="1">
      <formula>IF(SUM(H33,N33,T33,Z33,AF33,AL33,AR33,AX33)=0,1,0)</formula>
    </cfRule>
    <cfRule type="cellIs" priority="357" operator="greaterThan" aboveAverage="0" equalAverage="0" bottom="0" percent="0" rank="0" text="" dxfId="0">
      <formula>SUM(H33,N33,T33,Z33,AF33,AL33,AR33,AX33)</formula>
    </cfRule>
    <cfRule type="cellIs" priority="358" operator="greaterThan" aboveAverage="0" equalAverage="0" bottom="0" percent="0" rank="0" text="" dxfId="2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priority="359" aboveAverage="0" equalAverage="0" bottom="0" percent="0" rank="0" text="" dxfId="4">
      <formula>AND(ISBLANK(D34),ISBLANK(L34),ISBLANK(R34),ISBLANK(X34),ISBLANK(AD34),ISBLANK(AJ34),ISBLANK(AP34),ISBLANK(AV34),ISBLANK(BB34))</formula>
    </cfRule>
    <cfRule type="expression" priority="360" aboveAverage="0" equalAverage="0" bottom="0" percent="0" rank="0" text="" dxfId="1">
      <formula>IF(SUM(H34,N34,T34,Z34,AF34,AL34,AR34,AX34)=0,1,0)</formula>
    </cfRule>
    <cfRule type="cellIs" priority="361" operator="greaterThan" aboveAverage="0" equalAverage="0" bottom="0" percent="0" rank="0" text="" dxfId="0">
      <formula>SUM(H34,N34,T34,Z34,AF34,AL34,AR34,AX34)</formula>
    </cfRule>
    <cfRule type="cellIs" priority="362" operator="greaterThan" aboveAverage="0" equalAverage="0" bottom="0" percent="0" rank="0" text="" dxfId="2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priority="363" aboveAverage="0" equalAverage="0" bottom="0" percent="0" rank="0" text="" dxfId="4">
      <formula>AND(ISBLANK(D35),ISBLANK(L35),ISBLANK(R35),ISBLANK(X35),ISBLANK(AD35),ISBLANK(AJ35),ISBLANK(AP35),ISBLANK(AV35),ISBLANK(BB35))</formula>
    </cfRule>
    <cfRule type="expression" priority="364" aboveAverage="0" equalAverage="0" bottom="0" percent="0" rank="0" text="" dxfId="1">
      <formula>IF(SUM(H35,N35,T35,Z35,AF35,AL35,AR35,AX35)=0,1,0)</formula>
    </cfRule>
    <cfRule type="cellIs" priority="365" operator="greaterThan" aboveAverage="0" equalAverage="0" bottom="0" percent="0" rank="0" text="" dxfId="0">
      <formula>SUM(H35,N35,T35,Z35,AF35,AL35,AR35,AX35)</formula>
    </cfRule>
    <cfRule type="cellIs" priority="366" operator="greaterThan" aboveAverage="0" equalAverage="0" bottom="0" percent="0" rank="0" text="" dxfId="2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priority="367" aboveAverage="0" equalAverage="0" bottom="0" percent="0" rank="0" text="" dxfId="4">
      <formula>AND(ISBLANK(D36),ISBLANK(L36),ISBLANK(R36),ISBLANK(X36),ISBLANK(AD36),ISBLANK(AJ36),ISBLANK(AP36),ISBLANK(AV36),ISBLANK(BB36))</formula>
    </cfRule>
    <cfRule type="expression" priority="368" aboveAverage="0" equalAverage="0" bottom="0" percent="0" rank="0" text="" dxfId="1">
      <formula>IF(SUM(H36,N36,T36,Z36,AF36,AL36,AR36,AX36)=0,1,0)</formula>
    </cfRule>
    <cfRule type="cellIs" priority="369" operator="greaterThan" aboveAverage="0" equalAverage="0" bottom="0" percent="0" rank="0" text="" dxfId="0">
      <formula>SUM(H36,N36,T36,Z36,AF36,AL36,AR36,AX36)</formula>
    </cfRule>
    <cfRule type="cellIs" priority="370" operator="greaterThan" aboveAverage="0" equalAverage="0" bottom="0" percent="0" rank="0" text="" dxfId="2">
      <formula>SUM(IF(ISNUMBER(J36),I36,0),IF(ISNUMBER(P36),O36,0),IF(ISNUMBER(V36),U36,0),IF(ISNUMBER(AB36),AA36,0),IF(ISNUMBER(AH36),AG36,0),IF(ISNUMBER(AN36),AM36,0),IF(ISNUMBER(AT36),AS36,0),IF(ISNUMBER(AZ36),AY36,0))</formula>
    </cfRule>
  </conditionalFormatting>
  <conditionalFormatting sqref="E37">
    <cfRule type="expression" priority="371" aboveAverage="0" equalAverage="0" bottom="0" percent="0" rank="0" text="" dxfId="4">
      <formula>AND(ISBLANK(D37),ISBLANK(L37),ISBLANK(R37),ISBLANK(X37),ISBLANK(AD37),ISBLANK(AJ37),ISBLANK(AP37),ISBLANK(AV37),ISBLANK(BB37))</formula>
    </cfRule>
    <cfRule type="expression" priority="372" aboveAverage="0" equalAverage="0" bottom="0" percent="0" rank="0" text="" dxfId="1">
      <formula>IF(SUM(H37,N37,T37,Z37,AF37,AL37,AR37,AX37)=0,1,0)</formula>
    </cfRule>
    <cfRule type="cellIs" priority="373" operator="greaterThan" aboveAverage="0" equalAverage="0" bottom="0" percent="0" rank="0" text="" dxfId="0">
      <formula>SUM(H37,N37,T37,Z37,AF37,AL37,AR37,AX37)</formula>
    </cfRule>
    <cfRule type="cellIs" priority="374" operator="greaterThan" aboveAverage="0" equalAverage="0" bottom="0" percent="0" rank="0" text="" dxfId="2">
      <formula>SUM(IF(ISNUMBER(J37),I37,0),IF(ISNUMBER(P37),O37,0),IF(ISNUMBER(V37),U37,0),IF(ISNUMBER(AB37),AA37,0),IF(ISNUMBER(AH37),AG37,0),IF(ISNUMBER(AN37),AM37,0),IF(ISNUMBER(AT37),AS37,0),IF(ISNUMBER(AZ37),AY37,0))</formula>
    </cfRule>
  </conditionalFormatting>
  <conditionalFormatting sqref="E7">
    <cfRule type="expression" priority="375" aboveAverage="0" equalAverage="0" bottom="0" percent="0" rank="0" text="" dxfId="4">
      <formula>AND(ISBLANK(D7),ISBLANK(L7),ISBLANK(R7),ISBLANK(X7),ISBLANK(AD7),ISBLANK(AJ7),ISBLANK(AP7),ISBLANK(AV7),ISBLANK(BB7))</formula>
    </cfRule>
    <cfRule type="expression" priority="376" aboveAverage="0" equalAverage="0" bottom="0" percent="0" rank="0" text="" dxfId="1">
      <formula>IF(SUM(H7,N7,T7,Z7,AF7,AL7,AR7,AX7)=0,1,0)</formula>
    </cfRule>
    <cfRule type="cellIs" priority="377" operator="greaterThan" aboveAverage="0" equalAverage="0" bottom="0" percent="0" rank="0" text="" dxfId="0">
      <formula>SUM(H7,N7,T7,Z7,AF7,AL7,AR7,AX7)</formula>
    </cfRule>
    <cfRule type="cellIs" priority="378" operator="greaterThan" aboveAverage="0" equalAverage="0" bottom="0" percent="0" rank="0" text="" dxfId="2">
      <formula>SUM(IF(ISNUMBER(J7),I7,0),IF(ISNUMBER(P7),O7,0),IF(ISNUMBER(V7),U7,0),IF(ISNUMBER(AB7),AA7,0),IF(ISNUMBER(AH7),AG7,0),IF(ISNUMBER(AN7),AM7,0),IF(ISNUMBER(AT7),AS7,0),IF(ISNUMBER(AZ7),AY7,0))</formula>
    </cfRule>
  </conditionalFormatting>
  <conditionalFormatting sqref="E8">
    <cfRule type="expression" priority="379" aboveAverage="0" equalAverage="0" bottom="0" percent="0" rank="0" text="" dxfId="4">
      <formula>AND(ISBLANK(D8),ISBLANK(L8),ISBLANK(R8),ISBLANK(X8),ISBLANK(AD8),ISBLANK(AJ8),ISBLANK(AP8),ISBLANK(AV8),ISBLANK(BB8))</formula>
    </cfRule>
    <cfRule type="expression" priority="380" aboveAverage="0" equalAverage="0" bottom="0" percent="0" rank="0" text="" dxfId="1">
      <formula>IF(SUM(H8,N8,T8,Z8,AF8,AL8,AR8,AX8)=0,1,0)</formula>
    </cfRule>
    <cfRule type="cellIs" priority="381" operator="greaterThan" aboveAverage="0" equalAverage="0" bottom="0" percent="0" rank="0" text="" dxfId="0">
      <formula>SUM(H8,N8,T8,Z8,AF8,AL8,AR8,AX8)</formula>
    </cfRule>
    <cfRule type="cellIs" priority="382" operator="greaterThan" aboveAverage="0" equalAverage="0" bottom="0" percent="0" rank="0" text="" dxfId="2">
      <formula>SUM(IF(ISNUMBER(J8),I8,0),IF(ISNUMBER(P8),O8,0),IF(ISNUMBER(V8),U8,0),IF(ISNUMBER(AB8),AA8,0),IF(ISNUMBER(AH8),AG8,0),IF(ISNUMBER(AN8),AM8,0),IF(ISNUMBER(AT8),AS8,0),IF(ISNUMBER(AZ8),AY8,0))</formula>
    </cfRule>
  </conditionalFormatting>
  <conditionalFormatting sqref="E9">
    <cfRule type="expression" priority="383" aboveAverage="0" equalAverage="0" bottom="0" percent="0" rank="0" text="" dxfId="4">
      <formula>AND(ISBLANK(D9),ISBLANK(L9),ISBLANK(R9),ISBLANK(X9),ISBLANK(AD9),ISBLANK(AJ9),ISBLANK(AP9),ISBLANK(AV9),ISBLANK(BB9))</formula>
    </cfRule>
    <cfRule type="expression" priority="384" aboveAverage="0" equalAverage="0" bottom="0" percent="0" rank="0" text="" dxfId="1">
      <formula>IF(SUM(H9,N9,T9,Z9,AF9,AL9,AR9,AX9)=0,1,0)</formula>
    </cfRule>
    <cfRule type="cellIs" priority="385" operator="greaterThan" aboveAverage="0" equalAverage="0" bottom="0" percent="0" rank="0" text="" dxfId="0">
      <formula>SUM(H9,N9,T9,Z9,AF9,AL9,AR9,AX9)</formula>
    </cfRule>
    <cfRule type="cellIs" priority="386" operator="greaterThan" aboveAverage="0" equalAverage="0" bottom="0" percent="0" rank="0" text="" dxfId="2">
      <formula>SUM(IF(ISNUMBER(J9),I9,0),IF(ISNUMBER(P9),O9,0),IF(ISNUMBER(V9),U9,0),IF(ISNUMBER(AB9),AA9,0),IF(ISNUMBER(AH9),AG9,0),IF(ISNUMBER(AN9),AM9,0),IF(ISNUMBER(AT9),AS9,0),IF(ISNUMBER(AZ9),AY9,0))</formula>
    </cfRule>
  </conditionalFormatting>
  <conditionalFormatting sqref="H10">
    <cfRule type="cellIs" priority="387" operator="lessThan" aboveAverage="0" equalAverage="0" bottom="0" percent="0" rank="0" text="" dxfId="0">
      <formula>E10</formula>
    </cfRule>
  </conditionalFormatting>
  <conditionalFormatting sqref="H12">
    <cfRule type="cellIs" priority="388" operator="lessThan" aboveAverage="0" equalAverage="0" bottom="0" percent="0" rank="0" text="" dxfId="0">
      <formula>E12</formula>
    </cfRule>
  </conditionalFormatting>
  <conditionalFormatting sqref="H13">
    <cfRule type="cellIs" priority="389" operator="lessThan" aboveAverage="0" equalAverage="0" bottom="0" percent="0" rank="0" text="" dxfId="0">
      <formula>E13</formula>
    </cfRule>
  </conditionalFormatting>
  <conditionalFormatting sqref="H16">
    <cfRule type="cellIs" priority="390" operator="lessThan" aboveAverage="0" equalAverage="0" bottom="0" percent="0" rank="0" text="" dxfId="0">
      <formula>E16</formula>
    </cfRule>
  </conditionalFormatting>
  <conditionalFormatting sqref="H17">
    <cfRule type="cellIs" priority="391" operator="lessThan" aboveAverage="0" equalAverage="0" bottom="0" percent="0" rank="0" text="" dxfId="0">
      <formula>E17</formula>
    </cfRule>
  </conditionalFormatting>
  <conditionalFormatting sqref="H26">
    <cfRule type="cellIs" priority="392" operator="lessThan" aboveAverage="0" equalAverage="0" bottom="0" percent="0" rank="0" text="" dxfId="0">
      <formula>E26</formula>
    </cfRule>
  </conditionalFormatting>
  <conditionalFormatting sqref="H30">
    <cfRule type="cellIs" priority="393" operator="lessThan" aboveAverage="0" equalAverage="0" bottom="0" percent="0" rank="0" text="" dxfId="0">
      <formula>E30</formula>
    </cfRule>
  </conditionalFormatting>
  <conditionalFormatting sqref="H31">
    <cfRule type="cellIs" priority="394" operator="lessThan" aboveAverage="0" equalAverage="0" bottom="0" percent="0" rank="0" text="" dxfId="0">
      <formula>E31</formula>
    </cfRule>
  </conditionalFormatting>
  <conditionalFormatting sqref="H35">
    <cfRule type="cellIs" priority="395" operator="lessThan" aboveAverage="0" equalAverage="0" bottom="0" percent="0" rank="0" text="" dxfId="0">
      <formula>E35</formula>
    </cfRule>
  </conditionalFormatting>
  <conditionalFormatting sqref="H8">
    <cfRule type="cellIs" priority="396" operator="lessThan" aboveAverage="0" equalAverage="0" bottom="0" percent="0" rank="0" text="" dxfId="0">
      <formula>E8</formula>
    </cfRule>
  </conditionalFormatting>
  <conditionalFormatting sqref="H9">
    <cfRule type="cellIs" priority="397" operator="lessThan" aboveAverage="0" equalAverage="0" bottom="0" percent="0" rank="0" text="" dxfId="0">
      <formula>E9</formula>
    </cfRule>
  </conditionalFormatting>
  <conditionalFormatting sqref="I10">
    <cfRule type="expression" priority="398" aboveAverage="0" equalAverage="0" bottom="0" percent="0" rank="0" text="" dxfId="1">
      <formula>AND(NOT(ISBLANK(I10)),OR(H10="NonStk",I10&gt;H10))</formula>
    </cfRule>
  </conditionalFormatting>
  <conditionalFormatting sqref="I12">
    <cfRule type="expression" priority="399" aboveAverage="0" equalAverage="0" bottom="0" percent="0" rank="0" text="" dxfId="2">
      <formula>AND(I12&gt;0,MOD(I12,K12)&lt;&gt;0)</formula>
    </cfRule>
    <cfRule type="expression" priority="400" aboveAverage="0" equalAverage="0" bottom="0" percent="0" rank="0" text="" dxfId="1">
      <formula>AND(NOT(ISBLANK(I12)),OR(H12="NonStk",I12&gt;H12))</formula>
    </cfRule>
  </conditionalFormatting>
  <conditionalFormatting sqref="I13">
    <cfRule type="expression" priority="401" aboveAverage="0" equalAverage="0" bottom="0" percent="0" rank="0" text="" dxfId="2">
      <formula>AND(I13&gt;0,MOD(I13,K13)&lt;&gt;0)</formula>
    </cfRule>
    <cfRule type="expression" priority="402" aboveAverage="0" equalAverage="0" bottom="0" percent="0" rank="0" text="" dxfId="1">
      <formula>AND(NOT(ISBLANK(I13)),OR(H13="NonStk",I13&gt;H13))</formula>
    </cfRule>
  </conditionalFormatting>
  <conditionalFormatting sqref="I16">
    <cfRule type="expression" priority="403" aboveAverage="0" equalAverage="0" bottom="0" percent="0" rank="0" text="" dxfId="1">
      <formula>AND(NOT(ISBLANK(I16)),OR(H16="NonStk",I16&gt;H16))</formula>
    </cfRule>
  </conditionalFormatting>
  <conditionalFormatting sqref="I17">
    <cfRule type="expression" priority="404" aboveAverage="0" equalAverage="0" bottom="0" percent="0" rank="0" text="" dxfId="1">
      <formula>AND(NOT(ISBLANK(I17)),OR(H17="NonStk",I17&gt;H17))</formula>
    </cfRule>
  </conditionalFormatting>
  <conditionalFormatting sqref="I26">
    <cfRule type="expression" priority="405" aboveAverage="0" equalAverage="0" bottom="0" percent="0" rank="0" text="" dxfId="1">
      <formula>AND(NOT(ISBLANK(I26)),OR(H26="NonStk",I26&gt;H26))</formula>
    </cfRule>
  </conditionalFormatting>
  <conditionalFormatting sqref="I30">
    <cfRule type="expression" priority="406" aboveAverage="0" equalAverage="0" bottom="0" percent="0" rank="0" text="" dxfId="1">
      <formula>AND(NOT(ISBLANK(I30)),OR(H30="NonStk",I30&gt;H30))</formula>
    </cfRule>
  </conditionalFormatting>
  <conditionalFormatting sqref="I31">
    <cfRule type="expression" priority="407" aboveAverage="0" equalAverage="0" bottom="0" percent="0" rank="0" text="" dxfId="2">
      <formula>AND(I31&gt;0,MOD(I31,K31)&lt;&gt;0)</formula>
    </cfRule>
    <cfRule type="expression" priority="408" aboveAverage="0" equalAverage="0" bottom="0" percent="0" rank="0" text="" dxfId="1">
      <formula>AND(NOT(ISBLANK(I31)),OR(H31="NonStk",I31&gt;H31))</formula>
    </cfRule>
  </conditionalFormatting>
  <conditionalFormatting sqref="I35">
    <cfRule type="expression" priority="409" aboveAverage="0" equalAverage="0" bottom="0" percent="0" rank="0" text="" dxfId="2">
      <formula>AND(I35&gt;0,MOD(I35,K35)&lt;&gt;0)</formula>
    </cfRule>
    <cfRule type="expression" priority="410" aboveAverage="0" equalAverage="0" bottom="0" percent="0" rank="0" text="" dxfId="1">
      <formula>AND(NOT(ISBLANK(I35)),OR(H35="NonStk",I35&gt;H35))</formula>
    </cfRule>
  </conditionalFormatting>
  <conditionalFormatting sqref="I8">
    <cfRule type="expression" priority="411" aboveAverage="0" equalAverage="0" bottom="0" percent="0" rank="0" text="" dxfId="2">
      <formula>AND(I8&gt;0,MOD(I8,K8)&lt;&gt;0)</formula>
    </cfRule>
    <cfRule type="expression" priority="412" aboveAverage="0" equalAverage="0" bottom="0" percent="0" rank="0" text="" dxfId="1">
      <formula>AND(NOT(ISBLANK(I8)),OR(H8="NonStk",I8&gt;H8))</formula>
    </cfRule>
  </conditionalFormatting>
  <conditionalFormatting sqref="I9">
    <cfRule type="expression" priority="413" aboveAverage="0" equalAverage="0" bottom="0" percent="0" rank="0" text="" dxfId="1">
      <formula>AND(NOT(ISBLANK(I9)),OR(H9="NonStk",I9&gt;H9))</formula>
    </cfRule>
  </conditionalFormatting>
  <conditionalFormatting sqref="J10">
    <cfRule type="cellIs" priority="414" operator="lessThanOrEqual" aboveAverage="0" equalAverage="0" bottom="0" percent="0" rank="0" text="" dxfId="3">
      <formula>F10</formula>
    </cfRule>
  </conditionalFormatting>
  <conditionalFormatting sqref="J12">
    <cfRule type="cellIs" priority="415" operator="lessThanOrEqual" aboveAverage="0" equalAverage="0" bottom="0" percent="0" rank="0" text="" dxfId="3">
      <formula>F12</formula>
    </cfRule>
    <cfRule type="expression" priority="416" aboveAverage="0" equalAverage="0" bottom="0" percent="0" rank="0" text="" dxfId="2">
      <formula>AND(E12&lt;4000,I12&lt;4000)</formula>
    </cfRule>
  </conditionalFormatting>
  <conditionalFormatting sqref="J13">
    <cfRule type="cellIs" priority="417" operator="lessThanOrEqual" aboveAverage="0" equalAverage="0" bottom="0" percent="0" rank="0" text="" dxfId="3">
      <formula>F13</formula>
    </cfRule>
    <cfRule type="expression" priority="418" aboveAverage="0" equalAverage="0" bottom="0" percent="0" rank="0" text="" dxfId="2">
      <formula>AND(E13&lt;4000,I13&lt;4000)</formula>
    </cfRule>
  </conditionalFormatting>
  <conditionalFormatting sqref="J16">
    <cfRule type="cellIs" priority="419" operator="lessThanOrEqual" aboveAverage="0" equalAverage="0" bottom="0" percent="0" rank="0" text="" dxfId="3">
      <formula>F16</formula>
    </cfRule>
  </conditionalFormatting>
  <conditionalFormatting sqref="J17">
    <cfRule type="cellIs" priority="420" operator="lessThanOrEqual" aboveAverage="0" equalAverage="0" bottom="0" percent="0" rank="0" text="" dxfId="3">
      <formula>F17</formula>
    </cfRule>
  </conditionalFormatting>
  <conditionalFormatting sqref="J26">
    <cfRule type="cellIs" priority="421" operator="lessThanOrEqual" aboveAverage="0" equalAverage="0" bottom="0" percent="0" rank="0" text="" dxfId="3">
      <formula>F26</formula>
    </cfRule>
  </conditionalFormatting>
  <conditionalFormatting sqref="J30">
    <cfRule type="cellIs" priority="422" operator="lessThanOrEqual" aboveAverage="0" equalAverage="0" bottom="0" percent="0" rank="0" text="" dxfId="3">
      <formula>F30</formula>
    </cfRule>
  </conditionalFormatting>
  <conditionalFormatting sqref="J31">
    <cfRule type="cellIs" priority="423" operator="lessThanOrEqual" aboveAverage="0" equalAverage="0" bottom="0" percent="0" rank="0" text="" dxfId="3">
      <formula>F31</formula>
    </cfRule>
    <cfRule type="expression" priority="424" aboveAverage="0" equalAverage="0" bottom="0" percent="0" rank="0" text="" dxfId="2">
      <formula>AND(E31&lt;5000,I31&lt;5000)</formula>
    </cfRule>
  </conditionalFormatting>
  <conditionalFormatting sqref="J35">
    <cfRule type="cellIs" priority="425" operator="lessThanOrEqual" aboveAverage="0" equalAverage="0" bottom="0" percent="0" rank="0" text="" dxfId="3">
      <formula>F35</formula>
    </cfRule>
    <cfRule type="expression" priority="426" aboveAverage="0" equalAverage="0" bottom="0" percent="0" rank="0" text="" dxfId="2">
      <formula>AND(E35&lt;1000,I35&lt;1000)</formula>
    </cfRule>
  </conditionalFormatting>
  <conditionalFormatting sqref="J8">
    <cfRule type="cellIs" priority="427" operator="lessThanOrEqual" aboveAverage="0" equalAverage="0" bottom="0" percent="0" rank="0" text="" dxfId="3">
      <formula>F8</formula>
    </cfRule>
    <cfRule type="expression" priority="428" aboveAverage="0" equalAverage="0" bottom="0" percent="0" rank="0" text="" dxfId="2">
      <formula>AND(E8&lt;4000,I8&lt;4000)</formula>
    </cfRule>
  </conditionalFormatting>
  <conditionalFormatting sqref="J9">
    <cfRule type="cellIs" priority="429" operator="lessThanOrEqual" aboveAverage="0" equalAverage="0" bottom="0" percent="0" rank="0" text="" dxfId="3">
      <formula>F9</formula>
    </cfRule>
  </conditionalFormatting>
  <conditionalFormatting sqref="K12">
    <cfRule type="expression" priority="430" aboveAverage="0" equalAverage="0" bottom="0" percent="0" rank="0" text="" dxfId="2">
      <formula>AND(E12&lt;4000,I12&lt;4000)</formula>
    </cfRule>
  </conditionalFormatting>
  <conditionalFormatting sqref="K13">
    <cfRule type="expression" priority="431" aboveAverage="0" equalAverage="0" bottom="0" percent="0" rank="0" text="" dxfId="2">
      <formula>AND(E13&lt;4000,I13&lt;4000)</formula>
    </cfRule>
  </conditionalFormatting>
  <conditionalFormatting sqref="K31">
    <cfRule type="expression" priority="432" aboveAverage="0" equalAverage="0" bottom="0" percent="0" rank="0" text="" dxfId="2">
      <formula>AND(E31&lt;5000,I31&lt;5000)</formula>
    </cfRule>
  </conditionalFormatting>
  <conditionalFormatting sqref="K35">
    <cfRule type="expression" priority="433" aboveAverage="0" equalAverage="0" bottom="0" percent="0" rank="0" text="" dxfId="2">
      <formula>AND(E35&lt;1000,I35&lt;1000)</formula>
    </cfRule>
  </conditionalFormatting>
  <conditionalFormatting sqref="K8">
    <cfRule type="expression" priority="434" aboveAverage="0" equalAverage="0" bottom="0" percent="0" rank="0" text="" dxfId="2">
      <formula>AND(E8&lt;4000,I8&lt;4000)</formula>
    </cfRule>
  </conditionalFormatting>
  <conditionalFormatting sqref="L10">
    <cfRule type="cellIs" priority="435" operator="lessThanOrEqual" aboveAverage="0" equalAverage="0" bottom="0" percent="0" rank="0" text="" dxfId="3">
      <formula>G10</formula>
    </cfRule>
  </conditionalFormatting>
  <conditionalFormatting sqref="L12">
    <cfRule type="cellIs" priority="436" operator="lessThanOrEqual" aboveAverage="0" equalAverage="0" bottom="0" percent="0" rank="0" text="" dxfId="3">
      <formula>G12</formula>
    </cfRule>
    <cfRule type="expression" priority="437" aboveAverage="0" equalAverage="0" bottom="0" percent="0" rank="0" text="" dxfId="2">
      <formula>AND(E12&lt;4000,I12&lt;4000)</formula>
    </cfRule>
  </conditionalFormatting>
  <conditionalFormatting sqref="L13">
    <cfRule type="cellIs" priority="438" operator="lessThanOrEqual" aboveAverage="0" equalAverage="0" bottom="0" percent="0" rank="0" text="" dxfId="3">
      <formula>G13</formula>
    </cfRule>
    <cfRule type="expression" priority="439" aboveAverage="0" equalAverage="0" bottom="0" percent="0" rank="0" text="" dxfId="2">
      <formula>AND(E13&lt;4000,I13&lt;4000)</formula>
    </cfRule>
  </conditionalFormatting>
  <conditionalFormatting sqref="L16">
    <cfRule type="cellIs" priority="440" operator="lessThanOrEqual" aboveAverage="0" equalAverage="0" bottom="0" percent="0" rank="0" text="" dxfId="3">
      <formula>G16</formula>
    </cfRule>
  </conditionalFormatting>
  <conditionalFormatting sqref="L17">
    <cfRule type="cellIs" priority="441" operator="lessThanOrEqual" aboveAverage="0" equalAverage="0" bottom="0" percent="0" rank="0" text="" dxfId="3">
      <formula>G17</formula>
    </cfRule>
  </conditionalFormatting>
  <conditionalFormatting sqref="L26">
    <cfRule type="cellIs" priority="442" operator="lessThanOrEqual" aboveAverage="0" equalAverage="0" bottom="0" percent="0" rank="0" text="" dxfId="3">
      <formula>G26</formula>
    </cfRule>
  </conditionalFormatting>
  <conditionalFormatting sqref="L30">
    <cfRule type="cellIs" priority="443" operator="lessThanOrEqual" aboveAverage="0" equalAverage="0" bottom="0" percent="0" rank="0" text="" dxfId="3">
      <formula>G30</formula>
    </cfRule>
  </conditionalFormatting>
  <conditionalFormatting sqref="L31">
    <cfRule type="cellIs" priority="444" operator="lessThanOrEqual" aboveAverage="0" equalAverage="0" bottom="0" percent="0" rank="0" text="" dxfId="3">
      <formula>G31</formula>
    </cfRule>
    <cfRule type="expression" priority="445" aboveAverage="0" equalAverage="0" bottom="0" percent="0" rank="0" text="" dxfId="2">
      <formula>AND(E31&lt;5000,I31&lt;5000)</formula>
    </cfRule>
  </conditionalFormatting>
  <conditionalFormatting sqref="L35">
    <cfRule type="cellIs" priority="446" operator="lessThanOrEqual" aboveAverage="0" equalAverage="0" bottom="0" percent="0" rank="0" text="" dxfId="3">
      <formula>G35</formula>
    </cfRule>
    <cfRule type="expression" priority="447" aboveAverage="0" equalAverage="0" bottom="0" percent="0" rank="0" text="" dxfId="2">
      <formula>AND(E35&lt;1000,I35&lt;1000)</formula>
    </cfRule>
  </conditionalFormatting>
  <conditionalFormatting sqref="L8">
    <cfRule type="cellIs" priority="448" operator="lessThanOrEqual" aboveAverage="0" equalAverage="0" bottom="0" percent="0" rank="0" text="" dxfId="3">
      <formula>G8</formula>
    </cfRule>
    <cfRule type="expression" priority="449" aboveAverage="0" equalAverage="0" bottom="0" percent="0" rank="0" text="" dxfId="2">
      <formula>AND(E8&lt;4000,I8&lt;4000)</formula>
    </cfRule>
  </conditionalFormatting>
  <conditionalFormatting sqref="L9">
    <cfRule type="cellIs" priority="450" operator="lessThanOrEqual" aboveAverage="0" equalAverage="0" bottom="0" percent="0" rank="0" text="" dxfId="3">
      <formula>G9</formula>
    </cfRule>
  </conditionalFormatting>
  <conditionalFormatting sqref="N10">
    <cfRule type="cellIs" priority="451" operator="lessThan" aboveAverage="0" equalAverage="0" bottom="0" percent="0" rank="0" text="" dxfId="0">
      <formula>E10</formula>
    </cfRule>
  </conditionalFormatting>
  <conditionalFormatting sqref="N11">
    <cfRule type="cellIs" priority="452" operator="lessThan" aboveAverage="0" equalAverage="0" bottom="0" percent="0" rank="0" text="" dxfId="0">
      <formula>E11</formula>
    </cfRule>
  </conditionalFormatting>
  <conditionalFormatting sqref="N12">
    <cfRule type="cellIs" priority="453" operator="lessThan" aboveAverage="0" equalAverage="0" bottom="0" percent="0" rank="0" text="" dxfId="0">
      <formula>E12</formula>
    </cfRule>
  </conditionalFormatting>
  <conditionalFormatting sqref="N13">
    <cfRule type="cellIs" priority="454" operator="lessThan" aboveAverage="0" equalAverage="0" bottom="0" percent="0" rank="0" text="" dxfId="0">
      <formula>E13</formula>
    </cfRule>
  </conditionalFormatting>
  <conditionalFormatting sqref="N16">
    <cfRule type="cellIs" priority="455" operator="lessThan" aboveAverage="0" equalAverage="0" bottom="0" percent="0" rank="0" text="" dxfId="0">
      <formula>E16</formula>
    </cfRule>
  </conditionalFormatting>
  <conditionalFormatting sqref="N17">
    <cfRule type="cellIs" priority="456" operator="lessThan" aboveAverage="0" equalAverage="0" bottom="0" percent="0" rank="0" text="" dxfId="0">
      <formula>E17</formula>
    </cfRule>
  </conditionalFormatting>
  <conditionalFormatting sqref="N26">
    <cfRule type="cellIs" priority="457" operator="lessThan" aboveAverage="0" equalAverage="0" bottom="0" percent="0" rank="0" text="" dxfId="0">
      <formula>E26</formula>
    </cfRule>
  </conditionalFormatting>
  <conditionalFormatting sqref="N30">
    <cfRule type="cellIs" priority="458" operator="lessThan" aboveAverage="0" equalAverage="0" bottom="0" percent="0" rank="0" text="" dxfId="0">
      <formula>E30</formula>
    </cfRule>
  </conditionalFormatting>
  <conditionalFormatting sqref="N31">
    <cfRule type="cellIs" priority="459" operator="lessThan" aboveAverage="0" equalAverage="0" bottom="0" percent="0" rank="0" text="" dxfId="0">
      <formula>E31</formula>
    </cfRule>
  </conditionalFormatting>
  <conditionalFormatting sqref="N35">
    <cfRule type="cellIs" priority="460" operator="lessThan" aboveAverage="0" equalAverage="0" bottom="0" percent="0" rank="0" text="" dxfId="0">
      <formula>E35</formula>
    </cfRule>
  </conditionalFormatting>
  <conditionalFormatting sqref="N37">
    <cfRule type="cellIs" priority="461" operator="lessThan" aboveAverage="0" equalAverage="0" bottom="0" percent="0" rank="0" text="" dxfId="0">
      <formula>E37</formula>
    </cfRule>
  </conditionalFormatting>
  <conditionalFormatting sqref="N7">
    <cfRule type="cellIs" priority="462" operator="lessThan" aboveAverage="0" equalAverage="0" bottom="0" percent="0" rank="0" text="" dxfId="0">
      <formula>E7</formula>
    </cfRule>
  </conditionalFormatting>
  <conditionalFormatting sqref="N8">
    <cfRule type="cellIs" priority="463" operator="lessThan" aboveAverage="0" equalAverage="0" bottom="0" percent="0" rank="0" text="" dxfId="0">
      <formula>E8</formula>
    </cfRule>
  </conditionalFormatting>
  <conditionalFormatting sqref="N9">
    <cfRule type="cellIs" priority="464" operator="lessThan" aboveAverage="0" equalAverage="0" bottom="0" percent="0" rank="0" text="" dxfId="0">
      <formula>E9</formula>
    </cfRule>
  </conditionalFormatting>
  <conditionalFormatting sqref="O10">
    <cfRule type="expression" priority="465" aboveAverage="0" equalAverage="0" bottom="0" percent="0" rank="0" text="" dxfId="1">
      <formula>AND(NOT(ISBLANK(O10)),OR(N10="NonStk",O10&gt;N10))</formula>
    </cfRule>
  </conditionalFormatting>
  <conditionalFormatting sqref="O11">
    <cfRule type="expression" priority="466" aboveAverage="0" equalAverage="0" bottom="0" percent="0" rank="0" text="" dxfId="1">
      <formula>AND(NOT(ISBLANK(O11)),OR(N11="NonStk",O11&gt;N11))</formula>
    </cfRule>
  </conditionalFormatting>
  <conditionalFormatting sqref="O12">
    <cfRule type="expression" priority="467" aboveAverage="0" equalAverage="0" bottom="0" percent="0" rank="0" text="" dxfId="1">
      <formula>AND(NOT(ISBLANK(O12)),OR(N12="NonStk",O12&gt;N12))</formula>
    </cfRule>
  </conditionalFormatting>
  <conditionalFormatting sqref="O13">
    <cfRule type="expression" priority="468" aboveAverage="0" equalAverage="0" bottom="0" percent="0" rank="0" text="" dxfId="1">
      <formula>AND(NOT(ISBLANK(O13)),OR(N13="NonStk",O13&gt;N13))</formula>
    </cfRule>
  </conditionalFormatting>
  <conditionalFormatting sqref="O16">
    <cfRule type="expression" priority="469" aboveAverage="0" equalAverage="0" bottom="0" percent="0" rank="0" text="" dxfId="1">
      <formula>AND(NOT(ISBLANK(O16)),OR(N16="NonStk",O16&gt;N16))</formula>
    </cfRule>
  </conditionalFormatting>
  <conditionalFormatting sqref="O17">
    <cfRule type="expression" priority="470" aboveAverage="0" equalAverage="0" bottom="0" percent="0" rank="0" text="" dxfId="1">
      <formula>AND(NOT(ISBLANK(O17)),OR(N17="NonStk",O17&gt;N17))</formula>
    </cfRule>
  </conditionalFormatting>
  <conditionalFormatting sqref="O26">
    <cfRule type="expression" priority="471" aboveAverage="0" equalAverage="0" bottom="0" percent="0" rank="0" text="" dxfId="1">
      <formula>AND(NOT(ISBLANK(O26)),OR(N26="NonStk",O26&gt;N26))</formula>
    </cfRule>
  </conditionalFormatting>
  <conditionalFormatting sqref="O30">
    <cfRule type="expression" priority="472" aboveAverage="0" equalAverage="0" bottom="0" percent="0" rank="0" text="" dxfId="1">
      <formula>AND(NOT(ISBLANK(O30)),OR(N30="NonStk",O30&gt;N30))</formula>
    </cfRule>
  </conditionalFormatting>
  <conditionalFormatting sqref="O31">
    <cfRule type="expression" priority="473" aboveAverage="0" equalAverage="0" bottom="0" percent="0" rank="0" text="" dxfId="1">
      <formula>AND(NOT(ISBLANK(O31)),OR(N31="NonStk",O31&gt;N31))</formula>
    </cfRule>
  </conditionalFormatting>
  <conditionalFormatting sqref="O35">
    <cfRule type="expression" priority="474" aboveAverage="0" equalAverage="0" bottom="0" percent="0" rank="0" text="" dxfId="1">
      <formula>AND(NOT(ISBLANK(O35)),OR(N35="NonStk",O35&gt;N35))</formula>
    </cfRule>
  </conditionalFormatting>
  <conditionalFormatting sqref="O37">
    <cfRule type="expression" priority="475" aboveAverage="0" equalAverage="0" bottom="0" percent="0" rank="0" text="" dxfId="1">
      <formula>AND(NOT(ISBLANK(O37)),OR(N37="NonStk",O37&gt;N37))</formula>
    </cfRule>
  </conditionalFormatting>
  <conditionalFormatting sqref="O7">
    <cfRule type="expression" priority="476" aboveAverage="0" equalAverage="0" bottom="0" percent="0" rank="0" text="" dxfId="1">
      <formula>AND(NOT(ISBLANK(O7)),OR(N7="NonStk",O7&gt;N7))</formula>
    </cfRule>
  </conditionalFormatting>
  <conditionalFormatting sqref="O8">
    <cfRule type="expression" priority="477" aboveAverage="0" equalAverage="0" bottom="0" percent="0" rank="0" text="" dxfId="1">
      <formula>AND(NOT(ISBLANK(O8)),OR(N8="NonStk",O8&gt;N8))</formula>
    </cfRule>
  </conditionalFormatting>
  <conditionalFormatting sqref="O9">
    <cfRule type="expression" priority="478" aboveAverage="0" equalAverage="0" bottom="0" percent="0" rank="0" text="" dxfId="1">
      <formula>AND(NOT(ISBLANK(O9)),OR(N9="NonStk",O9&gt;N9))</formula>
    </cfRule>
  </conditionalFormatting>
  <conditionalFormatting sqref="P10">
    <cfRule type="cellIs" priority="479" operator="lessThanOrEqual" aboveAverage="0" equalAverage="0" bottom="0" percent="0" rank="0" text="" dxfId="3">
      <formula>F10</formula>
    </cfRule>
  </conditionalFormatting>
  <conditionalFormatting sqref="P11">
    <cfRule type="cellIs" priority="480" operator="lessThanOrEqual" aboveAverage="0" equalAverage="0" bottom="0" percent="0" rank="0" text="" dxfId="3">
      <formula>F11</formula>
    </cfRule>
  </conditionalFormatting>
  <conditionalFormatting sqref="P12">
    <cfRule type="cellIs" priority="481" operator="lessThanOrEqual" aboveAverage="0" equalAverage="0" bottom="0" percent="0" rank="0" text="" dxfId="3">
      <formula>F12</formula>
    </cfRule>
  </conditionalFormatting>
  <conditionalFormatting sqref="P13">
    <cfRule type="cellIs" priority="482" operator="lessThanOrEqual" aboveAverage="0" equalAverage="0" bottom="0" percent="0" rank="0" text="" dxfId="3">
      <formula>F13</formula>
    </cfRule>
  </conditionalFormatting>
  <conditionalFormatting sqref="P16">
    <cfRule type="cellIs" priority="483" operator="lessThanOrEqual" aboveAverage="0" equalAverage="0" bottom="0" percent="0" rank="0" text="" dxfId="3">
      <formula>F16</formula>
    </cfRule>
  </conditionalFormatting>
  <conditionalFormatting sqref="P17">
    <cfRule type="cellIs" priority="484" operator="lessThanOrEqual" aboveAverage="0" equalAverage="0" bottom="0" percent="0" rank="0" text="" dxfId="3">
      <formula>F17</formula>
    </cfRule>
  </conditionalFormatting>
  <conditionalFormatting sqref="P26">
    <cfRule type="cellIs" priority="485" operator="lessThanOrEqual" aboveAverage="0" equalAverage="0" bottom="0" percent="0" rank="0" text="" dxfId="3">
      <formula>F26</formula>
    </cfRule>
  </conditionalFormatting>
  <conditionalFormatting sqref="P30">
    <cfRule type="cellIs" priority="486" operator="lessThanOrEqual" aboveAverage="0" equalAverage="0" bottom="0" percent="0" rank="0" text="" dxfId="3">
      <formula>F30</formula>
    </cfRule>
  </conditionalFormatting>
  <conditionalFormatting sqref="P31">
    <cfRule type="cellIs" priority="487" operator="lessThanOrEqual" aboveAverage="0" equalAverage="0" bottom="0" percent="0" rank="0" text="" dxfId="3">
      <formula>F31</formula>
    </cfRule>
  </conditionalFormatting>
  <conditionalFormatting sqref="P35">
    <cfRule type="cellIs" priority="488" operator="lessThanOrEqual" aboveAverage="0" equalAverage="0" bottom="0" percent="0" rank="0" text="" dxfId="3">
      <formula>F35</formula>
    </cfRule>
  </conditionalFormatting>
  <conditionalFormatting sqref="P37">
    <cfRule type="cellIs" priority="489" operator="lessThanOrEqual" aboveAverage="0" equalAverage="0" bottom="0" percent="0" rank="0" text="" dxfId="3">
      <formula>F37</formula>
    </cfRule>
  </conditionalFormatting>
  <conditionalFormatting sqref="P7">
    <cfRule type="cellIs" priority="490" operator="lessThanOrEqual" aboveAverage="0" equalAverage="0" bottom="0" percent="0" rank="0" text="" dxfId="3">
      <formula>F7</formula>
    </cfRule>
  </conditionalFormatting>
  <conditionalFormatting sqref="P8">
    <cfRule type="cellIs" priority="491" operator="lessThanOrEqual" aboveAverage="0" equalAverage="0" bottom="0" percent="0" rank="0" text="" dxfId="3">
      <formula>F8</formula>
    </cfRule>
  </conditionalFormatting>
  <conditionalFormatting sqref="P9">
    <cfRule type="cellIs" priority="492" operator="lessThanOrEqual" aboveAverage="0" equalAverage="0" bottom="0" percent="0" rank="0" text="" dxfId="3">
      <formula>F9</formula>
    </cfRule>
  </conditionalFormatting>
  <conditionalFormatting sqref="R10">
    <cfRule type="cellIs" priority="493" operator="lessThanOrEqual" aboveAverage="0" equalAverage="0" bottom="0" percent="0" rank="0" text="" dxfId="3">
      <formula>G10</formula>
    </cfRule>
  </conditionalFormatting>
  <conditionalFormatting sqref="R11">
    <cfRule type="cellIs" priority="494" operator="lessThanOrEqual" aboveAverage="0" equalAverage="0" bottom="0" percent="0" rank="0" text="" dxfId="3">
      <formula>G11</formula>
    </cfRule>
  </conditionalFormatting>
  <conditionalFormatting sqref="R12">
    <cfRule type="cellIs" priority="495" operator="lessThanOrEqual" aboveAverage="0" equalAverage="0" bottom="0" percent="0" rank="0" text="" dxfId="3">
      <formula>G12</formula>
    </cfRule>
  </conditionalFormatting>
  <conditionalFormatting sqref="R13">
    <cfRule type="cellIs" priority="496" operator="lessThanOrEqual" aboveAverage="0" equalAverage="0" bottom="0" percent="0" rank="0" text="" dxfId="3">
      <formula>G13</formula>
    </cfRule>
  </conditionalFormatting>
  <conditionalFormatting sqref="R16">
    <cfRule type="cellIs" priority="497" operator="lessThanOrEqual" aboveAverage="0" equalAverage="0" bottom="0" percent="0" rank="0" text="" dxfId="3">
      <formula>G16</formula>
    </cfRule>
  </conditionalFormatting>
  <conditionalFormatting sqref="R17">
    <cfRule type="cellIs" priority="498" operator="lessThanOrEqual" aboveAverage="0" equalAverage="0" bottom="0" percent="0" rank="0" text="" dxfId="3">
      <formula>G17</formula>
    </cfRule>
  </conditionalFormatting>
  <conditionalFormatting sqref="R26">
    <cfRule type="cellIs" priority="499" operator="lessThanOrEqual" aboveAverage="0" equalAverage="0" bottom="0" percent="0" rank="0" text="" dxfId="3">
      <formula>G26</formula>
    </cfRule>
  </conditionalFormatting>
  <conditionalFormatting sqref="R30">
    <cfRule type="cellIs" priority="500" operator="lessThanOrEqual" aboveAverage="0" equalAverage="0" bottom="0" percent="0" rank="0" text="" dxfId="3">
      <formula>G30</formula>
    </cfRule>
  </conditionalFormatting>
  <conditionalFormatting sqref="R31">
    <cfRule type="cellIs" priority="501" operator="lessThanOrEqual" aboveAverage="0" equalAverage="0" bottom="0" percent="0" rank="0" text="" dxfId="3">
      <formula>G31</formula>
    </cfRule>
  </conditionalFormatting>
  <conditionalFormatting sqref="R35">
    <cfRule type="cellIs" priority="502" operator="lessThanOrEqual" aboveAverage="0" equalAverage="0" bottom="0" percent="0" rank="0" text="" dxfId="3">
      <formula>G35</formula>
    </cfRule>
  </conditionalFormatting>
  <conditionalFormatting sqref="R37">
    <cfRule type="cellIs" priority="503" operator="lessThanOrEqual" aboveAverage="0" equalAverage="0" bottom="0" percent="0" rank="0" text="" dxfId="3">
      <formula>G37</formula>
    </cfRule>
  </conditionalFormatting>
  <conditionalFormatting sqref="R7">
    <cfRule type="cellIs" priority="504" operator="lessThanOrEqual" aboveAverage="0" equalAverage="0" bottom="0" percent="0" rank="0" text="" dxfId="3">
      <formula>G7</formula>
    </cfRule>
  </conditionalFormatting>
  <conditionalFormatting sqref="R8">
    <cfRule type="cellIs" priority="505" operator="lessThanOrEqual" aboveAverage="0" equalAverage="0" bottom="0" percent="0" rank="0" text="" dxfId="3">
      <formula>G8</formula>
    </cfRule>
  </conditionalFormatting>
  <conditionalFormatting sqref="R9">
    <cfRule type="cellIs" priority="506" operator="lessThanOrEqual" aboveAverage="0" equalAverage="0" bottom="0" percent="0" rank="0" text="" dxfId="3">
      <formula>G9</formula>
    </cfRule>
  </conditionalFormatting>
  <conditionalFormatting sqref="T10">
    <cfRule type="cellIs" priority="507" operator="lessThan" aboveAverage="0" equalAverage="0" bottom="0" percent="0" rank="0" text="" dxfId="0">
      <formula>E10</formula>
    </cfRule>
  </conditionalFormatting>
  <conditionalFormatting sqref="T11">
    <cfRule type="cellIs" priority="508" operator="lessThan" aboveAverage="0" equalAverage="0" bottom="0" percent="0" rank="0" text="" dxfId="0">
      <formula>E11</formula>
    </cfRule>
  </conditionalFormatting>
  <conditionalFormatting sqref="T12">
    <cfRule type="cellIs" priority="509" operator="lessThan" aboveAverage="0" equalAverage="0" bottom="0" percent="0" rank="0" text="" dxfId="0">
      <formula>E12</formula>
    </cfRule>
  </conditionalFormatting>
  <conditionalFormatting sqref="T13">
    <cfRule type="cellIs" priority="510" operator="lessThan" aboveAverage="0" equalAverage="0" bottom="0" percent="0" rank="0" text="" dxfId="0">
      <formula>E13</formula>
    </cfRule>
  </conditionalFormatting>
  <conditionalFormatting sqref="T17">
    <cfRule type="cellIs" priority="511" operator="lessThan" aboveAverage="0" equalAverage="0" bottom="0" percent="0" rank="0" text="" dxfId="0">
      <formula>E17</formula>
    </cfRule>
  </conditionalFormatting>
  <conditionalFormatting sqref="T30">
    <cfRule type="cellIs" priority="512" operator="lessThan" aboveAverage="0" equalAverage="0" bottom="0" percent="0" rank="0" text="" dxfId="0">
      <formula>E30</formula>
    </cfRule>
  </conditionalFormatting>
  <conditionalFormatting sqref="T31">
    <cfRule type="cellIs" priority="513" operator="lessThan" aboveAverage="0" equalAverage="0" bottom="0" percent="0" rank="0" text="" dxfId="0">
      <formula>E31</formula>
    </cfRule>
  </conditionalFormatting>
  <conditionalFormatting sqref="T35">
    <cfRule type="cellIs" priority="514" operator="lessThan" aboveAverage="0" equalAverage="0" bottom="0" percent="0" rank="0" text="" dxfId="0">
      <formula>E35</formula>
    </cfRule>
  </conditionalFormatting>
  <conditionalFormatting sqref="T7">
    <cfRule type="cellIs" priority="515" operator="lessThan" aboveAverage="0" equalAverage="0" bottom="0" percent="0" rank="0" text="" dxfId="0">
      <formula>E7</formula>
    </cfRule>
  </conditionalFormatting>
  <conditionalFormatting sqref="T8">
    <cfRule type="cellIs" priority="516" operator="lessThan" aboveAverage="0" equalAverage="0" bottom="0" percent="0" rank="0" text="" dxfId="0">
      <formula>E8</formula>
    </cfRule>
  </conditionalFormatting>
  <conditionalFormatting sqref="U10">
    <cfRule type="expression" priority="517" aboveAverage="0" equalAverage="0" bottom="0" percent="0" rank="0" text="" dxfId="1">
      <formula>AND(NOT(ISBLANK(U10)),OR(T10="NonStk",U10&gt;T10))</formula>
    </cfRule>
  </conditionalFormatting>
  <conditionalFormatting sqref="U11">
    <cfRule type="expression" priority="518" aboveAverage="0" equalAverage="0" bottom="0" percent="0" rank="0" text="" dxfId="2">
      <formula>AND(U11&gt;0,MOD(U11,W11)&lt;&gt;0)</formula>
    </cfRule>
    <cfRule type="expression" priority="519" aboveAverage="0" equalAverage="0" bottom="0" percent="0" rank="0" text="" dxfId="1">
      <formula>AND(NOT(ISBLANK(U11)),OR(T11="NonStk",U11&gt;T11))</formula>
    </cfRule>
  </conditionalFormatting>
  <conditionalFormatting sqref="U12">
    <cfRule type="expression" priority="520" aboveAverage="0" equalAverage="0" bottom="0" percent="0" rank="0" text="" dxfId="2">
      <formula>AND(U12&gt;0,MOD(U12,W12)&lt;&gt;0)</formula>
    </cfRule>
    <cfRule type="expression" priority="521" aboveAverage="0" equalAverage="0" bottom="0" percent="0" rank="0" text="" dxfId="1">
      <formula>AND(NOT(ISBLANK(U12)),OR(T12="NonStk",U12&gt;T12))</formula>
    </cfRule>
  </conditionalFormatting>
  <conditionalFormatting sqref="U13">
    <cfRule type="expression" priority="522" aboveAverage="0" equalAverage="0" bottom="0" percent="0" rank="0" text="" dxfId="2">
      <formula>AND(U13&gt;0,MOD(U13,W13)&lt;&gt;0)</formula>
    </cfRule>
    <cfRule type="expression" priority="523" aboveAverage="0" equalAverage="0" bottom="0" percent="0" rank="0" text="" dxfId="1">
      <formula>AND(NOT(ISBLANK(U13)),OR(T13="NonStk",U13&gt;T13))</formula>
    </cfRule>
  </conditionalFormatting>
  <conditionalFormatting sqref="U17">
    <cfRule type="expression" priority="524" aboveAverage="0" equalAverage="0" bottom="0" percent="0" rank="0" text="" dxfId="1">
      <formula>AND(NOT(ISBLANK(U17)),OR(T17="NonStk",U17&gt;T17))</formula>
    </cfRule>
  </conditionalFormatting>
  <conditionalFormatting sqref="U30">
    <cfRule type="expression" priority="525" aboveAverage="0" equalAverage="0" bottom="0" percent="0" rank="0" text="" dxfId="2">
      <formula>AND(U30&gt;0,MOD(U30,W30)&lt;&gt;0)</formula>
    </cfRule>
    <cfRule type="expression" priority="526" aboveAverage="0" equalAverage="0" bottom="0" percent="0" rank="0" text="" dxfId="1">
      <formula>AND(NOT(ISBLANK(U30)),OR(T30="NonStk",U30&gt;T30))</formula>
    </cfRule>
  </conditionalFormatting>
  <conditionalFormatting sqref="U31">
    <cfRule type="expression" priority="527" aboveAverage="0" equalAverage="0" bottom="0" percent="0" rank="0" text="" dxfId="2">
      <formula>AND(U31&gt;0,MOD(U31,W31)&lt;&gt;0)</formula>
    </cfRule>
    <cfRule type="expression" priority="528" aboveAverage="0" equalAverage="0" bottom="0" percent="0" rank="0" text="" dxfId="1">
      <formula>AND(NOT(ISBLANK(U31)),OR(T31="NonStk",U31&gt;T31))</formula>
    </cfRule>
  </conditionalFormatting>
  <conditionalFormatting sqref="U35">
    <cfRule type="expression" priority="529" aboveAverage="0" equalAverage="0" bottom="0" percent="0" rank="0" text="" dxfId="1">
      <formula>AND(NOT(ISBLANK(U35)),OR(T35="NonStk",U35&gt;T35))</formula>
    </cfRule>
  </conditionalFormatting>
  <conditionalFormatting sqref="U7">
    <cfRule type="expression" priority="530" aboveAverage="0" equalAverage="0" bottom="0" percent="0" rank="0" text="" dxfId="2">
      <formula>AND(U7&gt;0,MOD(U7,W7)&lt;&gt;0)</formula>
    </cfRule>
    <cfRule type="expression" priority="531" aboveAverage="0" equalAverage="0" bottom="0" percent="0" rank="0" text="" dxfId="1">
      <formula>AND(NOT(ISBLANK(U7)),OR(T7="NonStk",U7&gt;T7))</formula>
    </cfRule>
  </conditionalFormatting>
  <conditionalFormatting sqref="U8">
    <cfRule type="expression" priority="532" aboveAverage="0" equalAverage="0" bottom="0" percent="0" rank="0" text="" dxfId="2">
      <formula>AND(U8&gt;0,MOD(U8,W8)&lt;&gt;0)</formula>
    </cfRule>
    <cfRule type="expression" priority="533" aboveAverage="0" equalAverage="0" bottom="0" percent="0" rank="0" text="" dxfId="1">
      <formula>AND(NOT(ISBLANK(U8)),OR(T8="NonStk",U8&gt;T8))</formula>
    </cfRule>
  </conditionalFormatting>
  <conditionalFormatting sqref="V10">
    <cfRule type="cellIs" priority="534" operator="lessThanOrEqual" aboveAverage="0" equalAverage="0" bottom="0" percent="0" rank="0" text="" dxfId="3">
      <formula>F10</formula>
    </cfRule>
  </conditionalFormatting>
  <conditionalFormatting sqref="V11">
    <cfRule type="cellIs" priority="535" operator="lessThanOrEqual" aboveAverage="0" equalAverage="0" bottom="0" percent="0" rank="0" text="" dxfId="3">
      <formula>F11</formula>
    </cfRule>
  </conditionalFormatting>
  <conditionalFormatting sqref="V12">
    <cfRule type="cellIs" priority="536" operator="lessThanOrEqual" aboveAverage="0" equalAverage="0" bottom="0" percent="0" rank="0" text="" dxfId="3">
      <formula>F12</formula>
    </cfRule>
  </conditionalFormatting>
  <conditionalFormatting sqref="V13">
    <cfRule type="cellIs" priority="537" operator="lessThanOrEqual" aboveAverage="0" equalAverage="0" bottom="0" percent="0" rank="0" text="" dxfId="3">
      <formula>F13</formula>
    </cfRule>
  </conditionalFormatting>
  <conditionalFormatting sqref="V17">
    <cfRule type="cellIs" priority="538" operator="lessThanOrEqual" aboveAverage="0" equalAverage="0" bottom="0" percent="0" rank="0" text="" dxfId="3">
      <formula>F17</formula>
    </cfRule>
  </conditionalFormatting>
  <conditionalFormatting sqref="V30">
    <cfRule type="cellIs" priority="539" operator="lessThanOrEqual" aboveAverage="0" equalAverage="0" bottom="0" percent="0" rank="0" text="" dxfId="3">
      <formula>F30</formula>
    </cfRule>
  </conditionalFormatting>
  <conditionalFormatting sqref="V31">
    <cfRule type="cellIs" priority="540" operator="lessThanOrEqual" aboveAverage="0" equalAverage="0" bottom="0" percent="0" rank="0" text="" dxfId="3">
      <formula>F31</formula>
    </cfRule>
  </conditionalFormatting>
  <conditionalFormatting sqref="V35">
    <cfRule type="cellIs" priority="541" operator="lessThanOrEqual" aboveAverage="0" equalAverage="0" bottom="0" percent="0" rank="0" text="" dxfId="3">
      <formula>F35</formula>
    </cfRule>
  </conditionalFormatting>
  <conditionalFormatting sqref="V7">
    <cfRule type="cellIs" priority="542" operator="lessThanOrEqual" aboveAverage="0" equalAverage="0" bottom="0" percent="0" rank="0" text="" dxfId="3">
      <formula>F7</formula>
    </cfRule>
    <cfRule type="expression" priority="543" aboveAverage="0" equalAverage="0" bottom="0" percent="0" rank="0" text="" dxfId="2">
      <formula>AND(E7&lt;2000,U7&lt;2000)</formula>
    </cfRule>
  </conditionalFormatting>
  <conditionalFormatting sqref="V8">
    <cfRule type="cellIs" priority="544" operator="lessThanOrEqual" aboveAverage="0" equalAverage="0" bottom="0" percent="0" rank="0" text="" dxfId="3">
      <formula>F8</formula>
    </cfRule>
  </conditionalFormatting>
  <conditionalFormatting sqref="W7">
    <cfRule type="expression" priority="545" aboveAverage="0" equalAverage="0" bottom="0" percent="0" rank="0" text="" dxfId="2">
      <formula>AND(E7&lt;2000,U7&lt;2000)</formula>
    </cfRule>
  </conditionalFormatting>
  <conditionalFormatting sqref="X10">
    <cfRule type="cellIs" priority="546" operator="lessThanOrEqual" aboveAverage="0" equalAverage="0" bottom="0" percent="0" rank="0" text="" dxfId="3">
      <formula>G10</formula>
    </cfRule>
  </conditionalFormatting>
  <conditionalFormatting sqref="X11">
    <cfRule type="cellIs" priority="547" operator="lessThanOrEqual" aboveAverage="0" equalAverage="0" bottom="0" percent="0" rank="0" text="" dxfId="3">
      <formula>G11</formula>
    </cfRule>
  </conditionalFormatting>
  <conditionalFormatting sqref="X12">
    <cfRule type="cellIs" priority="548" operator="lessThanOrEqual" aboveAverage="0" equalAverage="0" bottom="0" percent="0" rank="0" text="" dxfId="3">
      <formula>G12</formula>
    </cfRule>
  </conditionalFormatting>
  <conditionalFormatting sqref="X13">
    <cfRule type="cellIs" priority="549" operator="lessThanOrEqual" aboveAverage="0" equalAverage="0" bottom="0" percent="0" rank="0" text="" dxfId="3">
      <formula>G13</formula>
    </cfRule>
  </conditionalFormatting>
  <conditionalFormatting sqref="X17">
    <cfRule type="cellIs" priority="550" operator="lessThanOrEqual" aboveAverage="0" equalAverage="0" bottom="0" percent="0" rank="0" text="" dxfId="3">
      <formula>G17</formula>
    </cfRule>
  </conditionalFormatting>
  <conditionalFormatting sqref="X30">
    <cfRule type="cellIs" priority="551" operator="lessThanOrEqual" aboveAverage="0" equalAverage="0" bottom="0" percent="0" rank="0" text="" dxfId="3">
      <formula>G30</formula>
    </cfRule>
  </conditionalFormatting>
  <conditionalFormatting sqref="X31">
    <cfRule type="cellIs" priority="552" operator="lessThanOrEqual" aboveAverage="0" equalAverage="0" bottom="0" percent="0" rank="0" text="" dxfId="3">
      <formula>G31</formula>
    </cfRule>
  </conditionalFormatting>
  <conditionalFormatting sqref="X35">
    <cfRule type="cellIs" priority="553" operator="lessThanOrEqual" aboveAverage="0" equalAverage="0" bottom="0" percent="0" rank="0" text="" dxfId="3">
      <formula>G35</formula>
    </cfRule>
  </conditionalFormatting>
  <conditionalFormatting sqref="X7">
    <cfRule type="cellIs" priority="554" operator="lessThanOrEqual" aboveAverage="0" equalAverage="0" bottom="0" percent="0" rank="0" text="" dxfId="3">
      <formula>G7</formula>
    </cfRule>
    <cfRule type="expression" priority="555" aboveAverage="0" equalAverage="0" bottom="0" percent="0" rank="0" text="" dxfId="2">
      <formula>AND(E7&lt;2000,U7&lt;2000)</formula>
    </cfRule>
  </conditionalFormatting>
  <conditionalFormatting sqref="X8">
    <cfRule type="cellIs" priority="556" operator="lessThanOrEqual" aboveAverage="0" equalAverage="0" bottom="0" percent="0" rank="0" text="" dxfId="3">
      <formula>G8</formula>
    </cfRule>
  </conditionalFormatting>
  <hyperlinks>
    <hyperlink ref="S7" r:id="rId2" display="399-R46KI3100JHM1K-ND"/>
    <hyperlink ref="Y7" r:id="rId3" display="2936551"/>
    <hyperlink ref="AK7" r:id="rId4" display="80-R46KI3100JHM1K"/>
    <hyperlink ref="AQ7" r:id="rId5" display="91AC0455"/>
    <hyperlink ref="M8" r:id="rId6" display="0603B105K100CT"/>
    <hyperlink ref="S8" r:id="rId7" display="1292-0603B105K100CT-ND"/>
    <hyperlink ref="Y8" r:id="rId8" display="3764119"/>
    <hyperlink ref="AK8" r:id="rId9" display="791-0603B105K100CT"/>
    <hyperlink ref="AQ8" r:id="rId10" display="50AJ6304"/>
    <hyperlink ref="BC8" r:id="rId11" display="0603B105K100CT"/>
    <hyperlink ref="M9" r:id="rId12" display="VJ0603Y183JXACW1BC"/>
    <hyperlink ref="S9" r:id="rId13" display="720-VJ0603Y183JXACW1BCCT-ND"/>
    <hyperlink ref="AK9" r:id="rId14" display="77-VJ0603Y183JXACBC"/>
    <hyperlink ref="AQ9" r:id="rId15" display="38AH3190"/>
    <hyperlink ref="BC9" r:id="rId16" display="VJ0603Y183JXACW1BC"/>
    <hyperlink ref="M10" r:id="rId17" display="ECE-A0JKS101"/>
    <hyperlink ref="S10" r:id="rId18" display="P958-ND"/>
    <hyperlink ref="Y10" r:id="rId19" display="1901988"/>
    <hyperlink ref="AK10" r:id="rId20" display="667-ECE-A0JKS101"/>
    <hyperlink ref="AQ10" r:id="rId21" display="55T0198"/>
    <hyperlink ref="AW10" r:id="rId22" display="116767"/>
    <hyperlink ref="BC10" r:id="rId23" display="ECEA0JKS101"/>
    <hyperlink ref="S11" r:id="rId24" display="1292-0603X475K100CT-ND"/>
    <hyperlink ref="Y11" r:id="rId25" display="2496929"/>
    <hyperlink ref="AK11" r:id="rId26" display="791-0603X475K100CT"/>
    <hyperlink ref="BC11" r:id="rId27" display="0603X475K100CT"/>
    <hyperlink ref="M12" r:id="rId28" display="06033C104KAT2A"/>
    <hyperlink ref="S12" r:id="rId29" display="478-3714-1-ND"/>
    <hyperlink ref="Y12" r:id="rId30" display="2530141"/>
    <hyperlink ref="AK12" r:id="rId31" display="581-06033C104KAT2A"/>
    <hyperlink ref="AQ12" r:id="rId32" display="96M1263"/>
    <hyperlink ref="AW12" r:id="rId33" display="1356595"/>
    <hyperlink ref="BC12" r:id="rId34" display="06033C104KAT2A"/>
    <hyperlink ref="M13" r:id="rId35" display="0603X106K6R3CT"/>
    <hyperlink ref="S13" r:id="rId36" display="1292-0603X106K6R3CT-ND"/>
    <hyperlink ref="Y13" r:id="rId37" display="3764145"/>
    <hyperlink ref="AK13" r:id="rId38" display="791-0603X106K6R3CT"/>
    <hyperlink ref="AQ13" r:id="rId39" display="50AJ6327"/>
    <hyperlink ref="BC13" r:id="rId40" display="0603X106K6R3CT"/>
    <hyperlink ref="AK14" r:id="rId41" display="637-ESD5Z3V3"/>
    <hyperlink ref="BC14" r:id="rId42" display="ESD5Z3V3-DIO"/>
    <hyperlink ref="BC15" r:id="rId43" display="RF-GNB191TS-CF"/>
    <hyperlink ref="D16" r:id="rId44" display="0ZRE0012FF1C"/>
    <hyperlink ref="M16" r:id="rId45" display="0ZRE0012FF1C"/>
    <hyperlink ref="S16" r:id="rId46" display="507-1350-ND"/>
    <hyperlink ref="AK16" r:id="rId47" display="530-0ZRE0012FF1C"/>
    <hyperlink ref="AQ16" r:id="rId48" display="58AC4734"/>
    <hyperlink ref="BC16" r:id="rId49" display="0ZRE0012FF1C"/>
    <hyperlink ref="D17" r:id="rId50" display="ATM90E36A-AU-Y"/>
    <hyperlink ref="M17" r:id="rId51" display="ATM90E36A-AU-Y"/>
    <hyperlink ref="S17" r:id="rId52" display="ATM90E36A-AU-Y-ND"/>
    <hyperlink ref="Y17" r:id="rId53" display="2851659"/>
    <hyperlink ref="AK17" r:id="rId54" display="556-ATM90E36A-AU-Y"/>
    <hyperlink ref="AQ17" r:id="rId55" display="55AC1236"/>
    <hyperlink ref="AW17" r:id="rId56" display="1773688P"/>
    <hyperlink ref="BC17" r:id="rId57" display="ATM90E36A-AU-Y"/>
    <hyperlink ref="M26" r:id="rId58" display="AIML-1206-R27K-T"/>
    <hyperlink ref="S26" r:id="rId59" display="535-11684-1-ND"/>
    <hyperlink ref="AK26" r:id="rId60" display="815-AIML-1206-R27KT"/>
    <hyperlink ref="AQ26" r:id="rId61" display="96W8210"/>
    <hyperlink ref="D27" r:id="rId62" display="HLK-PM03"/>
    <hyperlink ref="BC27" r:id="rId63" display="CL160808T-R27K-N"/>
    <hyperlink ref="D28" r:id="rId64" display="AM1SS-0303S-NZ"/>
    <hyperlink ref="AQ28" r:id="rId65" display="27AK8762"/>
    <hyperlink ref="BC28" r:id="rId66" display="AM1SS-0303S-NZ"/>
    <hyperlink ref="BC29" r:id="rId67" display="ARG1206-220K-0.5%"/>
    <hyperlink ref="M30" r:id="rId68" display="AC0603FR-071KL"/>
    <hyperlink ref="S30" r:id="rId69" display="311-1KLDCT-ND"/>
    <hyperlink ref="Y30" r:id="rId70" display="3495238"/>
    <hyperlink ref="AK30" r:id="rId71" display="603-AC0603FR-071KL"/>
    <hyperlink ref="AQ30" r:id="rId72" display="49AK0481"/>
    <hyperlink ref="AW30" r:id="rId73" display="1978033"/>
    <hyperlink ref="BC30" r:id="rId74" display="AC0603FR-071KL"/>
    <hyperlink ref="M31" r:id="rId75" display="AC0603FR-0710KL"/>
    <hyperlink ref="S31" r:id="rId76" display="311-10KLDCT-ND"/>
    <hyperlink ref="Y31" r:id="rId77" display="3495224"/>
    <hyperlink ref="AK31" r:id="rId78" display="603-AC0603FR-0710KL"/>
    <hyperlink ref="AQ31" r:id="rId79" display="82AH6475"/>
    <hyperlink ref="AW31" r:id="rId80" display="1978014"/>
    <hyperlink ref="BC31" r:id="rId81" display="AC0603FR-0710KL"/>
    <hyperlink ref="AK32" r:id="rId82" display="303-0603SAF270JT5E"/>
    <hyperlink ref="BC32" r:id="rId83" display="SMD0603-27R-1%"/>
    <hyperlink ref="BC33" r:id="rId84" display="ARG1206-20R-0.5%"/>
    <hyperlink ref="M35" r:id="rId85" display="B72650M0271K072"/>
    <hyperlink ref="S35" r:id="rId86" display="495-2388-1-ND"/>
    <hyperlink ref="Y35" r:id="rId87" display="9958533"/>
    <hyperlink ref="AK35" r:id="rId88" display="871-B72650M0271K072"/>
    <hyperlink ref="AQ35" r:id="rId89" display="34M5347"/>
    <hyperlink ref="AW35" r:id="rId90" display="7691993"/>
    <hyperlink ref="BC35" r:id="rId91" display="B72650M271K72"/>
    <hyperlink ref="D36" r:id="rId92" display="PAI161M31"/>
    <hyperlink ref="D37" r:id="rId93" display="LFXTAL069395CUTT"/>
    <hyperlink ref="S37" r:id="rId94" display="1923-1355-1-ND"/>
    <hyperlink ref="AK37" r:id="rId95" display="449-LFXTAL069395CUTT"/>
    <hyperlink ref="BC37" r:id="rId96" display="16.3840M-CFPX-218"/>
    <hyperlink ref="H39" r:id="rId97" display="Buy here"/>
    <hyperlink ref="N39" r:id="rId98" display="Buy here"/>
    <hyperlink ref="T39" r:id="rId99" display="Buy here"/>
    <hyperlink ref="Z39" r:id="rId100" display="Buy here"/>
    <hyperlink ref="AF39" r:id="rId101" display="Buy here"/>
    <hyperlink ref="AL39" r:id="rId102" display="Buy here"/>
    <hyperlink ref="AR39" r:id="rId103" display="Buy here"/>
    <hyperlink ref="AX39" r:id="rId104" display="Buy he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2023-02-25T13:41:14Z</dcterms:created>
  <dc:creator/>
  <dc:description/>
  <dc:language>pl-PL</dc:language>
  <cp:lastModifiedBy/>
  <dcterms:modified xsi:type="dcterms:W3CDTF">2023-03-15T22:02:21Z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