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cpreissl/Documents/Finance/Steuern/"/>
    </mc:Choice>
  </mc:AlternateContent>
  <xr:revisionPtr revIDLastSave="0" documentId="13_ncr:1_{DD1429F4-A3DA-8A4E-BF68-3A002752790D}" xr6:coauthVersionLast="46" xr6:coauthVersionMax="46" xr10:uidLastSave="{00000000-0000-0000-0000-000000000000}"/>
  <bookViews>
    <workbookView xWindow="0" yWindow="500" windowWidth="51200" windowHeight="26900" activeTab="10" xr2:uid="{00000000-000D-0000-FFFF-FFFF00000000}"/>
  </bookViews>
  <sheets>
    <sheet name="2015" sheetId="1" r:id="rId1"/>
    <sheet name="2016" sheetId="2" r:id="rId2"/>
    <sheet name="Berechnung 2017" sheetId="5" r:id="rId3"/>
    <sheet name="2017" sheetId="3" r:id="rId4"/>
    <sheet name="Berechnung 2018" sheetId="6" r:id="rId5"/>
    <sheet name="2018" sheetId="4" r:id="rId6"/>
    <sheet name="Berechnung 2019" sheetId="7" r:id="rId7"/>
    <sheet name="2019" sheetId="8" r:id="rId8"/>
    <sheet name="Berechnung 2020" sheetId="9" r:id="rId9"/>
    <sheet name="2020" sheetId="10" r:id="rId10"/>
    <sheet name="Steuerkont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1" l="1"/>
  <c r="C63" i="11" s="1"/>
  <c r="C52" i="11"/>
  <c r="B43" i="11"/>
  <c r="C37" i="11"/>
  <c r="B26" i="11"/>
  <c r="B24" i="11"/>
  <c r="B27" i="11" s="1"/>
  <c r="C20" i="11"/>
  <c r="B14" i="11"/>
  <c r="B15" i="11" s="1"/>
  <c r="B12" i="11"/>
  <c r="C8" i="11"/>
  <c r="B3" i="11"/>
  <c r="B2" i="11"/>
  <c r="B4" i="11" s="1"/>
  <c r="B57" i="9"/>
  <c r="B55" i="9"/>
  <c r="B24" i="9"/>
  <c r="B53" i="9"/>
  <c r="B52" i="9"/>
  <c r="B38" i="9"/>
  <c r="B37" i="9"/>
  <c r="B34" i="9"/>
  <c r="B33" i="9"/>
  <c r="B32" i="9"/>
  <c r="B29" i="9"/>
  <c r="B12" i="9"/>
  <c r="B28" i="10"/>
  <c r="B67" i="11" l="1"/>
  <c r="B18" i="10"/>
  <c r="B17" i="10"/>
  <c r="B16" i="10"/>
  <c r="B15" i="10"/>
  <c r="G9" i="10"/>
  <c r="F9" i="10"/>
  <c r="E9" i="10"/>
  <c r="G9" i="8"/>
  <c r="F9" i="8"/>
  <c r="E9" i="8"/>
  <c r="B28" i="9" l="1"/>
  <c r="B23" i="9"/>
  <c r="B19" i="10"/>
  <c r="B20" i="10"/>
  <c r="B14" i="10"/>
  <c r="B13" i="10"/>
  <c r="B57" i="10"/>
  <c r="B12" i="10" s="1"/>
  <c r="B47" i="10"/>
  <c r="B40" i="10"/>
  <c r="B78" i="10"/>
  <c r="B72" i="10"/>
  <c r="B68" i="10"/>
  <c r="B62" i="10"/>
  <c r="B53" i="10"/>
  <c r="B11" i="10" s="1"/>
  <c r="B48" i="10"/>
  <c r="B10" i="10" s="1"/>
  <c r="B41" i="10"/>
  <c r="B42" i="10" s="1"/>
  <c r="B38" i="10"/>
  <c r="B3" i="10" s="1"/>
  <c r="B35" i="10"/>
  <c r="B2" i="10" s="1"/>
  <c r="B43" i="10" l="1"/>
  <c r="B9" i="10" s="1"/>
  <c r="B22" i="10" s="1"/>
  <c r="B5" i="10"/>
  <c r="N13" i="9"/>
  <c r="H13" i="9"/>
  <c r="B13" i="9"/>
  <c r="N10" i="9"/>
  <c r="H10" i="9"/>
  <c r="B10" i="9"/>
  <c r="P9" i="9"/>
  <c r="J9" i="9"/>
  <c r="D9" i="9"/>
  <c r="N5" i="9"/>
  <c r="H5" i="9"/>
  <c r="H12" i="9" s="1"/>
  <c r="B5" i="9"/>
  <c r="B59" i="5"/>
  <c r="D8" i="9" l="1"/>
  <c r="J8" i="9"/>
  <c r="P8" i="9"/>
  <c r="P10" i="9" s="1"/>
  <c r="N12" i="9"/>
  <c r="J10" i="9"/>
  <c r="D10" i="9"/>
  <c r="B25" i="9" l="1"/>
  <c r="B23" i="7"/>
  <c r="B5" i="7"/>
  <c r="B28" i="7"/>
  <c r="B30" i="9" l="1"/>
  <c r="B52" i="7"/>
  <c r="B19" i="8" l="1"/>
  <c r="B16" i="8"/>
  <c r="B45" i="8"/>
  <c r="B44" i="8"/>
  <c r="B39" i="8"/>
  <c r="B5" i="8"/>
  <c r="B2" i="8"/>
  <c r="B41" i="9" l="1"/>
  <c r="B44" i="9" s="1"/>
  <c r="B54" i="9"/>
  <c r="B55" i="7"/>
  <c r="B38" i="7"/>
  <c r="B23" i="6"/>
  <c r="B25" i="6" s="1"/>
  <c r="N13" i="7"/>
  <c r="N10" i="7"/>
  <c r="P9" i="7"/>
  <c r="N5" i="7"/>
  <c r="N12" i="7" s="1"/>
  <c r="H13" i="7"/>
  <c r="B13" i="7"/>
  <c r="B34" i="7" s="1"/>
  <c r="B12" i="7"/>
  <c r="B12" i="6"/>
  <c r="H12" i="6"/>
  <c r="B57" i="6"/>
  <c r="B55" i="6"/>
  <c r="B54" i="6"/>
  <c r="B24" i="6"/>
  <c r="B35" i="6"/>
  <c r="H13" i="6"/>
  <c r="B13" i="6"/>
  <c r="D8" i="6"/>
  <c r="B11" i="8"/>
  <c r="B38" i="8"/>
  <c r="B40" i="8"/>
  <c r="B9" i="8"/>
  <c r="B3" i="8"/>
  <c r="B15" i="8"/>
  <c r="B14" i="8"/>
  <c r="B13" i="8"/>
  <c r="B54" i="8"/>
  <c r="B12" i="8" s="1"/>
  <c r="B37" i="8"/>
  <c r="B29" i="6" l="1"/>
  <c r="B30" i="6"/>
  <c r="P8" i="7"/>
  <c r="P10" i="7" s="1"/>
  <c r="B32" i="8"/>
  <c r="B84" i="8"/>
  <c r="B78" i="8"/>
  <c r="B74" i="8"/>
  <c r="B68" i="8"/>
  <c r="B64" i="8"/>
  <c r="B58" i="8"/>
  <c r="B50" i="8"/>
  <c r="B10" i="8"/>
  <c r="B35" i="8"/>
  <c r="H10" i="7"/>
  <c r="B10" i="7"/>
  <c r="B53" i="7" s="1"/>
  <c r="J9" i="7"/>
  <c r="D9" i="7"/>
  <c r="H5" i="7"/>
  <c r="H12" i="7" s="1"/>
  <c r="B24" i="7" l="1"/>
  <c r="B25" i="7" s="1"/>
  <c r="B29" i="7" s="1"/>
  <c r="J8" i="7"/>
  <c r="J10" i="7" s="1"/>
  <c r="D8" i="7"/>
  <c r="D10" i="7" s="1"/>
  <c r="B30" i="7" l="1"/>
  <c r="B32" i="7" s="1"/>
  <c r="B104" i="4"/>
  <c r="B97" i="4"/>
  <c r="B93" i="4"/>
  <c r="B89" i="4"/>
  <c r="B106" i="4" s="1"/>
  <c r="B33" i="7" l="1"/>
  <c r="B37" i="7" s="1"/>
  <c r="B39" i="6"/>
  <c r="B64" i="4"/>
  <c r="B39" i="4"/>
  <c r="B37" i="4"/>
  <c r="B54" i="7" l="1"/>
  <c r="B41" i="7"/>
  <c r="B44" i="7"/>
  <c r="B57" i="7"/>
  <c r="B32" i="4"/>
  <c r="H10" i="6" l="1"/>
  <c r="J9" i="6"/>
  <c r="H5" i="6"/>
  <c r="J8" i="6" s="1"/>
  <c r="B35" i="5"/>
  <c r="B5" i="6"/>
  <c r="B13" i="5"/>
  <c r="J10" i="6" l="1"/>
  <c r="B57" i="5"/>
  <c r="B10" i="6" l="1"/>
  <c r="D9" i="6"/>
  <c r="B54" i="5"/>
  <c r="B39" i="5"/>
  <c r="B10" i="5"/>
  <c r="B55" i="5" s="1"/>
  <c r="D9" i="5"/>
  <c r="B5" i="5"/>
  <c r="B12" i="5" s="1"/>
  <c r="B24" i="5" s="1"/>
  <c r="B25" i="5" s="1"/>
  <c r="D10" i="6" l="1"/>
  <c r="D8" i="5"/>
  <c r="D10" i="5" s="1"/>
  <c r="B20" i="4" l="1"/>
  <c r="B16" i="4"/>
  <c r="B15" i="4"/>
  <c r="B14" i="4"/>
  <c r="B54" i="4"/>
  <c r="B44" i="4"/>
  <c r="B37" i="3"/>
  <c r="B84" i="4" l="1"/>
  <c r="B78" i="4"/>
  <c r="B74" i="4"/>
  <c r="B68" i="4"/>
  <c r="B58" i="4"/>
  <c r="B13" i="4"/>
  <c r="B50" i="4"/>
  <c r="B12" i="4" s="1"/>
  <c r="B45" i="4"/>
  <c r="B11" i="4" s="1"/>
  <c r="B35" i="4"/>
  <c r="B3" i="4" s="1"/>
  <c r="B2" i="4"/>
  <c r="B6" i="4" s="1"/>
  <c r="B40" i="4" l="1"/>
  <c r="B10" i="4" s="1"/>
  <c r="B17" i="4" s="1"/>
  <c r="B28" i="6" s="1"/>
  <c r="B31" i="6" l="1"/>
  <c r="B33" i="6" s="1"/>
  <c r="B34" i="6" s="1"/>
  <c r="B38" i="6" s="1"/>
  <c r="B56" i="6" s="1"/>
  <c r="B59" i="6" s="1"/>
  <c r="B103" i="3" l="1"/>
  <c r="B97" i="3"/>
  <c r="H92" i="3"/>
  <c r="B93" i="3" s="1"/>
  <c r="B89" i="3"/>
  <c r="B16" i="3"/>
  <c r="B84" i="3"/>
  <c r="B78" i="3"/>
  <c r="B15" i="3"/>
  <c r="B58" i="3"/>
  <c r="B74" i="3"/>
  <c r="B68" i="3"/>
  <c r="B105" i="3" l="1"/>
  <c r="B20" i="3"/>
  <c r="B30" i="5" s="1"/>
  <c r="B14" i="3"/>
  <c r="B64" i="3"/>
  <c r="B54" i="3"/>
  <c r="B13" i="3" s="1"/>
  <c r="B44" i="3"/>
  <c r="B45" i="3" s="1"/>
  <c r="B11" i="3" s="1"/>
  <c r="B39" i="3"/>
  <c r="B40" i="3" s="1"/>
  <c r="B10" i="3" s="1"/>
  <c r="B50" i="3"/>
  <c r="B12" i="3" s="1"/>
  <c r="B35" i="3"/>
  <c r="B3" i="3" s="1"/>
  <c r="B32" i="3"/>
  <c r="B2" i="3" s="1"/>
  <c r="B42" i="6" l="1"/>
  <c r="B46" i="6" s="1"/>
  <c r="B6" i="3"/>
  <c r="B29" i="5" s="1"/>
  <c r="B17" i="3"/>
  <c r="B28" i="5" s="1"/>
  <c r="B31" i="5" s="1"/>
  <c r="B33" i="5" s="1"/>
  <c r="B14" i="2"/>
  <c r="B53" i="2"/>
  <c r="B46" i="2"/>
  <c r="B12" i="2" s="1"/>
  <c r="B35" i="2"/>
  <c r="B36" i="2" s="1"/>
  <c r="B10" i="2" s="1"/>
  <c r="B40" i="2"/>
  <c r="B41" i="2" s="1"/>
  <c r="B11" i="2" s="1"/>
  <c r="B31" i="2"/>
  <c r="B3" i="2" s="1"/>
  <c r="B28" i="2"/>
  <c r="B2" i="2" s="1"/>
  <c r="B34" i="5" l="1"/>
  <c r="B38" i="5" s="1"/>
  <c r="B6" i="2"/>
  <c r="B16" i="2"/>
  <c r="B17" i="1"/>
  <c r="B9" i="1"/>
  <c r="B5" i="1"/>
  <c r="B56" i="5" l="1"/>
  <c r="B42" i="5"/>
  <c r="B46" i="5" s="1"/>
  <c r="B30" i="1"/>
  <c r="B27" i="1"/>
  <c r="B46" i="1"/>
  <c r="B40" i="1"/>
  <c r="B41" i="1" s="1"/>
  <c r="B35" i="1"/>
  <c r="B36" i="1" s="1"/>
</calcChain>
</file>

<file path=xl/sharedStrings.xml><?xml version="1.0" encoding="utf-8"?>
<sst xmlns="http://schemas.openxmlformats.org/spreadsheetml/2006/main" count="974" uniqueCount="299">
  <si>
    <t>Zusatzkrankenversicherung (Merkur)</t>
  </si>
  <si>
    <t>Rentenversicherung (Continentale)</t>
  </si>
  <si>
    <t>Topf-Sonderausgaben</t>
  </si>
  <si>
    <t>Sonderausgaben ohne Höchstbetrag</t>
  </si>
  <si>
    <t>Steuerberatungskosten</t>
  </si>
  <si>
    <t>Werbungskosten</t>
  </si>
  <si>
    <t>Internet (mit 40% Privatanteil)</t>
  </si>
  <si>
    <t>Handygrundgebühr (mit 40% Privatanteil)</t>
  </si>
  <si>
    <t>ÖH-Beitrag</t>
  </si>
  <si>
    <t>Fachliteratur (Grünigen Digitale Signal Verarbeitung)</t>
  </si>
  <si>
    <t>Logitech Headset</t>
  </si>
  <si>
    <t>Matheplus</t>
  </si>
  <si>
    <t>Miete</t>
  </si>
  <si>
    <t>Nebenrechnungen</t>
  </si>
  <si>
    <t>Liwest 2015 gesamt inlusive Fernsehen und Internet mit 35/6Mbit</t>
  </si>
  <si>
    <t>Nur Internet von Liwest mit 35/6 Mbit monatlich:</t>
  </si>
  <si>
    <t>Im Jahr:</t>
  </si>
  <si>
    <t>60% davon: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</si>
  <si>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</si>
  <si>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</si>
  <si>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</si>
  <si>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</si>
  <si>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</si>
  <si>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</si>
  <si>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</si>
  <si>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</si>
  <si>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</si>
  <si>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</si>
  <si>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</si>
  <si>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</si>
  <si>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Teleringrechnungen 2015</t>
  </si>
  <si>
    <t>Gesamt 2015:</t>
  </si>
  <si>
    <t>ÖH-Beitrag:</t>
  </si>
  <si>
    <t>Sommersemester 2015</t>
  </si>
  <si>
    <t>Wintersemester 2015/2016</t>
  </si>
  <si>
    <t>Gesamt:</t>
  </si>
  <si>
    <t>Unfallversicherung (Janitos)</t>
  </si>
  <si>
    <t>HOTdomains Internet Service</t>
  </si>
  <si>
    <t>Gesamt</t>
  </si>
  <si>
    <t>Kennzahl: 720</t>
  </si>
  <si>
    <t>Kennzahl: 719</t>
  </si>
  <si>
    <t>Kennzahl: 724</t>
  </si>
  <si>
    <t>Kennzahl: 455</t>
  </si>
  <si>
    <t>Kennzahl: 460</t>
  </si>
  <si>
    <t>Gesamt 2016:</t>
  </si>
  <si>
    <t>Liwest 2016 gesamt inlusive Fernsehen und Internet mit 35/6Mbit</t>
  </si>
  <si>
    <t>Teleringrechnungen 2016</t>
  </si>
  <si>
    <t>Sommersemester 2016</t>
  </si>
  <si>
    <t>Wintersemester 2016/2017</t>
  </si>
  <si>
    <t>BU (Continentale)</t>
  </si>
  <si>
    <t>493,8 (12*41,15)</t>
  </si>
  <si>
    <t>Kreidehalter</t>
  </si>
  <si>
    <t>Unfallversicherung (Allianz)</t>
  </si>
  <si>
    <t>Parken (23*3.1 + 6*2.1)</t>
  </si>
  <si>
    <t xml:space="preserve">PC wird auf die Nutzungsdauer von 3 Jahren abgeschrieben. Da der PC erst in der 2. Hälfte gekauft wurde ergibt sich folgend Abschreibung </t>
  </si>
  <si>
    <t>Desktop PC (968,63€*0.6=581,18)</t>
  </si>
  <si>
    <t>Kennzahl: 722</t>
  </si>
  <si>
    <t>Nur Internet von Liwest mit 100/10 Mbit monatlich:</t>
  </si>
  <si>
    <t>Liwest gesamt inlusive Fernsehen und Internet mit 35/6Mbit</t>
  </si>
  <si>
    <t>13.01.17</t>
  </si>
  <si>
    <t>17.01.17</t>
  </si>
  <si>
    <t>18.01.17</t>
  </si>
  <si>
    <t>19.01.17</t>
  </si>
  <si>
    <t>20.01.17</t>
  </si>
  <si>
    <t>26.01.17</t>
  </si>
  <si>
    <t>06.02.17</t>
  </si>
  <si>
    <t>08.02.17</t>
  </si>
  <si>
    <t>09.02.17</t>
  </si>
  <si>
    <t>10.02.17</t>
  </si>
  <si>
    <t>13.02.17</t>
  </si>
  <si>
    <t>15.02.17</t>
  </si>
  <si>
    <t>17.02.17</t>
  </si>
  <si>
    <t>09.03.17</t>
  </si>
  <si>
    <t>04.04.17</t>
  </si>
  <si>
    <t>06.04.17</t>
  </si>
  <si>
    <t>20.04.17</t>
  </si>
  <si>
    <t>29.04.17</t>
  </si>
  <si>
    <t>02.05.17</t>
  </si>
  <si>
    <t>05.05.17</t>
  </si>
  <si>
    <t>06.05.17</t>
  </si>
  <si>
    <t>09.05.17</t>
  </si>
  <si>
    <t>Parken</t>
  </si>
  <si>
    <t>Kosten</t>
  </si>
  <si>
    <t>Gesamtkosten:</t>
  </si>
  <si>
    <t xml:space="preserve">Der Monitor (Dell U2717D 27") wird auf die Nutzungsdauer von 3 Jahren abgeschrieben. Da der Monitor erst in der 2. Hälfte gekauft wurde ergibt sich folgend Abschreibung </t>
  </si>
  <si>
    <t xml:space="preserve">Das Smartphone (Galaxy S8) wird auf die Nutzungsdauer von 3 Jahren abgeschrieben. Da das Smartphone erst in der 2. Hälfte gekauft wurde ergibt sich folgend Abschreibung </t>
  </si>
  <si>
    <t>Desktop PC (mit 40% Privatanteil)</t>
  </si>
  <si>
    <t>Monitor (mit 40% Privatanteil)</t>
  </si>
  <si>
    <t>Smartphone (mit 40% Privatanteil)</t>
  </si>
  <si>
    <t>Außergewöhnliche Belastungen</t>
  </si>
  <si>
    <t>Fahrtkosten zum Arzt</t>
  </si>
  <si>
    <t>Kosten für Medikamente</t>
  </si>
  <si>
    <t>Datum der Rechnung</t>
  </si>
  <si>
    <t>Physiotherapie Kiesl Weisl</t>
  </si>
  <si>
    <t>Rückerstattung durch OÖGKK</t>
  </si>
  <si>
    <t>Zahnspange (Invisalign 1.Behandlungsjahr)</t>
  </si>
  <si>
    <t>Rückerstattung durch OÖGKK  (Invisalign 1.Behandlungsjahr)</t>
  </si>
  <si>
    <t>Zahnspange (Invisalign 2.Behandlungsjahr)</t>
  </si>
  <si>
    <t>Rückerstattung durch OÖGKK  (Invisalign 2.Behandlungsjahr)</t>
  </si>
  <si>
    <t>Gesamtkosten Außergewöhnliche Belastungen</t>
  </si>
  <si>
    <t>Handygrundgebühr (Telering und Spusu)</t>
  </si>
  <si>
    <t>Außergewöhnliche Belastungen:</t>
  </si>
  <si>
    <t>Einkünfte aus selbständiger Arbeit</t>
  </si>
  <si>
    <t>Kennzahl: 320</t>
  </si>
  <si>
    <t>Kennzahl: 730</t>
  </si>
  <si>
    <t>Sommersemester 2017</t>
  </si>
  <si>
    <t>Wintersemester 2017/2018</t>
  </si>
  <si>
    <t>Sommersemester 2018</t>
  </si>
  <si>
    <t>Wintersemester 2018/2019</t>
  </si>
  <si>
    <t>Kosten für Interdentalbürsten</t>
  </si>
  <si>
    <t>Rückerstattung durch BVA</t>
  </si>
  <si>
    <t>Zahnspange (Invisalign 3.Behandlungsjahr)</t>
  </si>
  <si>
    <t>Roman Rieger (Hyperhidrosis) am 06.08</t>
  </si>
  <si>
    <t>Zahnimplantatbehandlung am 30.05</t>
  </si>
  <si>
    <t>Zahnimplantatbehandlung am 28.08</t>
  </si>
  <si>
    <t>Rückerstattung durch BVA am 14.6</t>
  </si>
  <si>
    <t>Rückerstattung durch BVA am 1.10</t>
  </si>
  <si>
    <t>Lohnzettel 2017</t>
  </si>
  <si>
    <t>KZ</t>
  </si>
  <si>
    <t>Brutto Gehalt Intel:</t>
  </si>
  <si>
    <t>Brutto Gehalt Intel (ohne Sonderzahlung, also 13. 14.)</t>
  </si>
  <si>
    <t>Sonderzahlung, also 13. und 14. Gehalt</t>
  </si>
  <si>
    <t>SV für Brutto Gehalt Intel (ohne Sonderzahlung)</t>
  </si>
  <si>
    <t>Meine Berechnung mit 18,12%</t>
  </si>
  <si>
    <t>SV für Sonderzahlungen</t>
  </si>
  <si>
    <t>Meine Berechnung mit 17,12%</t>
  </si>
  <si>
    <t>Summer SV-Beiträge</t>
  </si>
  <si>
    <t>Summe</t>
  </si>
  <si>
    <t>Bemessungsgrundlage für Brutto Gehalt Intel (ohne Sonderzahlung)</t>
  </si>
  <si>
    <t>Steuern, die ich zahlen muss für Gehalt (ohne Sonderzahlung) siehe B34</t>
  </si>
  <si>
    <t>Bemessungsgrundlage für Sonderzahlungen</t>
  </si>
  <si>
    <t>Steuern, die ich zahlen muss für Sonderzahlungen siehe B35</t>
  </si>
  <si>
    <t>Sonstige Bezüge laut Lohnsteuertarif versteuert</t>
  </si>
  <si>
    <t>hat wahrscheinlich was mit Prämien (IDFs, SPP) zu tun</t>
  </si>
  <si>
    <t>Steuerfreie Bezüge</t>
  </si>
  <si>
    <t>eingezahlte Lohnsteuer</t>
  </si>
  <si>
    <t>Berechnungsblatt 2017</t>
  </si>
  <si>
    <t>Einkünfte selbständige Arbeit (Matheplus)</t>
  </si>
  <si>
    <t>Bemessungsgrundlage von Intel Gehalt</t>
  </si>
  <si>
    <t>Gesamte Bemessungsgrundlage</t>
  </si>
  <si>
    <t>Freibeträge (vermindern Bemessungsgrundlage)</t>
  </si>
  <si>
    <t>Topf-Sonderausgaben (ein Viertel davon)</t>
  </si>
  <si>
    <t>Außergewöhnlichen Belastungen (minus Selbsbehalt)</t>
  </si>
  <si>
    <t>Zu versteuendes Einkommen</t>
  </si>
  <si>
    <t>Steuer vor Abzug der Absetzbeträge</t>
  </si>
  <si>
    <t>mit Grenzsteuersatz von 35%</t>
  </si>
  <si>
    <t>Steuer für Sonderzahlungen</t>
  </si>
  <si>
    <t>620€ Freibetrag und dann 6%</t>
  </si>
  <si>
    <t>Verkehrsabsetzbetrag</t>
  </si>
  <si>
    <t>Insgesamte Einkommensteuer</t>
  </si>
  <si>
    <t xml:space="preserve">Rundung gem § 39 </t>
  </si>
  <si>
    <t>Nachforderung</t>
  </si>
  <si>
    <t>Gutschrift oder Nachforderung</t>
  </si>
  <si>
    <t>Zusammenfassung für 2017</t>
  </si>
  <si>
    <t>Bruttogehalt von Intel</t>
  </si>
  <si>
    <t>Summe der Sozialversicherungsbeträge</t>
  </si>
  <si>
    <t>Nettogehalt Matheplus</t>
  </si>
  <si>
    <t>Netto</t>
  </si>
  <si>
    <t>Berechnungsblatt 2018</t>
  </si>
  <si>
    <t>eventuell noch kilometergeld checken!!! =&gt; 0,42 pro km</t>
  </si>
  <si>
    <t>Außergewöhnlichen Belastungen (minus Selbsbehalt=3.457,40)</t>
  </si>
  <si>
    <t>Lohnzettel 2018 Intel</t>
  </si>
  <si>
    <t>Lohnzettel 2018 JKU</t>
  </si>
  <si>
    <t>Brutto Gehalt JKU:</t>
  </si>
  <si>
    <t>Brutto Gehalt JKU (ohne Sonderzahlung, also 13. 14.)</t>
  </si>
  <si>
    <t>Bemessungsgrundlage für Brutto Gehalt JKU (ohne Sonderzahlung)</t>
  </si>
  <si>
    <t>Bemessungsgrundlage (ohne Sonderzahlungen)</t>
  </si>
  <si>
    <t>Zusammenfassung für 2018</t>
  </si>
  <si>
    <t>Bruttogehalt</t>
  </si>
  <si>
    <t>mit Grenzsteuersatz von 42%</t>
  </si>
  <si>
    <t>Handygrundgebühr (Spusu)</t>
  </si>
  <si>
    <t>Sommersemester 2019</t>
  </si>
  <si>
    <t>Wintersemester 2019/2020</t>
  </si>
  <si>
    <t>Huwai Tablet (mit 40% Privatanteil)</t>
  </si>
  <si>
    <t>Firmenbuchauszug</t>
  </si>
  <si>
    <t>IEEE Mitgliedschaft</t>
  </si>
  <si>
    <t>Lohnzettel 2019 JKU</t>
  </si>
  <si>
    <t>Berechnungsblatt 2019</t>
  </si>
  <si>
    <t>Lohnzettel 2019 Intel</t>
  </si>
  <si>
    <t>Nicht Steuerfreie Bezüge und steuerfreie Bezüge</t>
  </si>
  <si>
    <t>Lohnzettel 2019 Apple</t>
  </si>
  <si>
    <t>Brutto Gehalt Apple:</t>
  </si>
  <si>
    <t>Brutto Gehalt Apple (ohne Sonderzahlung, also 13. 14.)</t>
  </si>
  <si>
    <t>Zusammenfassung für 2019</t>
  </si>
  <si>
    <t>Vorausbezahlt für das Jahr 2019</t>
  </si>
  <si>
    <t>Vorausbezahlt für das Jahr 2017</t>
  </si>
  <si>
    <t>Vorausbezahlt für das Jahr 2018</t>
  </si>
  <si>
    <t>Schon einbezahlte Lohnsteuer</t>
  </si>
  <si>
    <t>Schon einbezahlte Lohnsteuer von Intel</t>
  </si>
  <si>
    <t>Lohnzettel 2020 JKU</t>
  </si>
  <si>
    <t>Lohnzettel 2020 Apple</t>
  </si>
  <si>
    <t>Berechnungsblatt 2020</t>
  </si>
  <si>
    <t>Liwest gesamt inlusive Fernsehen und Internet mit 35/6Mbit (nur Jän. und Feb)</t>
  </si>
  <si>
    <t>Nur Jänner und Februar wegen Umzug</t>
  </si>
  <si>
    <t>Sommersemester 2020</t>
  </si>
  <si>
    <t>Wintersemester 2020/2021</t>
  </si>
  <si>
    <t>AirPodsPro (mit 40% Privatanteil)</t>
  </si>
  <si>
    <t>Apple Pencil (mit 40% Privatanteil)</t>
  </si>
  <si>
    <t>Smartphone Samsung S8 (mit 40% Privatanteil)</t>
  </si>
  <si>
    <t>iPad Pro (mit 40% Privatanteil)</t>
  </si>
  <si>
    <t>Laptopständer (mit 40% Privatanteil)</t>
  </si>
  <si>
    <t>Kabel USB-C to Displayport (mit 40% Privatanteil)</t>
  </si>
  <si>
    <t>Lohnzettel 2020 DMCE</t>
  </si>
  <si>
    <t>Brutto Gehalt:</t>
  </si>
  <si>
    <t>Brutto Gehalt (ohne Sonderzahlung, also 13. 14.)</t>
  </si>
  <si>
    <t>SV für Brutto Gehalt (ohne Sonderzahlung)</t>
  </si>
  <si>
    <t>Bemessungsgrundlage für Brutto Gehalt (ohne Sonderzahlung)</t>
  </si>
  <si>
    <t>Steuerfreue Bezüge</t>
  </si>
  <si>
    <t>Sonstige steuerfreie Bezüge</t>
  </si>
  <si>
    <t>Vorausbezahlt für das Jahr 2020</t>
  </si>
  <si>
    <t>Sum Kennzahl 724</t>
  </si>
  <si>
    <t>Sum Kennzahl 719</t>
  </si>
  <si>
    <t>Sum Kennzahl 722</t>
  </si>
  <si>
    <t>Steuer die nicht mit der Lohnsteuer beglichen wurde</t>
  </si>
  <si>
    <t>Zusammenfassung für 2020</t>
  </si>
  <si>
    <t>Nachforderung wurde am 28.1.2021 überwiesen und am 22.02.2021 beglichen</t>
  </si>
  <si>
    <t>Nachforderung wurde noch nicht offiziell bestätigt</t>
  </si>
  <si>
    <t>Legende</t>
  </si>
  <si>
    <t>Einkommensteuer für das Jahr 2015</t>
  </si>
  <si>
    <t>Jahr passt, sprich Gutschrift erhalten</t>
  </si>
  <si>
    <t>Tatsächliche Einkommensteuer für 2015</t>
  </si>
  <si>
    <t>Überweisung von mir ans Finanzamt</t>
  </si>
  <si>
    <t>Beträge die ich bezahlt habe für 2015</t>
  </si>
  <si>
    <t>Abbuchung vom Finanzamt</t>
  </si>
  <si>
    <t>Gutschrift</t>
  </si>
  <si>
    <t>08.09.2016</t>
  </si>
  <si>
    <t>Festsetzung</t>
  </si>
  <si>
    <t>15.09.2016</t>
  </si>
  <si>
    <t>Überweisung (für Einkommensteuer 2015)</t>
  </si>
  <si>
    <t>Einkommensteuer für das Jahr 2016</t>
  </si>
  <si>
    <t>Vorauszahlung für 2016 hat ergeben (805€ um 4% erhöht)</t>
  </si>
  <si>
    <t>Tatsächliche Einkommensteuer für 2016</t>
  </si>
  <si>
    <t>Beträge die ich bezahlt habe für 2016</t>
  </si>
  <si>
    <t>Gutschrift (Vorausberechnete Steuer - Tatsächliche)</t>
  </si>
  <si>
    <t>21.09.2016</t>
  </si>
  <si>
    <t>Überweisung (für die vorausberechnete Einkommensteuer 2016)</t>
  </si>
  <si>
    <t>25.11.2016</t>
  </si>
  <si>
    <t>Buchung</t>
  </si>
  <si>
    <t>21.09.2017</t>
  </si>
  <si>
    <t>Festsetzung (Gutschrift für 2016)</t>
  </si>
  <si>
    <t>Einkommensteuer für das Jahr 2017</t>
  </si>
  <si>
    <t>Vorauszahlung für 2017 hat ergeben (740€ um 4% erhöht)</t>
  </si>
  <si>
    <t>Tatsächliche Einkommensteuer für 2017</t>
  </si>
  <si>
    <t>Beträge die ich bezahlt habe für 2017</t>
  </si>
  <si>
    <t>ich hätte gar nicht soviel überweisen müssen, weil ich ja schon 97€ Guthaben am Konto hatte</t>
  </si>
  <si>
    <t>30.01.2017</t>
  </si>
  <si>
    <t>Überweisung (vorausberechnete Einkommensteuer 2017 mit Anfangs 837€)</t>
  </si>
  <si>
    <t>01-03 2017</t>
  </si>
  <si>
    <t>Vierteljahresbuchung (Vorauszahlung 837€)</t>
  </si>
  <si>
    <t>03.05.2017</t>
  </si>
  <si>
    <t>04-06 2017</t>
  </si>
  <si>
    <t>07-09 2017</t>
  </si>
  <si>
    <t>Vierteljahresbuchung (Korrektur wegen neuer Vorauszahlung 837€ auf 769€)</t>
  </si>
  <si>
    <t>10-12 2017</t>
  </si>
  <si>
    <t>Vierteljahresbuchung (Vorauszahlung 769€)</t>
  </si>
  <si>
    <t>Festsetzung (Gutschrift für 2017)</t>
  </si>
  <si>
    <t>Einkommensteuer für das Jahr 2018</t>
  </si>
  <si>
    <t>Vorauszahlung für 2018 hat ergeben (581€ um 4% erhöht)</t>
  </si>
  <si>
    <t>Tatsächliche Einkommensteuer für 2018</t>
  </si>
  <si>
    <t>Beträge die ich bezahlt habe für 2018</t>
  </si>
  <si>
    <t>30.01.2018</t>
  </si>
  <si>
    <t>Überweisung</t>
  </si>
  <si>
    <t>01-03 2018</t>
  </si>
  <si>
    <t>04-06 2018</t>
  </si>
  <si>
    <t>Vierteljahresbuchung (Korrektur wegen neuer Vorauszahlung 769€ auf 581€)</t>
  </si>
  <si>
    <t>07-09 2018</t>
  </si>
  <si>
    <t>Vierteljahresbuchung (Vorauszahlung 581€)</t>
  </si>
  <si>
    <t>10-12 2018</t>
  </si>
  <si>
    <t>Einkommensteuer für das Jahr 2019</t>
  </si>
  <si>
    <t>Vorauszahlung für 2019 hat ergeben (581€ um 4% erhöht)</t>
  </si>
  <si>
    <t>Tatsächliche Einkommensteuer für 2019</t>
  </si>
  <si>
    <t>Beträge die ich bezahlt habe für 2019</t>
  </si>
  <si>
    <t>01-03 2019</t>
  </si>
  <si>
    <t>Vierteljahresbuchung</t>
  </si>
  <si>
    <t>Steuerrückzahlung für 2018</t>
  </si>
  <si>
    <t>Überweisung (zu diesem Zeitpunkt restliche Steuer 2019 + Rückzahlung 2018)</t>
  </si>
  <si>
    <t>04-06 2019</t>
  </si>
  <si>
    <t>Stand 30.5.2019</t>
  </si>
  <si>
    <t>Am 8.5.2019 wurden 1482€ aufs Finanzamt überwiesen wegen folgender Überlegung:</t>
  </si>
  <si>
    <t>Einkommenssteuernachzahlung für 2018</t>
  </si>
  <si>
    <t>Vorauszahlung für 2019</t>
  </si>
  <si>
    <t>2019 1.Quartal wurde schon bezahlt</t>
  </si>
  <si>
    <t>Guthaben zu diesem Zeitpunkt</t>
  </si>
  <si>
    <t>Muss bis Ende 2019 ausreichen, d.h ab 1.1.2020 muss der Kontostand auf 0 sein</t>
  </si>
  <si>
    <t>Alles korrekt mit 1.1.2020 ist der Kontostand tatsächlich auf 0€!</t>
  </si>
  <si>
    <t>Am 20.01.2020 wurden 1243€ überwiesen wegen berechneter Vorauszahlung  für das Jahr 2020</t>
  </si>
  <si>
    <t xml:space="preserve">Im Laufe des Jahres 2020 wurden genau 1243€ abgezogen </t>
  </si>
  <si>
    <t>Alles korrekt mit 1.1.2021 ist der Kontostand tatsächlich auf 0€!</t>
  </si>
  <si>
    <t>Nachforderung Einkommenssteuer für 2019 von 1202€</t>
  </si>
  <si>
    <t>Am 27.01.2021 wurden 1202€ überwiesen wegen Einkommensteuer-Nachforderung für das Jahr 2019. Das wird am 22.02.2021 fällig</t>
  </si>
  <si>
    <t>Stand 03.02.2021</t>
  </si>
  <si>
    <t>Vorauszahlung für Einkommensteuer im Jahr 2021 beträgt 2665€ (1.Q: 310€;  2.Q: 1022€;  3.Q: 666€;  4.Q: 667€)</t>
  </si>
  <si>
    <t>Am 03.02.2021 wurden 1332€ überwiesen wegen Vorauszahlung für 1.Q (310€ fällig am 15.02.2021) und 2.Q (1022€ fällig am 17.05.2021).</t>
  </si>
  <si>
    <r>
      <t xml:space="preserve">Bis zum nächsten 3.Q (666€ fällig am </t>
    </r>
    <r>
      <rPr>
        <b/>
        <sz val="11"/>
        <color theme="1"/>
        <rFont val="Calibri"/>
        <family val="2"/>
        <scheme val="minor"/>
      </rPr>
      <t>16.08.2021</t>
    </r>
    <r>
      <rPr>
        <sz val="11"/>
        <color theme="1"/>
        <rFont val="Calibri"/>
        <family val="2"/>
        <scheme val="minor"/>
      </rPr>
      <t>) reicht das, d.h nach dem 17.05.2021 sollte Kontostand auf 0€ sein. (eventuell ergeben sich Änderungen für die Nachforderung 2021, wenn ich bis dahin die Steuererklärung für 2020 gemacht habe)</t>
    </r>
  </si>
  <si>
    <t>Vorgehensweise für Zahlung ans Finanzamt</t>
  </si>
  <si>
    <t>1) ING einloggen und auf Finanzamtszahlung klicken</t>
  </si>
  <si>
    <t>2) Finanzamt Freistadt Rohrbach Urfahr (FA52) auswählen</t>
  </si>
  <si>
    <t>3) Steuernummer 465301182 eintragen</t>
  </si>
  <si>
    <t>4) Abgabenart wählen + Betrag eingeben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</si>
</sst>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,##0.00\ &quot;€&quot;"/>
    <numFmt numFmtId="165" formatCode="#,##0.00\ _€"/>
    <numFmt numFmtId="166" formatCode="&quot;€&quot;\ #,##0.00"/>
    <numFmt numFmtId="167" formatCode="[$€-1809]#,##0.0"/>
    <numFmt numFmtId="168" formatCode="#,##0.00\ [$€-1]"/>
    <numFmt numFmtId="169" formatCode="[$€-2]\ #,##0.00"/>
    <numFmt numFmtId="170" formatCode="#,##0.00\ [$€-1];[Red]\-#,##0.00\ [$€-1]"/>
    <numFmt numFmtId="171" formatCode="dd/mm"/>
    <numFmt numFmtId="172" formatCode="#,##0.00\ [$€-40B]"/>
    <numFmt numFmtId="173" formatCode="#,##0.00\ [$€-424]"/>
    <numFmt numFmtId="174" formatCode="#,##0.00\ [$€-427]"/>
    <numFmt numFmtId="175" formatCode="#,##0.00\ [$€-816]"/>
    <numFmt numFmtId="176" formatCode="#,##0.00\ [$€-2C1A]"/>
  </numFmts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7F7F7F"/>
      </top>
      <bottom/>
      <diagonal/>
    </border>
  </borders>
  <cellStyleXfs count="12">
    <xf numFmtId="0" fontId="0" fillId="0" borderId="0"/>
    <xf numFmtId="0" fontId="4" fillId="2" borderId="1" applyNumberFormat="0" applyFont="0" applyAlignment="0" applyProtection="0"/>
    <xf numFmtId="0" fontId="5" fillId="3" borderId="2" applyNumberFormat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7" borderId="3" applyNumberFormat="0" applyAlignment="0" applyProtection="0"/>
    <xf numFmtId="0" fontId="13" fillId="3" borderId="3" applyNumberFormat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14" fillId="6" borderId="0" applyNumberFormat="0" applyBorder="0" applyAlignment="0" applyProtection="0"/>
    <xf numFmtId="0" fontId="4" fillId="11" borderId="0" applyNumberFormat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1" applyFont="1"/>
    <xf numFmtId="164" fontId="0" fillId="2" borderId="1" xfId="1" applyNumberFormat="1" applyFont="1"/>
    <xf numFmtId="0" fontId="0" fillId="2" borderId="1" xfId="1" applyFont="1"/>
    <xf numFmtId="164" fontId="0" fillId="0" borderId="0" xfId="0" applyNumberFormat="1" applyAlignment="1">
      <alignment horizontal="right"/>
    </xf>
    <xf numFmtId="164" fontId="5" fillId="3" borderId="2" xfId="2" applyNumberFormat="1"/>
    <xf numFmtId="165" fontId="5" fillId="3" borderId="2" xfId="2" applyNumberFormat="1"/>
    <xf numFmtId="166" fontId="0" fillId="0" borderId="0" xfId="0" applyNumberFormat="1"/>
    <xf numFmtId="166" fontId="5" fillId="3" borderId="2" xfId="2" applyNumberFormat="1"/>
    <xf numFmtId="167" fontId="5" fillId="3" borderId="2" xfId="2" applyNumberFormat="1"/>
    <xf numFmtId="0" fontId="0" fillId="0" borderId="0" xfId="0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6" fontId="0" fillId="2" borderId="1" xfId="1" applyNumberFormat="1" applyFont="1"/>
    <xf numFmtId="14" fontId="0" fillId="0" borderId="0" xfId="0" applyNumberFormat="1"/>
    <xf numFmtId="168" fontId="5" fillId="3" borderId="2" xfId="2" applyNumberFormat="1"/>
    <xf numFmtId="0" fontId="3" fillId="0" borderId="0" xfId="0" applyFont="1"/>
    <xf numFmtId="0" fontId="6" fillId="2" borderId="1" xfId="1" applyFont="1"/>
    <xf numFmtId="0" fontId="7" fillId="2" borderId="1" xfId="1" applyFont="1"/>
    <xf numFmtId="168" fontId="7" fillId="2" borderId="1" xfId="1" applyNumberFormat="1" applyFont="1"/>
    <xf numFmtId="166" fontId="8" fillId="2" borderId="1" xfId="1" applyNumberFormat="1" applyFont="1"/>
    <xf numFmtId="164" fontId="7" fillId="2" borderId="1" xfId="1" applyNumberFormat="1" applyFont="1"/>
    <xf numFmtId="16" fontId="0" fillId="0" borderId="0" xfId="0" applyNumberFormat="1"/>
    <xf numFmtId="171" fontId="0" fillId="0" borderId="0" xfId="0" applyNumberFormat="1"/>
    <xf numFmtId="0" fontId="9" fillId="0" borderId="0" xfId="0" applyFont="1"/>
    <xf numFmtId="172" fontId="0" fillId="0" borderId="0" xfId="0" applyNumberFormat="1"/>
    <xf numFmtId="0" fontId="0" fillId="8" borderId="0" xfId="7" applyFont="1"/>
    <xf numFmtId="172" fontId="4" fillId="8" borderId="0" xfId="7" applyNumberFormat="1"/>
    <xf numFmtId="0" fontId="4" fillId="9" borderId="0" xfId="8"/>
    <xf numFmtId="172" fontId="4" fillId="9" borderId="0" xfId="8" applyNumberFormat="1"/>
    <xf numFmtId="166" fontId="13" fillId="3" borderId="3" xfId="6" applyNumberFormat="1"/>
    <xf numFmtId="0" fontId="13" fillId="3" borderId="3" xfId="6"/>
    <xf numFmtId="0" fontId="4" fillId="10" borderId="0" xfId="9"/>
    <xf numFmtId="172" fontId="4" fillId="10" borderId="0" xfId="9" applyNumberFormat="1"/>
    <xf numFmtId="0" fontId="10" fillId="4" borderId="0" xfId="3"/>
    <xf numFmtId="172" fontId="10" fillId="4" borderId="0" xfId="3" applyNumberFormat="1"/>
    <xf numFmtId="0" fontId="4" fillId="8" borderId="0" xfId="7"/>
    <xf numFmtId="173" fontId="4" fillId="8" borderId="0" xfId="7" applyNumberFormat="1"/>
    <xf numFmtId="0" fontId="3" fillId="8" borderId="0" xfId="7" applyFont="1"/>
    <xf numFmtId="173" fontId="3" fillId="8" borderId="0" xfId="7" applyNumberFormat="1" applyFont="1"/>
    <xf numFmtId="173" fontId="0" fillId="0" borderId="0" xfId="0" applyNumberFormat="1"/>
    <xf numFmtId="0" fontId="12" fillId="7" borderId="3" xfId="5"/>
    <xf numFmtId="173" fontId="12" fillId="7" borderId="3" xfId="5" applyNumberFormat="1"/>
    <xf numFmtId="0" fontId="16" fillId="7" borderId="3" xfId="5" applyFont="1"/>
    <xf numFmtId="173" fontId="16" fillId="7" borderId="3" xfId="5" applyNumberFormat="1" applyFont="1"/>
    <xf numFmtId="173" fontId="13" fillId="3" borderId="3" xfId="6" applyNumberFormat="1"/>
    <xf numFmtId="173" fontId="10" fillId="4" borderId="0" xfId="3" applyNumberFormat="1"/>
    <xf numFmtId="0" fontId="13" fillId="3" borderId="3" xfId="6" applyFont="1"/>
    <xf numFmtId="173" fontId="13" fillId="3" borderId="3" xfId="6" applyNumberFormat="1" applyFont="1"/>
    <xf numFmtId="0" fontId="17" fillId="3" borderId="3" xfId="6" applyFont="1"/>
    <xf numFmtId="173" fontId="17" fillId="3" borderId="3" xfId="6" applyNumberFormat="1" applyFont="1"/>
    <xf numFmtId="0" fontId="18" fillId="4" borderId="0" xfId="3" applyFont="1"/>
    <xf numFmtId="172" fontId="18" fillId="4" borderId="0" xfId="3" applyNumberFormat="1" applyFont="1"/>
    <xf numFmtId="0" fontId="19" fillId="5" borderId="0" xfId="4" applyFont="1"/>
    <xf numFmtId="172" fontId="19" fillId="5" borderId="0" xfId="4" applyNumberFormat="1" applyFont="1"/>
    <xf numFmtId="173" fontId="19" fillId="5" borderId="0" xfId="4" applyNumberFormat="1" applyFont="1"/>
    <xf numFmtId="173" fontId="18" fillId="4" borderId="0" xfId="3" applyNumberFormat="1" applyFont="1"/>
    <xf numFmtId="0" fontId="20" fillId="0" borderId="0" xfId="0" applyFont="1"/>
    <xf numFmtId="0" fontId="21" fillId="3" borderId="3" xfId="6" applyFont="1"/>
    <xf numFmtId="172" fontId="21" fillId="3" borderId="3" xfId="6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66" fontId="1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5" fillId="6" borderId="0" xfId="10" applyFont="1" applyAlignment="1">
      <alignment horizontal="center" vertical="center"/>
    </xf>
    <xf numFmtId="0" fontId="0" fillId="0" borderId="0" xfId="0" applyAlignment="1">
      <alignment horizontal="left"/>
    </xf>
    <xf numFmtId="0" fontId="15" fillId="6" borderId="3" xfId="1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3" fillId="4" borderId="5" xfId="3" applyFont="1" applyBorder="1" applyAlignment="1">
      <alignment horizontal="center"/>
    </xf>
    <xf numFmtId="0" fontId="23" fillId="4" borderId="6" xfId="3" applyFont="1" applyBorder="1" applyAlignment="1">
      <alignment horizontal="center"/>
    </xf>
    <xf numFmtId="0" fontId="23" fillId="4" borderId="7" xfId="3" applyFont="1" applyBorder="1" applyAlignment="1">
      <alignment horizontal="center"/>
    </xf>
    <xf numFmtId="0" fontId="13" fillId="3" borderId="8" xfId="6" applyBorder="1"/>
    <xf numFmtId="168" fontId="13" fillId="3" borderId="3" xfId="6" applyNumberFormat="1"/>
    <xf numFmtId="0" fontId="0" fillId="0" borderId="9" xfId="0" applyBorder="1"/>
    <xf numFmtId="0" fontId="4" fillId="8" borderId="10" xfId="7" applyBorder="1"/>
    <xf numFmtId="168" fontId="4" fillId="8" borderId="0" xfId="7" applyNumberFormat="1" applyBorder="1"/>
    <xf numFmtId="0" fontId="10" fillId="4" borderId="10" xfId="3" applyBorder="1"/>
    <xf numFmtId="168" fontId="10" fillId="4" borderId="0" xfId="3" applyNumberFormat="1" applyBorder="1"/>
    <xf numFmtId="0" fontId="0" fillId="0" borderId="10" xfId="0" applyBorder="1"/>
    <xf numFmtId="0" fontId="4" fillId="9" borderId="10" xfId="8" applyBorder="1"/>
    <xf numFmtId="0" fontId="4" fillId="9" borderId="0" xfId="8" applyBorder="1"/>
    <xf numFmtId="169" fontId="4" fillId="9" borderId="9" xfId="8" applyNumberFormat="1" applyBorder="1"/>
    <xf numFmtId="0" fontId="0" fillId="8" borderId="0" xfId="7" applyFont="1" applyBorder="1"/>
    <xf numFmtId="169" fontId="4" fillId="8" borderId="9" xfId="7" applyNumberFormat="1" applyBorder="1"/>
    <xf numFmtId="0" fontId="0" fillId="0" borderId="11" xfId="0" applyBorder="1"/>
    <xf numFmtId="0" fontId="10" fillId="4" borderId="12" xfId="3" applyBorder="1"/>
    <xf numFmtId="169" fontId="10" fillId="4" borderId="13" xfId="3" applyNumberFormat="1" applyBorder="1"/>
    <xf numFmtId="174" fontId="4" fillId="9" borderId="0" xfId="8" applyNumberFormat="1" applyBorder="1"/>
    <xf numFmtId="174" fontId="13" fillId="3" borderId="3" xfId="6" applyNumberFormat="1"/>
    <xf numFmtId="174" fontId="4" fillId="8" borderId="0" xfId="7" applyNumberFormat="1" applyBorder="1"/>
    <xf numFmtId="174" fontId="10" fillId="4" borderId="0" xfId="3" applyNumberFormat="1" applyBorder="1"/>
    <xf numFmtId="0" fontId="10" fillId="4" borderId="9" xfId="3" applyBorder="1"/>
    <xf numFmtId="175" fontId="4" fillId="8" borderId="9" xfId="7" applyNumberFormat="1" applyBorder="1"/>
    <xf numFmtId="175" fontId="4" fillId="9" borderId="9" xfId="8" applyNumberFormat="1" applyBorder="1"/>
    <xf numFmtId="0" fontId="0" fillId="9" borderId="0" xfId="8" applyFont="1" applyBorder="1"/>
    <xf numFmtId="175" fontId="10" fillId="4" borderId="13" xfId="3" applyNumberFormat="1" applyBorder="1"/>
    <xf numFmtId="0" fontId="4" fillId="9" borderId="10" xfId="8" applyBorder="1" applyAlignment="1">
      <alignment wrapText="1"/>
    </xf>
    <xf numFmtId="169" fontId="4" fillId="9" borderId="0" xfId="8" applyNumberFormat="1" applyBorder="1"/>
    <xf numFmtId="169" fontId="13" fillId="3" borderId="3" xfId="6" applyNumberFormat="1"/>
    <xf numFmtId="169" fontId="4" fillId="8" borderId="0" xfId="7" applyNumberFormat="1" applyBorder="1"/>
    <xf numFmtId="169" fontId="10" fillId="4" borderId="0" xfId="3" applyNumberFormat="1" applyBorder="1"/>
    <xf numFmtId="14" fontId="4" fillId="9" borderId="10" xfId="8" applyNumberFormat="1" applyBorder="1"/>
    <xf numFmtId="14" fontId="4" fillId="9" borderId="10" xfId="8" applyNumberFormat="1" applyBorder="1" applyAlignment="1">
      <alignment horizontal="left"/>
    </xf>
    <xf numFmtId="0" fontId="10" fillId="4" borderId="0" xfId="3" applyBorder="1"/>
    <xf numFmtId="169" fontId="10" fillId="4" borderId="9" xfId="3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11" borderId="10" xfId="11" applyBorder="1"/>
    <xf numFmtId="169" fontId="4" fillId="11" borderId="0" xfId="11" applyNumberFormat="1" applyBorder="1"/>
    <xf numFmtId="0" fontId="4" fillId="8" borderId="0" xfId="7" applyBorder="1"/>
    <xf numFmtId="176" fontId="4" fillId="8" borderId="9" xfId="7" applyNumberFormat="1" applyBorder="1"/>
    <xf numFmtId="176" fontId="4" fillId="9" borderId="9" xfId="8" applyNumberFormat="1" applyBorder="1"/>
    <xf numFmtId="14" fontId="0" fillId="9" borderId="10" xfId="8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7" xfId="0" applyBorder="1"/>
    <xf numFmtId="14" fontId="4" fillId="9" borderId="17" xfId="8" applyNumberFormat="1" applyBorder="1"/>
    <xf numFmtId="176" fontId="4" fillId="9" borderId="18" xfId="8" applyNumberFormat="1" applyBorder="1"/>
    <xf numFmtId="14" fontId="4" fillId="9" borderId="17" xfId="8" applyNumberFormat="1" applyBorder="1" applyAlignment="1">
      <alignment horizontal="left"/>
    </xf>
    <xf numFmtId="14" fontId="4" fillId="8" borderId="10" xfId="7" applyNumberFormat="1" applyBorder="1" applyAlignment="1">
      <alignment horizontal="left"/>
    </xf>
    <xf numFmtId="169" fontId="17" fillId="3" borderId="3" xfId="6" applyNumberFormat="1" applyFont="1"/>
    <xf numFmtId="0" fontId="24" fillId="4" borderId="0" xfId="3" applyFont="1" applyAlignment="1">
      <alignment horizontal="center" vertical="center"/>
    </xf>
    <xf numFmtId="0" fontId="24" fillId="4" borderId="19" xfId="3" applyFont="1" applyBorder="1" applyAlignment="1">
      <alignment horizontal="center" vertical="center"/>
    </xf>
    <xf numFmtId="0" fontId="24" fillId="4" borderId="0" xfId="3" applyFont="1" applyBorder="1" applyAlignment="1">
      <alignment horizontal="center" vertical="center"/>
    </xf>
    <xf numFmtId="0" fontId="25" fillId="0" borderId="0" xfId="0" applyFont="1"/>
  </cellXfs>
  <cellStyles count="12">
    <cellStyle name="20% - Accent1" xfId="7" builtinId="30"/>
    <cellStyle name="20% - Accent2" xfId="8" builtinId="34"/>
    <cellStyle name="20% - Accent4" xfId="9" builtinId="42"/>
    <cellStyle name="20% - Accent5 2" xfId="11" xr:uid="{50770BC2-E9A1-AD4A-A6AD-93D8D1D04C06}"/>
    <cellStyle name="Bad" xfId="4" builtinId="27"/>
    <cellStyle name="Calculation" xfId="6" builtinId="22"/>
    <cellStyle name="Good" xfId="3" builtinId="26"/>
    <cellStyle name="Input" xfId="5" builtinId="20"/>
    <cellStyle name="Neutral 2" xfId="10" xr:uid="{629D162D-A0D4-4D9B-BD39-614156AAFEC0}"/>
    <cellStyle name="Normal" xfId="0" builtinId="0"/>
    <cellStyle name="Note" xfId="1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zoomScale="140" zoomScaleNormal="140" workbookViewId="0">
      <selection activeCell="E10" sqref="E10"/>
    </sheetView>
  </sheetViews>
  <sheetFormatPr baseColWidth="10" defaultColWidth="9.1640625" defaultRowHeight="15" x14ac:dyDescent="0.2"/>
  <cols>
    <col min="1" max="1" width="61.1640625" customWidth="1"/>
    <col min="2" max="13" width="15.6640625" customWidth="1"/>
  </cols>
  <sheetData>
    <row r="1" spans="1:3" ht="19" x14ac:dyDescent="0.25">
      <c r="A1" s="2" t="s">
        <v>2</v>
      </c>
      <c r="B1" s="3"/>
    </row>
    <row r="2" spans="1:3" x14ac:dyDescent="0.2">
      <c r="A2" s="1" t="s">
        <v>0</v>
      </c>
      <c r="B2" s="3">
        <v>189</v>
      </c>
      <c r="C2" t="s">
        <v>42</v>
      </c>
    </row>
    <row r="3" spans="1:3" x14ac:dyDescent="0.2">
      <c r="A3" s="1" t="s">
        <v>1</v>
      </c>
      <c r="B3" s="3">
        <v>1277.1199999999999</v>
      </c>
      <c r="C3" t="s">
        <v>42</v>
      </c>
    </row>
    <row r="4" spans="1:3" x14ac:dyDescent="0.2">
      <c r="A4" s="1" t="s">
        <v>36</v>
      </c>
      <c r="B4" s="3">
        <v>146.07</v>
      </c>
      <c r="C4" t="s">
        <v>42</v>
      </c>
    </row>
    <row r="5" spans="1:3" x14ac:dyDescent="0.2">
      <c r="A5" s="9" t="s">
        <v>38</v>
      </c>
      <c r="B5" s="10">
        <f>SUM(B2:B4)</f>
        <v>1612.1899999999998</v>
      </c>
    </row>
    <row r="6" spans="1:3" x14ac:dyDescent="0.2">
      <c r="B6" s="3"/>
    </row>
    <row r="7" spans="1:3" ht="19" x14ac:dyDescent="0.25">
      <c r="A7" s="2" t="s">
        <v>3</v>
      </c>
      <c r="B7" s="3"/>
    </row>
    <row r="8" spans="1:3" x14ac:dyDescent="0.2">
      <c r="A8" t="s">
        <v>4</v>
      </c>
      <c r="B8" s="3">
        <v>300</v>
      </c>
      <c r="C8" t="s">
        <v>43</v>
      </c>
    </row>
    <row r="9" spans="1:3" x14ac:dyDescent="0.2">
      <c r="A9" s="11" t="s">
        <v>38</v>
      </c>
      <c r="B9" s="10">
        <f>SUM(B8)</f>
        <v>300</v>
      </c>
    </row>
    <row r="10" spans="1:3" x14ac:dyDescent="0.2">
      <c r="B10" s="3"/>
    </row>
    <row r="11" spans="1:3" ht="19" x14ac:dyDescent="0.25">
      <c r="A11" s="2" t="s">
        <v>5</v>
      </c>
      <c r="B11" s="3"/>
    </row>
    <row r="12" spans="1:3" x14ac:dyDescent="0.2">
      <c r="A12" t="s">
        <v>9</v>
      </c>
      <c r="B12" s="3">
        <v>36</v>
      </c>
      <c r="C12" t="s">
        <v>39</v>
      </c>
    </row>
    <row r="13" spans="1:3" x14ac:dyDescent="0.2">
      <c r="A13" t="s">
        <v>6</v>
      </c>
      <c r="B13" s="3">
        <v>215.28</v>
      </c>
      <c r="C13" t="s">
        <v>41</v>
      </c>
    </row>
    <row r="14" spans="1:3" x14ac:dyDescent="0.2">
      <c r="A14" t="s">
        <v>7</v>
      </c>
      <c r="B14" s="3">
        <v>103.99</v>
      </c>
      <c r="C14" t="s">
        <v>41</v>
      </c>
    </row>
    <row r="15" spans="1:3" x14ac:dyDescent="0.2">
      <c r="A15" t="s">
        <v>8</v>
      </c>
      <c r="B15" s="3">
        <v>37.4</v>
      </c>
      <c r="C15" t="s">
        <v>41</v>
      </c>
    </row>
    <row r="16" spans="1:3" x14ac:dyDescent="0.2">
      <c r="A16" t="s">
        <v>10</v>
      </c>
      <c r="B16" s="3">
        <v>11.2</v>
      </c>
      <c r="C16" t="s">
        <v>40</v>
      </c>
    </row>
    <row r="17" spans="1:13" x14ac:dyDescent="0.2">
      <c r="A17" s="11" t="s">
        <v>38</v>
      </c>
      <c r="B17" s="10">
        <f>SUM(B12:B16)</f>
        <v>403.86999999999995</v>
      </c>
    </row>
    <row r="18" spans="1:13" x14ac:dyDescent="0.2">
      <c r="B18" s="3"/>
    </row>
    <row r="19" spans="1:13" ht="19" x14ac:dyDescent="0.25">
      <c r="A19" s="2" t="s">
        <v>11</v>
      </c>
      <c r="B19" s="3"/>
    </row>
    <row r="20" spans="1:13" x14ac:dyDescent="0.2">
      <c r="A20" t="s">
        <v>12</v>
      </c>
      <c r="B20" s="3">
        <v>1230</v>
      </c>
    </row>
    <row r="21" spans="1:13" x14ac:dyDescent="0.2">
      <c r="A21" t="s">
        <v>37</v>
      </c>
      <c r="B21" s="3">
        <v>39.479999999999997</v>
      </c>
    </row>
    <row r="22" spans="1:13" x14ac:dyDescent="0.2">
      <c r="B22" s="3"/>
    </row>
    <row r="23" spans="1:13" x14ac:dyDescent="0.2">
      <c r="B23" s="3"/>
    </row>
    <row r="24" spans="1:13" ht="19" x14ac:dyDescent="0.25">
      <c r="A24" s="2" t="s">
        <v>13</v>
      </c>
      <c r="B24" s="3"/>
    </row>
    <row r="25" spans="1:13" x14ac:dyDescent="0.2">
      <c r="B25" s="7" t="s">
        <v>18</v>
      </c>
      <c r="C25" s="8" t="s">
        <v>19</v>
      </c>
      <c r="D25" s="7" t="s">
        <v>20</v>
      </c>
      <c r="E25" s="8" t="s">
        <v>21</v>
      </c>
      <c r="F25" s="7" t="s">
        <v>22</v>
      </c>
      <c r="G25" s="8" t="s">
        <v>23</v>
      </c>
      <c r="H25" s="7" t="s">
        <v>24</v>
      </c>
      <c r="I25" s="8" t="s">
        <v>25</v>
      </c>
      <c r="J25" s="7" t="s">
        <v>26</v>
      </c>
      <c r="K25" s="8" t="s">
        <v>27</v>
      </c>
      <c r="L25" s="7" t="s">
        <v>28</v>
      </c>
      <c r="M25" s="8" t="s">
        <v>29</v>
      </c>
    </row>
    <row r="26" spans="1:13" x14ac:dyDescent="0.2">
      <c r="A26" t="s">
        <v>0</v>
      </c>
      <c r="B26" s="3">
        <v>15.75</v>
      </c>
      <c r="C26" s="3">
        <v>15.75</v>
      </c>
      <c r="D26" s="3">
        <v>15.75</v>
      </c>
      <c r="E26" s="3">
        <v>15.75</v>
      </c>
      <c r="F26" s="3">
        <v>15.75</v>
      </c>
      <c r="G26" s="3">
        <v>15.75</v>
      </c>
      <c r="H26" s="3">
        <v>15.75</v>
      </c>
      <c r="I26" s="3">
        <v>15.75</v>
      </c>
      <c r="J26" s="3">
        <v>15.75</v>
      </c>
      <c r="K26" s="3">
        <v>15.75</v>
      </c>
      <c r="L26" s="3">
        <v>15.75</v>
      </c>
      <c r="M26" s="3">
        <v>15.75</v>
      </c>
    </row>
    <row r="27" spans="1:13" x14ac:dyDescent="0.2">
      <c r="A27" t="s">
        <v>31</v>
      </c>
      <c r="B27" s="6">
        <f>SUM(B26:M26)</f>
        <v>189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B28" s="7" t="s">
        <v>18</v>
      </c>
      <c r="C28" s="8" t="s">
        <v>19</v>
      </c>
      <c r="D28" s="7" t="s">
        <v>20</v>
      </c>
      <c r="E28" s="8" t="s">
        <v>21</v>
      </c>
      <c r="F28" s="7" t="s">
        <v>22</v>
      </c>
      <c r="G28" s="8" t="s">
        <v>23</v>
      </c>
      <c r="H28" s="7" t="s">
        <v>24</v>
      </c>
      <c r="I28" s="8" t="s">
        <v>25</v>
      </c>
      <c r="J28" s="7" t="s">
        <v>26</v>
      </c>
      <c r="K28" s="8" t="s">
        <v>27</v>
      </c>
      <c r="L28" s="7" t="s">
        <v>28</v>
      </c>
      <c r="M28" s="8" t="s">
        <v>29</v>
      </c>
    </row>
    <row r="29" spans="1:13" x14ac:dyDescent="0.2">
      <c r="A29" t="s">
        <v>1</v>
      </c>
      <c r="B29" s="3">
        <v>104</v>
      </c>
      <c r="C29" s="3">
        <v>104</v>
      </c>
      <c r="D29" s="3">
        <v>104</v>
      </c>
      <c r="E29" s="3">
        <v>104</v>
      </c>
      <c r="F29" s="3">
        <v>104</v>
      </c>
      <c r="G29" s="3">
        <v>108.16</v>
      </c>
      <c r="H29" s="3">
        <v>108.16</v>
      </c>
      <c r="I29" s="3">
        <v>108.16</v>
      </c>
      <c r="J29" s="3">
        <v>108.16</v>
      </c>
      <c r="K29" s="3">
        <v>108.16</v>
      </c>
      <c r="L29" s="3">
        <v>108.16</v>
      </c>
      <c r="M29" s="3">
        <v>108.16</v>
      </c>
    </row>
    <row r="30" spans="1:13" x14ac:dyDescent="0.2">
      <c r="A30" t="s">
        <v>31</v>
      </c>
      <c r="B30" s="6">
        <f>SUM(B29:M29)</f>
        <v>1277.1200000000001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B32" s="3"/>
    </row>
    <row r="33" spans="1:13" x14ac:dyDescent="0.2">
      <c r="A33" t="s">
        <v>14</v>
      </c>
      <c r="B33" s="3">
        <v>491.3</v>
      </c>
    </row>
    <row r="34" spans="1:13" x14ac:dyDescent="0.2">
      <c r="A34" t="s">
        <v>15</v>
      </c>
      <c r="B34" s="3">
        <v>29.9</v>
      </c>
    </row>
    <row r="35" spans="1:13" x14ac:dyDescent="0.2">
      <c r="A35" t="s">
        <v>16</v>
      </c>
      <c r="B35" s="3">
        <f>12*B34</f>
        <v>358.79999999999995</v>
      </c>
    </row>
    <row r="36" spans="1:13" x14ac:dyDescent="0.2">
      <c r="A36" s="4" t="s">
        <v>17</v>
      </c>
      <c r="B36" s="6">
        <f>0.6*B35</f>
        <v>215.27999999999997</v>
      </c>
    </row>
    <row r="37" spans="1:13" x14ac:dyDescent="0.2">
      <c r="B37" s="3"/>
    </row>
    <row r="38" spans="1:13" x14ac:dyDescent="0.2">
      <c r="B38" s="7" t="s">
        <v>18</v>
      </c>
      <c r="C38" s="8" t="s">
        <v>19</v>
      </c>
      <c r="D38" s="7" t="s">
        <v>20</v>
      </c>
      <c r="E38" s="8" t="s">
        <v>21</v>
      </c>
      <c r="F38" s="7" t="s">
        <v>22</v>
      </c>
      <c r="G38" s="8" t="s">
        <v>23</v>
      </c>
      <c r="H38" s="7" t="s">
        <v>24</v>
      </c>
      <c r="I38" s="8" t="s">
        <v>25</v>
      </c>
      <c r="J38" s="7" t="s">
        <v>26</v>
      </c>
      <c r="K38" s="8" t="s">
        <v>27</v>
      </c>
      <c r="L38" s="7" t="s">
        <v>28</v>
      </c>
      <c r="M38" s="8" t="s">
        <v>29</v>
      </c>
    </row>
    <row r="39" spans="1:13" x14ac:dyDescent="0.2">
      <c r="A39" t="s">
        <v>30</v>
      </c>
      <c r="B39" s="3">
        <v>12.49</v>
      </c>
      <c r="C39">
        <v>12.49</v>
      </c>
      <c r="D39">
        <v>12.3</v>
      </c>
      <c r="E39">
        <v>12.3</v>
      </c>
      <c r="F39">
        <v>32.799999999999997</v>
      </c>
      <c r="G39">
        <v>12.5</v>
      </c>
      <c r="H39">
        <v>12.5</v>
      </c>
      <c r="I39">
        <v>12.5</v>
      </c>
      <c r="J39">
        <v>12.5</v>
      </c>
      <c r="K39">
        <v>15.94</v>
      </c>
      <c r="L39">
        <v>12.7</v>
      </c>
      <c r="M39">
        <v>12.3</v>
      </c>
    </row>
    <row r="40" spans="1:13" x14ac:dyDescent="0.2">
      <c r="A40" t="s">
        <v>31</v>
      </c>
      <c r="B40" s="3">
        <f>SUM(B39:M39)</f>
        <v>173.32</v>
      </c>
    </row>
    <row r="41" spans="1:13" x14ac:dyDescent="0.2">
      <c r="A41" s="4" t="s">
        <v>17</v>
      </c>
      <c r="B41" s="6">
        <f>0.6*B40</f>
        <v>103.99199999999999</v>
      </c>
    </row>
    <row r="42" spans="1:13" x14ac:dyDescent="0.2">
      <c r="B42" s="3"/>
    </row>
    <row r="43" spans="1:13" x14ac:dyDescent="0.2">
      <c r="A43" t="s">
        <v>32</v>
      </c>
      <c r="B43" s="3"/>
    </row>
    <row r="44" spans="1:13" x14ac:dyDescent="0.2">
      <c r="A44" t="s">
        <v>33</v>
      </c>
      <c r="B44" s="3">
        <v>18.7</v>
      </c>
    </row>
    <row r="45" spans="1:13" x14ac:dyDescent="0.2">
      <c r="A45" t="s">
        <v>34</v>
      </c>
      <c r="B45" s="3">
        <v>18.7</v>
      </c>
    </row>
    <row r="46" spans="1:13" x14ac:dyDescent="0.2">
      <c r="A46" t="s">
        <v>35</v>
      </c>
      <c r="B46" s="6">
        <f>B44+B45</f>
        <v>37.4</v>
      </c>
    </row>
    <row r="47" spans="1:13" x14ac:dyDescent="0.2">
      <c r="B47" s="5"/>
    </row>
    <row r="48" spans="1:1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913E-CEB7-C94E-ACD2-7C0957AE8A2B}">
  <dimension ref="A1:Z100"/>
  <sheetViews>
    <sheetView topLeftCell="A43" zoomScale="170" zoomScaleNormal="170" workbookViewId="0">
      <selection activeCell="E28" sqref="E28"/>
    </sheetView>
  </sheetViews>
  <sheetFormatPr baseColWidth="10" defaultColWidth="9.1640625" defaultRowHeight="15" x14ac:dyDescent="0.2"/>
  <cols>
    <col min="1" max="1" width="61.1640625" style="76" customWidth="1"/>
    <col min="2" max="13" width="15.6640625" style="76" customWidth="1"/>
    <col min="14" max="16384" width="9.1640625" style="76"/>
  </cols>
  <sheetData>
    <row r="1" spans="1:7" ht="19" x14ac:dyDescent="0.25">
      <c r="A1" s="2" t="s">
        <v>2</v>
      </c>
      <c r="B1" s="3"/>
    </row>
    <row r="2" spans="1:7" x14ac:dyDescent="0.2">
      <c r="A2" s="76" t="s">
        <v>0</v>
      </c>
      <c r="B2" s="15">
        <f>B35</f>
        <v>208.92</v>
      </c>
    </row>
    <row r="3" spans="1:7" x14ac:dyDescent="0.2">
      <c r="A3" s="76" t="s">
        <v>1</v>
      </c>
      <c r="B3" s="15">
        <f>B38</f>
        <v>1553.8999999999996</v>
      </c>
    </row>
    <row r="4" spans="1:7" x14ac:dyDescent="0.2">
      <c r="A4" s="76" t="s">
        <v>49</v>
      </c>
      <c r="B4" s="15">
        <v>331.67</v>
      </c>
    </row>
    <row r="5" spans="1:7" ht="16" x14ac:dyDescent="0.2">
      <c r="A5" s="27" t="s">
        <v>38</v>
      </c>
      <c r="B5" s="30">
        <f>SUM(B2:B4)</f>
        <v>2094.4899999999998</v>
      </c>
      <c r="C5" s="76" t="s">
        <v>42</v>
      </c>
    </row>
    <row r="6" spans="1:7" x14ac:dyDescent="0.2">
      <c r="B6" s="3"/>
    </row>
    <row r="7" spans="1:7" x14ac:dyDescent="0.2">
      <c r="B7" s="3"/>
    </row>
    <row r="8" spans="1:7" ht="19" x14ac:dyDescent="0.25">
      <c r="A8" s="2" t="s">
        <v>5</v>
      </c>
      <c r="B8" s="3"/>
      <c r="E8" s="79" t="s">
        <v>211</v>
      </c>
      <c r="F8" s="79" t="s">
        <v>212</v>
      </c>
      <c r="G8" s="79" t="s">
        <v>210</v>
      </c>
    </row>
    <row r="9" spans="1:7" x14ac:dyDescent="0.2">
      <c r="A9" s="76" t="s">
        <v>6</v>
      </c>
      <c r="B9" s="15">
        <f>B43</f>
        <v>41.58</v>
      </c>
      <c r="C9" s="76" t="s">
        <v>41</v>
      </c>
      <c r="E9" s="81">
        <f>SUM(B13:B20)</f>
        <v>1007.8579999999998</v>
      </c>
      <c r="F9" s="7">
        <f>B11+B21</f>
        <v>790.2</v>
      </c>
      <c r="G9" s="7">
        <f>B9+B10+B12</f>
        <v>153.41399999999999</v>
      </c>
    </row>
    <row r="10" spans="1:7" x14ac:dyDescent="0.2">
      <c r="A10" s="76" t="s">
        <v>7</v>
      </c>
      <c r="B10" s="15">
        <f>B48</f>
        <v>60.234000000000009</v>
      </c>
      <c r="C10" s="76" t="s">
        <v>41</v>
      </c>
    </row>
    <row r="11" spans="1:7" x14ac:dyDescent="0.2">
      <c r="A11" s="76" t="s">
        <v>8</v>
      </c>
      <c r="B11" s="15">
        <f>B53</f>
        <v>767.12</v>
      </c>
      <c r="C11" s="76" t="s">
        <v>56</v>
      </c>
    </row>
    <row r="12" spans="1:7" x14ac:dyDescent="0.2">
      <c r="A12" s="76" t="s">
        <v>81</v>
      </c>
      <c r="B12" s="19">
        <f>B57</f>
        <v>51.599999999999994</v>
      </c>
      <c r="C12" s="76" t="s">
        <v>41</v>
      </c>
      <c r="E12" s="15"/>
    </row>
    <row r="13" spans="1:7" x14ac:dyDescent="0.2">
      <c r="A13" s="76" t="s">
        <v>87</v>
      </c>
      <c r="B13" s="15">
        <f>B67</f>
        <v>45.09</v>
      </c>
      <c r="C13" s="76" t="s">
        <v>40</v>
      </c>
    </row>
    <row r="14" spans="1:7" x14ac:dyDescent="0.2">
      <c r="A14" s="76" t="s">
        <v>198</v>
      </c>
      <c r="B14" s="15">
        <f>B77</f>
        <v>63.92</v>
      </c>
      <c r="C14" s="76" t="s">
        <v>40</v>
      </c>
      <c r="E14" s="15"/>
    </row>
    <row r="15" spans="1:7" x14ac:dyDescent="0.2">
      <c r="A15" s="76" t="s">
        <v>88</v>
      </c>
      <c r="B15" s="77">
        <f>419.4*0.6</f>
        <v>251.64</v>
      </c>
      <c r="C15" s="1" t="s">
        <v>40</v>
      </c>
    </row>
    <row r="16" spans="1:7" x14ac:dyDescent="0.2">
      <c r="A16" s="76" t="s">
        <v>199</v>
      </c>
      <c r="B16" s="77">
        <f>723.3*0.6</f>
        <v>433.97999999999996</v>
      </c>
      <c r="C16" s="1" t="s">
        <v>40</v>
      </c>
    </row>
    <row r="17" spans="1:3" x14ac:dyDescent="0.2">
      <c r="A17" s="76" t="s">
        <v>197</v>
      </c>
      <c r="B17" s="15">
        <f>98.4*0.6</f>
        <v>59.04</v>
      </c>
      <c r="C17" s="76" t="s">
        <v>40</v>
      </c>
    </row>
    <row r="18" spans="1:3" x14ac:dyDescent="0.2">
      <c r="A18" s="76" t="s">
        <v>196</v>
      </c>
      <c r="B18" s="15">
        <f>204*0.6</f>
        <v>122.39999999999999</v>
      </c>
      <c r="C18" s="76" t="s">
        <v>40</v>
      </c>
    </row>
    <row r="19" spans="1:3" x14ac:dyDescent="0.2">
      <c r="A19" s="76" t="s">
        <v>200</v>
      </c>
      <c r="B19" s="77">
        <f>39.99*0.6</f>
        <v>23.994</v>
      </c>
      <c r="C19" s="1" t="s">
        <v>40</v>
      </c>
    </row>
    <row r="20" spans="1:3" x14ac:dyDescent="0.2">
      <c r="A20" s="76" t="s">
        <v>201</v>
      </c>
      <c r="B20" s="77">
        <f>12.99*0.6</f>
        <v>7.7939999999999996</v>
      </c>
      <c r="C20" s="1" t="s">
        <v>40</v>
      </c>
    </row>
    <row r="21" spans="1:3" x14ac:dyDescent="0.2">
      <c r="A21" s="76" t="s">
        <v>175</v>
      </c>
      <c r="B21" s="15">
        <v>23.08</v>
      </c>
      <c r="C21" s="76" t="s">
        <v>56</v>
      </c>
    </row>
    <row r="22" spans="1:3" ht="16" x14ac:dyDescent="0.2">
      <c r="A22" s="28" t="s">
        <v>38</v>
      </c>
      <c r="B22" s="30">
        <f>SUM(B9:B21)</f>
        <v>1951.4720000000002</v>
      </c>
    </row>
    <row r="24" spans="1:3" x14ac:dyDescent="0.2">
      <c r="B24" s="15"/>
    </row>
    <row r="25" spans="1:3" ht="16" x14ac:dyDescent="0.2">
      <c r="A25" s="28" t="s">
        <v>102</v>
      </c>
      <c r="B25" s="31">
        <v>3087.52</v>
      </c>
      <c r="C25" s="76" t="s">
        <v>103</v>
      </c>
    </row>
    <row r="26" spans="1:3" x14ac:dyDescent="0.2">
      <c r="B26" s="15"/>
    </row>
    <row r="27" spans="1:3" ht="19" x14ac:dyDescent="0.25">
      <c r="A27" s="2" t="s">
        <v>11</v>
      </c>
      <c r="B27" s="15"/>
    </row>
    <row r="28" spans="1:3" x14ac:dyDescent="0.2">
      <c r="A28" s="80" t="s">
        <v>12</v>
      </c>
      <c r="B28" s="23">
        <f>225+450+375</f>
        <v>1050</v>
      </c>
    </row>
    <row r="29" spans="1:3" x14ac:dyDescent="0.2">
      <c r="A29" s="80" t="s">
        <v>37</v>
      </c>
      <c r="B29" s="23">
        <v>39.479999999999997</v>
      </c>
    </row>
    <row r="31" spans="1:3" x14ac:dyDescent="0.2">
      <c r="B31" s="3"/>
    </row>
    <row r="32" spans="1:3" ht="19" x14ac:dyDescent="0.25">
      <c r="A32" s="2" t="s">
        <v>13</v>
      </c>
      <c r="B32" s="3"/>
    </row>
    <row r="33" spans="1:13" x14ac:dyDescent="0.2">
      <c r="B33" s="7" t="s">
        <v>18</v>
      </c>
      <c r="C33" s="75" t="s">
        <v>19</v>
      </c>
      <c r="D33" s="7" t="s">
        <v>20</v>
      </c>
      <c r="E33" s="75" t="s">
        <v>21</v>
      </c>
      <c r="F33" s="7" t="s">
        <v>22</v>
      </c>
      <c r="G33" s="75" t="s">
        <v>23</v>
      </c>
      <c r="H33" s="7" t="s">
        <v>24</v>
      </c>
      <c r="I33" s="75" t="s">
        <v>25</v>
      </c>
      <c r="J33" s="7" t="s">
        <v>26</v>
      </c>
      <c r="K33" s="75" t="s">
        <v>27</v>
      </c>
      <c r="L33" s="7" t="s">
        <v>28</v>
      </c>
      <c r="M33" s="75" t="s">
        <v>29</v>
      </c>
    </row>
    <row r="34" spans="1:13" x14ac:dyDescent="0.2">
      <c r="A34" s="76" t="s">
        <v>0</v>
      </c>
      <c r="B34" s="15">
        <v>17.41</v>
      </c>
      <c r="C34" s="15">
        <v>17.41</v>
      </c>
      <c r="D34" s="15">
        <v>17.41</v>
      </c>
      <c r="E34" s="15">
        <v>17.41</v>
      </c>
      <c r="F34" s="15">
        <v>17.41</v>
      </c>
      <c r="G34" s="15">
        <v>17.41</v>
      </c>
      <c r="H34" s="15">
        <v>17.41</v>
      </c>
      <c r="I34" s="15">
        <v>17.41</v>
      </c>
      <c r="J34" s="15">
        <v>17.41</v>
      </c>
      <c r="K34" s="15">
        <v>17.41</v>
      </c>
      <c r="L34" s="15">
        <v>17.41</v>
      </c>
      <c r="M34" s="15">
        <v>17.41</v>
      </c>
    </row>
    <row r="35" spans="1:13" x14ac:dyDescent="0.2">
      <c r="A35" s="76" t="s">
        <v>35</v>
      </c>
      <c r="B35" s="16">
        <f>SUM(B34:M34)</f>
        <v>208.92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">
      <c r="B36" s="7" t="s">
        <v>18</v>
      </c>
      <c r="C36" s="75" t="s">
        <v>19</v>
      </c>
      <c r="D36" s="7" t="s">
        <v>20</v>
      </c>
      <c r="E36" s="75" t="s">
        <v>21</v>
      </c>
      <c r="F36" s="7" t="s">
        <v>22</v>
      </c>
      <c r="G36" s="75" t="s">
        <v>23</v>
      </c>
      <c r="H36" s="7" t="s">
        <v>24</v>
      </c>
      <c r="I36" s="75" t="s">
        <v>25</v>
      </c>
      <c r="J36" s="7" t="s">
        <v>26</v>
      </c>
      <c r="K36" s="75" t="s">
        <v>27</v>
      </c>
      <c r="L36" s="7" t="s">
        <v>28</v>
      </c>
      <c r="M36" s="75" t="s">
        <v>29</v>
      </c>
    </row>
    <row r="37" spans="1:13" x14ac:dyDescent="0.2">
      <c r="A37" s="76" t="s">
        <v>1</v>
      </c>
      <c r="B37" s="15">
        <v>126.54</v>
      </c>
      <c r="C37" s="15">
        <v>126.54</v>
      </c>
      <c r="D37" s="15">
        <v>126.54</v>
      </c>
      <c r="E37" s="15">
        <v>126.54</v>
      </c>
      <c r="F37" s="15">
        <v>126.54</v>
      </c>
      <c r="G37" s="15">
        <v>131.6</v>
      </c>
      <c r="H37" s="15">
        <v>131.6</v>
      </c>
      <c r="I37" s="15">
        <v>131.6</v>
      </c>
      <c r="J37" s="15">
        <v>131.6</v>
      </c>
      <c r="K37" s="15">
        <v>131.6</v>
      </c>
      <c r="L37" s="15">
        <v>131.6</v>
      </c>
      <c r="M37" s="15">
        <v>131.6</v>
      </c>
    </row>
    <row r="38" spans="1:13" x14ac:dyDescent="0.2">
      <c r="A38" s="76" t="s">
        <v>35</v>
      </c>
      <c r="B38" s="16">
        <f>SUM(B37:M37)</f>
        <v>1553.8999999999996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">
      <c r="A40" s="76" t="s">
        <v>192</v>
      </c>
      <c r="B40" s="76">
        <f>2*44.65</f>
        <v>89.3</v>
      </c>
    </row>
    <row r="41" spans="1:13" x14ac:dyDescent="0.2">
      <c r="A41" s="76" t="s">
        <v>57</v>
      </c>
      <c r="B41" s="15">
        <f>32.9+1.75</f>
        <v>34.65</v>
      </c>
    </row>
    <row r="42" spans="1:13" x14ac:dyDescent="0.2">
      <c r="A42" s="76" t="s">
        <v>193</v>
      </c>
      <c r="B42" s="15">
        <f>2*B41</f>
        <v>69.3</v>
      </c>
    </row>
    <row r="43" spans="1:13" x14ac:dyDescent="0.2">
      <c r="A43" s="4" t="s">
        <v>17</v>
      </c>
      <c r="B43" s="16">
        <f>0.6*B42</f>
        <v>41.58</v>
      </c>
    </row>
    <row r="45" spans="1:13" x14ac:dyDescent="0.2">
      <c r="B45" s="7" t="s">
        <v>18</v>
      </c>
      <c r="C45" s="75" t="s">
        <v>19</v>
      </c>
      <c r="D45" s="7" t="s">
        <v>20</v>
      </c>
      <c r="E45" s="75" t="s">
        <v>21</v>
      </c>
      <c r="F45" s="7" t="s">
        <v>22</v>
      </c>
      <c r="G45" s="75" t="s">
        <v>23</v>
      </c>
      <c r="H45" s="7" t="s">
        <v>24</v>
      </c>
      <c r="I45" s="75" t="s">
        <v>25</v>
      </c>
      <c r="J45" s="7" t="s">
        <v>26</v>
      </c>
      <c r="K45" s="75" t="s">
        <v>27</v>
      </c>
      <c r="L45" s="7" t="s">
        <v>28</v>
      </c>
      <c r="M45" s="75" t="s">
        <v>29</v>
      </c>
    </row>
    <row r="46" spans="1:13" x14ac:dyDescent="0.2">
      <c r="A46" s="76" t="s">
        <v>170</v>
      </c>
      <c r="B46" s="15">
        <v>7.9</v>
      </c>
      <c r="C46" s="15">
        <v>9.49</v>
      </c>
      <c r="D46" s="15">
        <v>7.9</v>
      </c>
      <c r="E46" s="15">
        <v>7.9</v>
      </c>
      <c r="F46" s="15">
        <v>7.9</v>
      </c>
      <c r="G46" s="15">
        <v>7.9</v>
      </c>
      <c r="H46" s="15">
        <v>7.9</v>
      </c>
      <c r="I46" s="15">
        <v>8.9</v>
      </c>
      <c r="J46" s="15">
        <v>7.9</v>
      </c>
      <c r="K46" s="15">
        <v>7.9</v>
      </c>
      <c r="L46" s="15">
        <v>7.9</v>
      </c>
      <c r="M46" s="15">
        <v>10.9</v>
      </c>
    </row>
    <row r="47" spans="1:13" x14ac:dyDescent="0.2">
      <c r="A47" s="76" t="s">
        <v>35</v>
      </c>
      <c r="B47" s="15">
        <f>SUM(B46:M46)</f>
        <v>100.39000000000001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x14ac:dyDescent="0.2">
      <c r="A48" s="4" t="s">
        <v>17</v>
      </c>
      <c r="B48" s="16">
        <f>0.6*B47</f>
        <v>60.234000000000009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26" x14ac:dyDescent="0.2">
      <c r="B49" s="3"/>
    </row>
    <row r="50" spans="1:26" x14ac:dyDescent="0.2">
      <c r="A50" s="76" t="s">
        <v>32</v>
      </c>
      <c r="B50" s="3"/>
    </row>
    <row r="51" spans="1:26" x14ac:dyDescent="0.2">
      <c r="A51" s="76" t="s">
        <v>194</v>
      </c>
      <c r="B51" s="15">
        <v>383.56</v>
      </c>
    </row>
    <row r="52" spans="1:26" x14ac:dyDescent="0.2">
      <c r="A52" s="76" t="s">
        <v>195</v>
      </c>
      <c r="B52" s="15">
        <v>383.56</v>
      </c>
    </row>
    <row r="53" spans="1:26" x14ac:dyDescent="0.2">
      <c r="A53" s="76" t="s">
        <v>35</v>
      </c>
      <c r="B53" s="16">
        <f>B51+B52</f>
        <v>767.12</v>
      </c>
    </row>
    <row r="54" spans="1:26" x14ac:dyDescent="0.2">
      <c r="B54" s="15"/>
    </row>
    <row r="55" spans="1:26" x14ac:dyDescent="0.2">
      <c r="A55" s="76" t="s">
        <v>81</v>
      </c>
      <c r="B55" s="32">
        <v>43482</v>
      </c>
      <c r="C55" s="32">
        <v>43483</v>
      </c>
      <c r="D55" s="32">
        <v>43855</v>
      </c>
      <c r="E55" s="32">
        <v>43867</v>
      </c>
      <c r="F55" s="32">
        <v>43868</v>
      </c>
      <c r="G55" s="32">
        <v>44055</v>
      </c>
      <c r="H55" s="32">
        <v>44056</v>
      </c>
      <c r="I55" s="32">
        <v>44060</v>
      </c>
      <c r="J55" s="32">
        <v>44084</v>
      </c>
      <c r="K55" s="32">
        <v>44095</v>
      </c>
      <c r="L55" s="32">
        <v>44096</v>
      </c>
      <c r="M55" s="32">
        <v>44098</v>
      </c>
      <c r="N55" s="32">
        <v>44113</v>
      </c>
      <c r="O55" s="32">
        <v>44134</v>
      </c>
      <c r="P55" s="32">
        <v>44135</v>
      </c>
      <c r="Q55" s="32">
        <v>44137</v>
      </c>
      <c r="R55" s="32"/>
      <c r="S55" s="32"/>
      <c r="T55" s="32"/>
      <c r="U55" s="32"/>
      <c r="V55" s="32"/>
      <c r="W55" s="32"/>
      <c r="X55" s="32"/>
      <c r="Y55" s="32"/>
      <c r="Z55" s="32"/>
    </row>
    <row r="56" spans="1:26" x14ac:dyDescent="0.2">
      <c r="A56" s="76" t="s">
        <v>82</v>
      </c>
      <c r="B56" s="19">
        <v>3.5</v>
      </c>
      <c r="C56" s="19">
        <v>3.5</v>
      </c>
      <c r="D56" s="19">
        <v>3.5</v>
      </c>
      <c r="E56" s="19">
        <v>2.4</v>
      </c>
      <c r="F56" s="19">
        <v>2.4</v>
      </c>
      <c r="G56" s="19">
        <v>3.5</v>
      </c>
      <c r="H56" s="19">
        <v>3.5</v>
      </c>
      <c r="I56" s="19">
        <v>3.5</v>
      </c>
      <c r="J56" s="19">
        <v>3.5</v>
      </c>
      <c r="K56" s="19">
        <v>3.5</v>
      </c>
      <c r="L56" s="19">
        <v>3.5</v>
      </c>
      <c r="M56" s="19">
        <v>3.5</v>
      </c>
      <c r="N56" s="19">
        <v>2.4</v>
      </c>
      <c r="O56" s="19">
        <v>3.5</v>
      </c>
      <c r="P56" s="19">
        <v>2.4</v>
      </c>
      <c r="Q56" s="19">
        <v>3.5</v>
      </c>
      <c r="R56" s="19"/>
      <c r="S56" s="19"/>
      <c r="T56" s="19"/>
      <c r="U56" s="19"/>
      <c r="V56" s="19"/>
      <c r="W56" s="19"/>
      <c r="X56" s="19"/>
      <c r="Y56" s="19"/>
      <c r="Z56" s="19"/>
    </row>
    <row r="57" spans="1:26" x14ac:dyDescent="0.2">
      <c r="A57" s="76" t="s">
        <v>35</v>
      </c>
      <c r="B57" s="17">
        <f>SUM(B56:Q56)</f>
        <v>51.599999999999994</v>
      </c>
    </row>
    <row r="60" spans="1:26" x14ac:dyDescent="0.2">
      <c r="A60" s="76" t="s">
        <v>84</v>
      </c>
      <c r="H60" s="19"/>
    </row>
    <row r="61" spans="1:26" x14ac:dyDescent="0.2">
      <c r="A61" s="76" t="s">
        <v>83</v>
      </c>
      <c r="B61" s="15">
        <v>450.97</v>
      </c>
      <c r="H61" s="19"/>
    </row>
    <row r="62" spans="1:26" x14ac:dyDescent="0.2">
      <c r="A62" s="4" t="s">
        <v>17</v>
      </c>
      <c r="B62" s="15">
        <f>B61*0.6</f>
        <v>270.58199999999999</v>
      </c>
      <c r="H62" s="19"/>
    </row>
    <row r="63" spans="1:26" x14ac:dyDescent="0.2">
      <c r="B63" s="15"/>
      <c r="H63" s="19"/>
    </row>
    <row r="64" spans="1:26" x14ac:dyDescent="0.2">
      <c r="A64" s="76">
        <v>2017</v>
      </c>
      <c r="B64" s="15">
        <v>45.09</v>
      </c>
      <c r="H64" s="19"/>
    </row>
    <row r="65" spans="1:8" x14ac:dyDescent="0.2">
      <c r="A65" s="76">
        <v>2018</v>
      </c>
      <c r="B65" s="76">
        <v>90.2</v>
      </c>
      <c r="H65" s="19"/>
    </row>
    <row r="66" spans="1:8" x14ac:dyDescent="0.2">
      <c r="A66" s="76">
        <v>2019</v>
      </c>
      <c r="B66" s="76">
        <v>90.2</v>
      </c>
      <c r="H66" s="19"/>
    </row>
    <row r="67" spans="1:8" x14ac:dyDescent="0.2">
      <c r="A67" s="76">
        <v>2020</v>
      </c>
      <c r="B67" s="16">
        <v>45.09</v>
      </c>
      <c r="H67" s="19"/>
    </row>
    <row r="68" spans="1:8" x14ac:dyDescent="0.2">
      <c r="B68" s="15">
        <f>SUM(B64:B67)</f>
        <v>270.58000000000004</v>
      </c>
      <c r="H68" s="19"/>
    </row>
    <row r="69" spans="1:8" x14ac:dyDescent="0.2">
      <c r="H69" s="19"/>
    </row>
    <row r="70" spans="1:8" x14ac:dyDescent="0.2">
      <c r="A70" s="76" t="s">
        <v>85</v>
      </c>
      <c r="H70" s="19"/>
    </row>
    <row r="71" spans="1:8" x14ac:dyDescent="0.2">
      <c r="A71" s="76" t="s">
        <v>83</v>
      </c>
      <c r="B71" s="15">
        <v>639.20000000000005</v>
      </c>
      <c r="H71" s="19"/>
    </row>
    <row r="72" spans="1:8" x14ac:dyDescent="0.2">
      <c r="A72" s="4" t="s">
        <v>17</v>
      </c>
      <c r="B72" s="15">
        <f>B71*0.6</f>
        <v>383.52000000000004</v>
      </c>
      <c r="H72" s="19"/>
    </row>
    <row r="73" spans="1:8" x14ac:dyDescent="0.2">
      <c r="H73" s="19"/>
    </row>
    <row r="74" spans="1:8" x14ac:dyDescent="0.2">
      <c r="A74" s="76">
        <v>2017</v>
      </c>
      <c r="B74" s="15">
        <v>63.92</v>
      </c>
      <c r="H74" s="19"/>
    </row>
    <row r="75" spans="1:8" x14ac:dyDescent="0.2">
      <c r="A75" s="76">
        <v>2018</v>
      </c>
      <c r="B75" s="76">
        <v>127.84</v>
      </c>
      <c r="H75" s="19"/>
    </row>
    <row r="76" spans="1:8" x14ac:dyDescent="0.2">
      <c r="A76" s="76">
        <v>2019</v>
      </c>
      <c r="B76" s="76">
        <v>127.84</v>
      </c>
    </row>
    <row r="77" spans="1:8" x14ac:dyDescent="0.2">
      <c r="A77" s="76">
        <v>2020</v>
      </c>
      <c r="B77" s="16">
        <v>63.92</v>
      </c>
    </row>
    <row r="78" spans="1:8" x14ac:dyDescent="0.2">
      <c r="B78" s="15">
        <f>SUM(B74:B77)</f>
        <v>383.52000000000004</v>
      </c>
    </row>
    <row r="80" spans="1:8" x14ac:dyDescent="0.2">
      <c r="A80" s="26"/>
    </row>
    <row r="81" spans="2:8" x14ac:dyDescent="0.2">
      <c r="B81" s="33"/>
      <c r="C81" s="33"/>
      <c r="D81" s="33"/>
      <c r="E81" s="33"/>
      <c r="F81" s="33"/>
      <c r="G81" s="33"/>
    </row>
    <row r="82" spans="2:8" x14ac:dyDescent="0.2">
      <c r="B82" s="20"/>
      <c r="C82" s="20"/>
      <c r="D82" s="20"/>
      <c r="E82" s="20"/>
      <c r="F82" s="20"/>
      <c r="G82" s="20"/>
    </row>
    <row r="83" spans="2:8" x14ac:dyDescent="0.2">
      <c r="B83" s="20"/>
    </row>
    <row r="85" spans="2:8" x14ac:dyDescent="0.2">
      <c r="B85" s="24"/>
      <c r="C85" s="24"/>
      <c r="D85" s="24"/>
      <c r="E85" s="24"/>
      <c r="F85" s="24"/>
      <c r="G85" s="24"/>
      <c r="H85" s="24"/>
    </row>
    <row r="86" spans="2:8" x14ac:dyDescent="0.2">
      <c r="B86" s="21"/>
      <c r="C86" s="21"/>
      <c r="D86" s="21"/>
      <c r="E86" s="21"/>
      <c r="F86" s="21"/>
      <c r="G86" s="21"/>
      <c r="H86" s="21"/>
    </row>
    <row r="87" spans="2:8" x14ac:dyDescent="0.2">
      <c r="B87" s="21"/>
    </row>
    <row r="89" spans="2:8" x14ac:dyDescent="0.2">
      <c r="B89" s="15"/>
      <c r="C89" s="34"/>
    </row>
    <row r="90" spans="2:8" x14ac:dyDescent="0.2">
      <c r="B90" s="15"/>
    </row>
    <row r="91" spans="2:8" x14ac:dyDescent="0.2">
      <c r="B91" s="15"/>
    </row>
    <row r="93" spans="2:8" x14ac:dyDescent="0.2">
      <c r="B93" s="15"/>
    </row>
    <row r="94" spans="2:8" x14ac:dyDescent="0.2">
      <c r="B94" s="15"/>
    </row>
    <row r="95" spans="2:8" x14ac:dyDescent="0.2">
      <c r="B95" s="15"/>
    </row>
    <row r="96" spans="2:8" x14ac:dyDescent="0.2">
      <c r="B96" s="15"/>
    </row>
    <row r="97" spans="2:2" x14ac:dyDescent="0.2">
      <c r="B97" s="15"/>
    </row>
    <row r="98" spans="2:2" x14ac:dyDescent="0.2">
      <c r="B98" s="15"/>
    </row>
    <row r="100" spans="2:2" x14ac:dyDescent="0.2">
      <c r="B100" s="2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CB8A-D6CD-CD47-9D68-71B2A5A5BDE3}">
  <dimension ref="A1:J87"/>
  <sheetViews>
    <sheetView tabSelected="1" zoomScale="170" zoomScaleNormal="170" workbookViewId="0">
      <selection activeCell="A90" sqref="A90"/>
    </sheetView>
  </sheetViews>
  <sheetFormatPr baseColWidth="10" defaultColWidth="9.1640625" defaultRowHeight="15" x14ac:dyDescent="0.2"/>
  <cols>
    <col min="1" max="1" width="57.5" style="82" customWidth="1"/>
    <col min="2" max="2" width="70.83203125" style="82" customWidth="1"/>
    <col min="3" max="3" width="35.5" style="82" customWidth="1"/>
    <col min="4" max="4" width="40.1640625" style="82" customWidth="1"/>
    <col min="5" max="5" width="9.1640625" style="82"/>
    <col min="6" max="6" width="56.6640625" style="82" customWidth="1"/>
    <col min="7" max="16384" width="9.1640625" style="82"/>
  </cols>
  <sheetData>
    <row r="1" spans="1:6" ht="19" x14ac:dyDescent="0.25">
      <c r="A1" s="90" t="s">
        <v>218</v>
      </c>
      <c r="B1" s="91"/>
      <c r="C1" s="92"/>
      <c r="E1" s="82" t="s">
        <v>217</v>
      </c>
    </row>
    <row r="2" spans="1:6" x14ac:dyDescent="0.2">
      <c r="A2" s="93" t="s">
        <v>220</v>
      </c>
      <c r="B2" s="94">
        <f>C6</f>
        <v>805</v>
      </c>
      <c r="C2" s="95"/>
      <c r="E2" s="44"/>
      <c r="F2" s="82" t="s">
        <v>219</v>
      </c>
    </row>
    <row r="3" spans="1:6" x14ac:dyDescent="0.2">
      <c r="A3" s="96" t="s">
        <v>222</v>
      </c>
      <c r="B3" s="97">
        <f>C7</f>
        <v>-805</v>
      </c>
      <c r="C3" s="95"/>
      <c r="E3" s="46"/>
      <c r="F3" s="82" t="s">
        <v>221</v>
      </c>
    </row>
    <row r="4" spans="1:6" x14ac:dyDescent="0.2">
      <c r="A4" s="98" t="s">
        <v>224</v>
      </c>
      <c r="B4" s="99">
        <f>B2+B3</f>
        <v>0</v>
      </c>
      <c r="C4" s="95"/>
      <c r="E4" s="38"/>
      <c r="F4" s="82" t="s">
        <v>223</v>
      </c>
    </row>
    <row r="5" spans="1:6" x14ac:dyDescent="0.2">
      <c r="A5" s="100"/>
      <c r="C5" s="95"/>
    </row>
    <row r="6" spans="1:6" x14ac:dyDescent="0.2">
      <c r="A6" s="101" t="s">
        <v>225</v>
      </c>
      <c r="B6" s="102" t="s">
        <v>226</v>
      </c>
      <c r="C6" s="103">
        <v>805</v>
      </c>
    </row>
    <row r="7" spans="1:6" x14ac:dyDescent="0.2">
      <c r="A7" s="96" t="s">
        <v>227</v>
      </c>
      <c r="B7" s="104" t="s">
        <v>228</v>
      </c>
      <c r="C7" s="105">
        <v>-805</v>
      </c>
    </row>
    <row r="8" spans="1:6" ht="16" thickBot="1" x14ac:dyDescent="0.25">
      <c r="A8" s="106"/>
      <c r="B8" s="107" t="s">
        <v>127</v>
      </c>
      <c r="C8" s="108">
        <f>C6+C7</f>
        <v>0</v>
      </c>
    </row>
    <row r="10" spans="1:6" ht="16" thickBot="1" x14ac:dyDescent="0.25"/>
    <row r="11" spans="1:6" ht="19" x14ac:dyDescent="0.25">
      <c r="A11" s="90" t="s">
        <v>229</v>
      </c>
      <c r="B11" s="91"/>
      <c r="C11" s="92"/>
    </row>
    <row r="12" spans="1:6" ht="15" customHeight="1" x14ac:dyDescent="0.2">
      <c r="A12" s="101" t="s">
        <v>230</v>
      </c>
      <c r="B12" s="109">
        <f>C18</f>
        <v>837</v>
      </c>
      <c r="C12" s="95"/>
    </row>
    <row r="13" spans="1:6" x14ac:dyDescent="0.2">
      <c r="A13" s="93" t="s">
        <v>231</v>
      </c>
      <c r="B13" s="110">
        <v>740</v>
      </c>
      <c r="C13" s="95"/>
    </row>
    <row r="14" spans="1:6" x14ac:dyDescent="0.2">
      <c r="A14" s="96" t="s">
        <v>232</v>
      </c>
      <c r="B14" s="111">
        <f>C17</f>
        <v>-837</v>
      </c>
      <c r="C14" s="95"/>
    </row>
    <row r="15" spans="1:6" x14ac:dyDescent="0.2">
      <c r="A15" s="98" t="s">
        <v>233</v>
      </c>
      <c r="B15" s="112">
        <f>B13+B14</f>
        <v>-97</v>
      </c>
      <c r="C15" s="113"/>
    </row>
    <row r="16" spans="1:6" x14ac:dyDescent="0.2">
      <c r="A16" s="100"/>
      <c r="C16" s="95"/>
    </row>
    <row r="17" spans="1:3" x14ac:dyDescent="0.2">
      <c r="A17" s="96" t="s">
        <v>234</v>
      </c>
      <c r="B17" s="104" t="s">
        <v>235</v>
      </c>
      <c r="C17" s="114">
        <v>-837</v>
      </c>
    </row>
    <row r="18" spans="1:3" x14ac:dyDescent="0.2">
      <c r="A18" s="101" t="s">
        <v>236</v>
      </c>
      <c r="B18" s="102" t="s">
        <v>237</v>
      </c>
      <c r="C18" s="115">
        <v>837</v>
      </c>
    </row>
    <row r="19" spans="1:3" x14ac:dyDescent="0.2">
      <c r="A19" s="101" t="s">
        <v>238</v>
      </c>
      <c r="B19" s="116" t="s">
        <v>239</v>
      </c>
      <c r="C19" s="115">
        <v>-97</v>
      </c>
    </row>
    <row r="20" spans="1:3" ht="16" thickBot="1" x14ac:dyDescent="0.25">
      <c r="A20" s="106"/>
      <c r="B20" s="107" t="s">
        <v>127</v>
      </c>
      <c r="C20" s="117">
        <f>SUM(C17:C19)</f>
        <v>-97</v>
      </c>
    </row>
    <row r="22" spans="1:3" ht="16" thickBot="1" x14ac:dyDescent="0.25"/>
    <row r="23" spans="1:3" ht="19" x14ac:dyDescent="0.25">
      <c r="A23" s="90" t="s">
        <v>240</v>
      </c>
      <c r="B23" s="91"/>
      <c r="C23" s="92"/>
    </row>
    <row r="24" spans="1:3" ht="16" x14ac:dyDescent="0.2">
      <c r="A24" s="118" t="s">
        <v>241</v>
      </c>
      <c r="B24" s="119">
        <f>C30+C32+C33+C34+C35</f>
        <v>769</v>
      </c>
      <c r="C24" s="95"/>
    </row>
    <row r="25" spans="1:3" x14ac:dyDescent="0.2">
      <c r="A25" s="93" t="s">
        <v>242</v>
      </c>
      <c r="B25" s="120">
        <v>581</v>
      </c>
      <c r="C25" s="95"/>
    </row>
    <row r="26" spans="1:3" x14ac:dyDescent="0.2">
      <c r="A26" s="96" t="s">
        <v>243</v>
      </c>
      <c r="B26" s="121">
        <f>C29+C31</f>
        <v>-837</v>
      </c>
      <c r="C26" s="95" t="s">
        <v>244</v>
      </c>
    </row>
    <row r="27" spans="1:3" x14ac:dyDescent="0.2">
      <c r="A27" s="98" t="s">
        <v>233</v>
      </c>
      <c r="B27" s="122">
        <f>B25-B24</f>
        <v>-188</v>
      </c>
      <c r="C27" s="95"/>
    </row>
    <row r="28" spans="1:3" x14ac:dyDescent="0.2">
      <c r="A28" s="100"/>
      <c r="C28" s="95"/>
    </row>
    <row r="29" spans="1:3" x14ac:dyDescent="0.2">
      <c r="A29" s="96" t="s">
        <v>245</v>
      </c>
      <c r="B29" s="104" t="s">
        <v>246</v>
      </c>
      <c r="C29" s="105">
        <v>-209</v>
      </c>
    </row>
    <row r="30" spans="1:3" x14ac:dyDescent="0.2">
      <c r="A30" s="123" t="s">
        <v>247</v>
      </c>
      <c r="B30" s="116" t="s">
        <v>248</v>
      </c>
      <c r="C30" s="103">
        <v>209</v>
      </c>
    </row>
    <row r="31" spans="1:3" x14ac:dyDescent="0.2">
      <c r="A31" s="96" t="s">
        <v>249</v>
      </c>
      <c r="B31" s="104" t="s">
        <v>246</v>
      </c>
      <c r="C31" s="105">
        <v>-628</v>
      </c>
    </row>
    <row r="32" spans="1:3" x14ac:dyDescent="0.2">
      <c r="A32" s="123" t="s">
        <v>250</v>
      </c>
      <c r="B32" s="116" t="s">
        <v>248</v>
      </c>
      <c r="C32" s="103">
        <v>209</v>
      </c>
    </row>
    <row r="33" spans="1:10" x14ac:dyDescent="0.2">
      <c r="A33" s="123" t="s">
        <v>251</v>
      </c>
      <c r="B33" s="116" t="s">
        <v>248</v>
      </c>
      <c r="C33" s="103">
        <v>209</v>
      </c>
    </row>
    <row r="34" spans="1:10" x14ac:dyDescent="0.2">
      <c r="A34" s="123" t="s">
        <v>251</v>
      </c>
      <c r="B34" s="116" t="s">
        <v>252</v>
      </c>
      <c r="C34" s="103">
        <v>-51</v>
      </c>
    </row>
    <row r="35" spans="1:10" x14ac:dyDescent="0.2">
      <c r="A35" s="123" t="s">
        <v>253</v>
      </c>
      <c r="B35" s="116" t="s">
        <v>254</v>
      </c>
      <c r="C35" s="103">
        <v>193</v>
      </c>
    </row>
    <row r="36" spans="1:10" x14ac:dyDescent="0.2">
      <c r="A36" s="124">
        <v>42906</v>
      </c>
      <c r="B36" s="125" t="s">
        <v>255</v>
      </c>
      <c r="C36" s="126">
        <v>-188</v>
      </c>
    </row>
    <row r="37" spans="1:10" ht="16" thickBot="1" x14ac:dyDescent="0.25">
      <c r="A37" s="106"/>
      <c r="B37" s="107" t="s">
        <v>127</v>
      </c>
      <c r="C37" s="108">
        <f>SUM(C29:C36)</f>
        <v>-256</v>
      </c>
    </row>
    <row r="39" spans="1:10" ht="16" thickBot="1" x14ac:dyDescent="0.25"/>
    <row r="40" spans="1:10" ht="19" x14ac:dyDescent="0.25">
      <c r="A40" s="127" t="s">
        <v>256</v>
      </c>
      <c r="B40" s="128"/>
      <c r="C40" s="129"/>
    </row>
    <row r="41" spans="1:10" ht="16" x14ac:dyDescent="0.2">
      <c r="A41" s="118" t="s">
        <v>257</v>
      </c>
      <c r="B41" s="119">
        <v>604</v>
      </c>
      <c r="C41" s="95"/>
    </row>
    <row r="42" spans="1:10" x14ac:dyDescent="0.2">
      <c r="A42" s="100" t="s">
        <v>258</v>
      </c>
      <c r="B42" s="21"/>
      <c r="C42" s="95"/>
    </row>
    <row r="43" spans="1:10" x14ac:dyDescent="0.2">
      <c r="A43" s="130" t="s">
        <v>259</v>
      </c>
      <c r="B43" s="131">
        <f>C46</f>
        <v>-604</v>
      </c>
      <c r="C43" s="95"/>
    </row>
    <row r="44" spans="1:10" x14ac:dyDescent="0.2">
      <c r="A44" s="100" t="s">
        <v>224</v>
      </c>
      <c r="C44" s="95"/>
    </row>
    <row r="45" spans="1:10" x14ac:dyDescent="0.2">
      <c r="A45" s="100"/>
      <c r="C45" s="95"/>
    </row>
    <row r="46" spans="1:10" x14ac:dyDescent="0.2">
      <c r="A46" s="96" t="s">
        <v>260</v>
      </c>
      <c r="B46" s="132" t="s">
        <v>261</v>
      </c>
      <c r="C46" s="133">
        <v>-604</v>
      </c>
      <c r="D46" s="88"/>
      <c r="E46" s="88"/>
      <c r="F46" s="88"/>
      <c r="G46" s="88"/>
      <c r="H46" s="88"/>
      <c r="I46" s="88"/>
      <c r="J46" s="88"/>
    </row>
    <row r="47" spans="1:10" x14ac:dyDescent="0.2">
      <c r="A47" s="123" t="s">
        <v>262</v>
      </c>
      <c r="B47" s="116" t="s">
        <v>254</v>
      </c>
      <c r="C47" s="134">
        <v>192</v>
      </c>
    </row>
    <row r="48" spans="1:10" x14ac:dyDescent="0.2">
      <c r="A48" s="123" t="s">
        <v>263</v>
      </c>
      <c r="B48" s="116" t="s">
        <v>254</v>
      </c>
      <c r="C48" s="134">
        <v>192</v>
      </c>
    </row>
    <row r="49" spans="1:3" x14ac:dyDescent="0.2">
      <c r="A49" s="135" t="s">
        <v>263</v>
      </c>
      <c r="B49" s="116" t="s">
        <v>264</v>
      </c>
      <c r="C49" s="103">
        <v>-82</v>
      </c>
    </row>
    <row r="50" spans="1:3" x14ac:dyDescent="0.2">
      <c r="A50" s="135" t="s">
        <v>265</v>
      </c>
      <c r="B50" s="116" t="s">
        <v>266</v>
      </c>
      <c r="C50" s="134">
        <v>151</v>
      </c>
    </row>
    <row r="51" spans="1:3" x14ac:dyDescent="0.2">
      <c r="A51" s="135" t="s">
        <v>267</v>
      </c>
      <c r="B51" s="116" t="s">
        <v>266</v>
      </c>
      <c r="C51" s="134">
        <v>151</v>
      </c>
    </row>
    <row r="52" spans="1:3" x14ac:dyDescent="0.2">
      <c r="A52" s="106"/>
      <c r="B52" s="107" t="s">
        <v>127</v>
      </c>
      <c r="C52" s="108">
        <f>SUM(C46:C51)</f>
        <v>0</v>
      </c>
    </row>
    <row r="55" spans="1:3" ht="19" x14ac:dyDescent="0.25">
      <c r="A55" s="136" t="s">
        <v>268</v>
      </c>
      <c r="B55" s="137"/>
      <c r="C55" s="138"/>
    </row>
    <row r="56" spans="1:3" ht="16" x14ac:dyDescent="0.2">
      <c r="A56" s="139" t="s">
        <v>269</v>
      </c>
      <c r="B56" s="21"/>
      <c r="C56" s="140"/>
    </row>
    <row r="57" spans="1:3" x14ac:dyDescent="0.2">
      <c r="A57" s="141" t="s">
        <v>270</v>
      </c>
      <c r="B57" s="21"/>
      <c r="C57" s="140"/>
    </row>
    <row r="58" spans="1:3" x14ac:dyDescent="0.2">
      <c r="A58" s="141" t="s">
        <v>271</v>
      </c>
      <c r="B58" s="21"/>
      <c r="C58" s="140"/>
    </row>
    <row r="59" spans="1:3" x14ac:dyDescent="0.2">
      <c r="A59" s="141" t="s">
        <v>224</v>
      </c>
      <c r="C59" s="140"/>
    </row>
    <row r="60" spans="1:3" x14ac:dyDescent="0.2">
      <c r="A60" s="141"/>
      <c r="C60" s="140"/>
    </row>
    <row r="61" spans="1:3" x14ac:dyDescent="0.2">
      <c r="A61" s="142" t="s">
        <v>272</v>
      </c>
      <c r="B61" s="116" t="s">
        <v>273</v>
      </c>
      <c r="C61" s="143">
        <v>151</v>
      </c>
    </row>
    <row r="62" spans="1:3" x14ac:dyDescent="0.2">
      <c r="A62" s="144">
        <v>43592</v>
      </c>
      <c r="B62" s="116" t="s">
        <v>274</v>
      </c>
      <c r="C62" s="143">
        <v>592</v>
      </c>
    </row>
    <row r="63" spans="1:3" x14ac:dyDescent="0.2">
      <c r="A63" s="145">
        <v>43594</v>
      </c>
      <c r="B63" s="104" t="s">
        <v>275</v>
      </c>
      <c r="C63" s="105">
        <f>-B74</f>
        <v>-1482</v>
      </c>
    </row>
    <row r="64" spans="1:3" x14ac:dyDescent="0.2">
      <c r="A64" s="142" t="s">
        <v>276</v>
      </c>
      <c r="B64" s="116" t="s">
        <v>273</v>
      </c>
      <c r="C64" s="143">
        <v>151</v>
      </c>
    </row>
    <row r="67" spans="1:4" ht="21" x14ac:dyDescent="0.25">
      <c r="A67" s="59" t="s">
        <v>277</v>
      </c>
      <c r="B67" s="146">
        <f>C8+C20+C37+C52+SUM(C61:C64)</f>
        <v>-941</v>
      </c>
      <c r="D67" s="82" t="s">
        <v>294</v>
      </c>
    </row>
    <row r="68" spans="1:4" x14ac:dyDescent="0.2">
      <c r="D68" s="82" t="s">
        <v>295</v>
      </c>
    </row>
    <row r="69" spans="1:4" x14ac:dyDescent="0.2">
      <c r="A69" s="82" t="s">
        <v>278</v>
      </c>
      <c r="D69" s="82" t="s">
        <v>296</v>
      </c>
    </row>
    <row r="70" spans="1:4" x14ac:dyDescent="0.2">
      <c r="A70" s="82" t="s">
        <v>279</v>
      </c>
      <c r="B70" s="15">
        <v>592</v>
      </c>
      <c r="D70" s="82" t="s">
        <v>297</v>
      </c>
    </row>
    <row r="71" spans="1:4" x14ac:dyDescent="0.2">
      <c r="A71" s="82" t="s">
        <v>280</v>
      </c>
      <c r="B71" s="15">
        <v>1243</v>
      </c>
      <c r="D71" s="82" t="s">
        <v>298</v>
      </c>
    </row>
    <row r="72" spans="1:4" x14ac:dyDescent="0.2">
      <c r="A72" s="82" t="s">
        <v>281</v>
      </c>
      <c r="B72" s="15">
        <v>151</v>
      </c>
    </row>
    <row r="73" spans="1:4" x14ac:dyDescent="0.2">
      <c r="A73" s="82" t="s">
        <v>282</v>
      </c>
      <c r="B73" s="15">
        <v>202</v>
      </c>
    </row>
    <row r="74" spans="1:4" x14ac:dyDescent="0.2">
      <c r="B74" s="40">
        <f>B70+B71-B72-B73</f>
        <v>1482</v>
      </c>
    </row>
    <row r="75" spans="1:4" x14ac:dyDescent="0.2">
      <c r="A75" s="82" t="s">
        <v>283</v>
      </c>
    </row>
    <row r="76" spans="1:4" x14ac:dyDescent="0.2">
      <c r="A76" s="147" t="s">
        <v>284</v>
      </c>
      <c r="B76" s="147"/>
    </row>
    <row r="77" spans="1:4" x14ac:dyDescent="0.2">
      <c r="A77" s="147"/>
      <c r="B77" s="147"/>
    </row>
    <row r="78" spans="1:4" x14ac:dyDescent="0.2">
      <c r="A78" s="82" t="s">
        <v>285</v>
      </c>
    </row>
    <row r="79" spans="1:4" x14ac:dyDescent="0.2">
      <c r="A79" s="82" t="s">
        <v>286</v>
      </c>
    </row>
    <row r="80" spans="1:4" x14ac:dyDescent="0.2">
      <c r="A80" s="148" t="s">
        <v>287</v>
      </c>
      <c r="B80" s="148"/>
    </row>
    <row r="81" spans="1:2" x14ac:dyDescent="0.2">
      <c r="A81" s="149"/>
      <c r="B81" s="149"/>
    </row>
    <row r="82" spans="1:2" x14ac:dyDescent="0.2">
      <c r="A82" s="82" t="s">
        <v>288</v>
      </c>
    </row>
    <row r="83" spans="1:2" x14ac:dyDescent="0.2">
      <c r="A83" s="82" t="s">
        <v>289</v>
      </c>
    </row>
    <row r="84" spans="1:2" ht="21" x14ac:dyDescent="0.25">
      <c r="A84" s="59" t="s">
        <v>290</v>
      </c>
    </row>
    <row r="85" spans="1:2" x14ac:dyDescent="0.2">
      <c r="A85" s="150" t="s">
        <v>291</v>
      </c>
    </row>
    <row r="86" spans="1:2" x14ac:dyDescent="0.2">
      <c r="A86" s="82" t="s">
        <v>292</v>
      </c>
    </row>
    <row r="87" spans="1:2" x14ac:dyDescent="0.2">
      <c r="A87" s="82" t="s">
        <v>293</v>
      </c>
    </row>
  </sheetData>
  <mergeCells count="8">
    <mergeCell ref="A55:C55"/>
    <mergeCell ref="A76:B77"/>
    <mergeCell ref="A80:B81"/>
    <mergeCell ref="A1:C1"/>
    <mergeCell ref="A11:C11"/>
    <mergeCell ref="A23:C23"/>
    <mergeCell ref="A40:C40"/>
    <mergeCell ref="D46:J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9E43-015F-4BB3-B90B-0F756CD991F6}">
  <dimension ref="A1:M53"/>
  <sheetViews>
    <sheetView topLeftCell="A21" zoomScale="130" zoomScaleNormal="130" workbookViewId="0">
      <selection activeCell="F13" sqref="F13"/>
    </sheetView>
  </sheetViews>
  <sheetFormatPr baseColWidth="10" defaultColWidth="9.1640625" defaultRowHeight="15" x14ac:dyDescent="0.2"/>
  <cols>
    <col min="1" max="1" width="61.1640625" customWidth="1"/>
    <col min="2" max="13" width="15.6640625" customWidth="1"/>
  </cols>
  <sheetData>
    <row r="1" spans="1:3" ht="19" x14ac:dyDescent="0.25">
      <c r="A1" s="2" t="s">
        <v>2</v>
      </c>
      <c r="B1" s="3"/>
    </row>
    <row r="2" spans="1:3" x14ac:dyDescent="0.2">
      <c r="A2" s="1" t="s">
        <v>0</v>
      </c>
      <c r="B2" s="3">
        <f>B28</f>
        <v>192.72</v>
      </c>
    </row>
    <row r="3" spans="1:3" x14ac:dyDescent="0.2">
      <c r="A3" s="1" t="s">
        <v>1</v>
      </c>
      <c r="B3" s="3">
        <f>B31</f>
        <v>1328.23</v>
      </c>
    </row>
    <row r="4" spans="1:3" x14ac:dyDescent="0.2">
      <c r="A4" s="1" t="s">
        <v>49</v>
      </c>
      <c r="B4" s="3">
        <v>306.42</v>
      </c>
    </row>
    <row r="5" spans="1:3" x14ac:dyDescent="0.2">
      <c r="A5" s="1" t="s">
        <v>52</v>
      </c>
      <c r="B5" s="3">
        <v>195.68</v>
      </c>
    </row>
    <row r="6" spans="1:3" x14ac:dyDescent="0.2">
      <c r="A6" s="9" t="s">
        <v>38</v>
      </c>
      <c r="B6" s="10">
        <f>SUM(B2:B5)</f>
        <v>2023.0500000000002</v>
      </c>
      <c r="C6" t="s">
        <v>42</v>
      </c>
    </row>
    <row r="7" spans="1:3" x14ac:dyDescent="0.2">
      <c r="B7" s="3"/>
    </row>
    <row r="8" spans="1:3" x14ac:dyDescent="0.2">
      <c r="B8" s="3"/>
    </row>
    <row r="9" spans="1:3" ht="19" x14ac:dyDescent="0.25">
      <c r="A9" s="2" t="s">
        <v>5</v>
      </c>
      <c r="B9" s="3"/>
    </row>
    <row r="10" spans="1:3" x14ac:dyDescent="0.2">
      <c r="A10" t="s">
        <v>6</v>
      </c>
      <c r="B10" s="3">
        <f>B36</f>
        <v>224.27999999999997</v>
      </c>
      <c r="C10" t="s">
        <v>41</v>
      </c>
    </row>
    <row r="11" spans="1:3" x14ac:dyDescent="0.2">
      <c r="A11" t="s">
        <v>7</v>
      </c>
      <c r="B11" s="3">
        <f>B41</f>
        <v>103.08</v>
      </c>
      <c r="C11" t="s">
        <v>41</v>
      </c>
    </row>
    <row r="12" spans="1:3" x14ac:dyDescent="0.2">
      <c r="A12" t="s">
        <v>8</v>
      </c>
      <c r="B12" s="3">
        <f>B46</f>
        <v>37.9</v>
      </c>
      <c r="C12" t="s">
        <v>56</v>
      </c>
    </row>
    <row r="13" spans="1:3" x14ac:dyDescent="0.2">
      <c r="A13" t="s">
        <v>53</v>
      </c>
      <c r="B13" s="3">
        <v>83.9</v>
      </c>
      <c r="C13" t="s">
        <v>41</v>
      </c>
    </row>
    <row r="14" spans="1:3" x14ac:dyDescent="0.2">
      <c r="A14" t="s">
        <v>55</v>
      </c>
      <c r="B14" s="3">
        <f>B49</f>
        <v>96.86</v>
      </c>
      <c r="C14" t="s">
        <v>40</v>
      </c>
    </row>
    <row r="15" spans="1:3" x14ac:dyDescent="0.2">
      <c r="A15" t="s">
        <v>51</v>
      </c>
      <c r="B15" s="3">
        <v>10.82</v>
      </c>
      <c r="C15" t="s">
        <v>40</v>
      </c>
    </row>
    <row r="16" spans="1:3" x14ac:dyDescent="0.2">
      <c r="A16" s="11" t="s">
        <v>38</v>
      </c>
      <c r="B16" s="10">
        <f>SUM(B10:B15)</f>
        <v>556.84</v>
      </c>
    </row>
    <row r="17" spans="1:13" x14ac:dyDescent="0.2">
      <c r="B17" s="3"/>
    </row>
    <row r="18" spans="1:13" s="18" customFormat="1" x14ac:dyDescent="0.2">
      <c r="A18" s="11" t="s">
        <v>102</v>
      </c>
      <c r="B18" s="10">
        <v>2986.02</v>
      </c>
      <c r="C18" s="18" t="s">
        <v>103</v>
      </c>
    </row>
    <row r="19" spans="1:13" s="18" customFormat="1" x14ac:dyDescent="0.2">
      <c r="B19" s="3"/>
    </row>
    <row r="20" spans="1:13" ht="19" x14ac:dyDescent="0.25">
      <c r="A20" s="2" t="s">
        <v>11</v>
      </c>
      <c r="B20" s="3"/>
    </row>
    <row r="21" spans="1:13" x14ac:dyDescent="0.2">
      <c r="A21" t="s">
        <v>12</v>
      </c>
      <c r="B21" s="11">
        <v>900</v>
      </c>
    </row>
    <row r="22" spans="1:13" x14ac:dyDescent="0.2">
      <c r="A22" t="s">
        <v>37</v>
      </c>
      <c r="B22" s="11">
        <v>39.479999999999997</v>
      </c>
    </row>
    <row r="24" spans="1:13" x14ac:dyDescent="0.2">
      <c r="B24" s="3"/>
    </row>
    <row r="25" spans="1:13" ht="19" x14ac:dyDescent="0.25">
      <c r="A25" s="2" t="s">
        <v>13</v>
      </c>
      <c r="B25" s="3"/>
    </row>
    <row r="26" spans="1:13" x14ac:dyDescent="0.2">
      <c r="B26" s="7" t="s">
        <v>18</v>
      </c>
      <c r="C26" s="8" t="s">
        <v>19</v>
      </c>
      <c r="D26" s="7" t="s">
        <v>20</v>
      </c>
      <c r="E26" s="8" t="s">
        <v>21</v>
      </c>
      <c r="F26" s="7" t="s">
        <v>22</v>
      </c>
      <c r="G26" s="8" t="s">
        <v>23</v>
      </c>
      <c r="H26" s="7" t="s">
        <v>24</v>
      </c>
      <c r="I26" s="8" t="s">
        <v>25</v>
      </c>
      <c r="J26" s="7" t="s">
        <v>26</v>
      </c>
      <c r="K26" s="8" t="s">
        <v>27</v>
      </c>
      <c r="L26" s="7" t="s">
        <v>28</v>
      </c>
      <c r="M26" s="8" t="s">
        <v>29</v>
      </c>
    </row>
    <row r="27" spans="1:13" x14ac:dyDescent="0.2">
      <c r="A27" t="s">
        <v>0</v>
      </c>
      <c r="B27" s="3">
        <v>16.059999999999999</v>
      </c>
      <c r="C27" s="3">
        <v>16.059999999999999</v>
      </c>
      <c r="D27" s="3">
        <v>16.059999999999999</v>
      </c>
      <c r="E27" s="3">
        <v>16.059999999999999</v>
      </c>
      <c r="F27" s="3">
        <v>16.059999999999999</v>
      </c>
      <c r="G27" s="3">
        <v>16.059999999999999</v>
      </c>
      <c r="H27" s="3">
        <v>16.059999999999999</v>
      </c>
      <c r="I27" s="3">
        <v>16.059999999999999</v>
      </c>
      <c r="J27" s="3">
        <v>16.059999999999999</v>
      </c>
      <c r="K27" s="3">
        <v>16.059999999999999</v>
      </c>
      <c r="L27" s="3">
        <v>16.059999999999999</v>
      </c>
      <c r="M27" s="3">
        <v>16.059999999999999</v>
      </c>
    </row>
    <row r="28" spans="1:13" x14ac:dyDescent="0.2">
      <c r="A28" t="s">
        <v>44</v>
      </c>
      <c r="B28" s="13">
        <f>SUM(B27:M27)</f>
        <v>192.72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B29" s="7" t="s">
        <v>18</v>
      </c>
      <c r="C29" s="8" t="s">
        <v>19</v>
      </c>
      <c r="D29" s="7" t="s">
        <v>20</v>
      </c>
      <c r="E29" s="8" t="s">
        <v>21</v>
      </c>
      <c r="F29" s="7" t="s">
        <v>22</v>
      </c>
      <c r="G29" s="8" t="s">
        <v>23</v>
      </c>
      <c r="H29" s="7" t="s">
        <v>24</v>
      </c>
      <c r="I29" s="8" t="s">
        <v>25</v>
      </c>
      <c r="J29" s="7" t="s">
        <v>26</v>
      </c>
      <c r="K29" s="8" t="s">
        <v>27</v>
      </c>
      <c r="L29" s="7" t="s">
        <v>28</v>
      </c>
      <c r="M29" s="8" t="s">
        <v>29</v>
      </c>
    </row>
    <row r="30" spans="1:13" x14ac:dyDescent="0.2">
      <c r="A30" t="s">
        <v>1</v>
      </c>
      <c r="B30" s="3">
        <v>108.16</v>
      </c>
      <c r="C30" s="3">
        <v>108.16</v>
      </c>
      <c r="D30" s="3">
        <v>108.16</v>
      </c>
      <c r="E30" s="3">
        <v>108.16</v>
      </c>
      <c r="F30" s="3">
        <v>108.16</v>
      </c>
      <c r="G30" s="3">
        <v>112.49</v>
      </c>
      <c r="H30" s="3">
        <v>112.49</v>
      </c>
      <c r="I30" s="3">
        <v>112.49</v>
      </c>
      <c r="J30" s="3">
        <v>112.49</v>
      </c>
      <c r="K30" s="3">
        <v>112.49</v>
      </c>
      <c r="L30" s="3">
        <v>112.49</v>
      </c>
      <c r="M30" s="3">
        <v>112.49</v>
      </c>
    </row>
    <row r="31" spans="1:13" x14ac:dyDescent="0.2">
      <c r="A31" t="s">
        <v>44</v>
      </c>
      <c r="B31" s="13">
        <f>SUM(B30:M30)</f>
        <v>1328.23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A33" t="s">
        <v>45</v>
      </c>
      <c r="B33" s="12" t="s">
        <v>50</v>
      </c>
    </row>
    <row r="34" spans="1:13" x14ac:dyDescent="0.2">
      <c r="A34" t="s">
        <v>15</v>
      </c>
      <c r="B34" s="3">
        <v>31.15</v>
      </c>
    </row>
    <row r="35" spans="1:13" x14ac:dyDescent="0.2">
      <c r="A35" t="s">
        <v>16</v>
      </c>
      <c r="B35" s="3">
        <f>12*B34</f>
        <v>373.79999999999995</v>
      </c>
    </row>
    <row r="36" spans="1:13" x14ac:dyDescent="0.2">
      <c r="A36" s="4" t="s">
        <v>17</v>
      </c>
      <c r="B36" s="13">
        <f>0.6*B35</f>
        <v>224.27999999999997</v>
      </c>
    </row>
    <row r="37" spans="1:13" x14ac:dyDescent="0.2">
      <c r="B37" s="3"/>
    </row>
    <row r="38" spans="1:13" x14ac:dyDescent="0.2">
      <c r="B38" s="7" t="s">
        <v>18</v>
      </c>
      <c r="C38" s="8" t="s">
        <v>19</v>
      </c>
      <c r="D38" s="7" t="s">
        <v>20</v>
      </c>
      <c r="E38" s="8" t="s">
        <v>21</v>
      </c>
      <c r="F38" s="7" t="s">
        <v>22</v>
      </c>
      <c r="G38" s="8" t="s">
        <v>23</v>
      </c>
      <c r="H38" s="7" t="s">
        <v>24</v>
      </c>
      <c r="I38" s="8" t="s">
        <v>25</v>
      </c>
      <c r="J38" s="7" t="s">
        <v>26</v>
      </c>
      <c r="K38" s="8" t="s">
        <v>27</v>
      </c>
      <c r="L38" s="7" t="s">
        <v>28</v>
      </c>
      <c r="M38" s="8" t="s">
        <v>29</v>
      </c>
    </row>
    <row r="39" spans="1:13" x14ac:dyDescent="0.2">
      <c r="A39" t="s">
        <v>46</v>
      </c>
      <c r="B39" s="3">
        <v>12.7</v>
      </c>
      <c r="C39">
        <v>12.5</v>
      </c>
      <c r="D39">
        <v>10.61</v>
      </c>
      <c r="E39">
        <v>12.5</v>
      </c>
      <c r="F39">
        <v>33.799999999999997</v>
      </c>
      <c r="G39">
        <v>12.7</v>
      </c>
      <c r="H39">
        <v>12.7</v>
      </c>
      <c r="I39">
        <v>12.7</v>
      </c>
      <c r="J39">
        <v>12.9</v>
      </c>
      <c r="K39">
        <v>12.5</v>
      </c>
      <c r="L39">
        <v>13.69</v>
      </c>
      <c r="M39">
        <v>12.5</v>
      </c>
    </row>
    <row r="40" spans="1:13" x14ac:dyDescent="0.2">
      <c r="A40" t="s">
        <v>44</v>
      </c>
      <c r="B40" s="3">
        <f>SUM(B39:M39)</f>
        <v>171.8</v>
      </c>
    </row>
    <row r="41" spans="1:13" x14ac:dyDescent="0.2">
      <c r="A41" s="4" t="s">
        <v>17</v>
      </c>
      <c r="B41" s="13">
        <f>0.6*B40</f>
        <v>103.08</v>
      </c>
    </row>
    <row r="42" spans="1:13" x14ac:dyDescent="0.2">
      <c r="B42" s="3"/>
    </row>
    <row r="43" spans="1:13" x14ac:dyDescent="0.2">
      <c r="A43" t="s">
        <v>32</v>
      </c>
      <c r="B43" s="3"/>
    </row>
    <row r="44" spans="1:13" x14ac:dyDescent="0.2">
      <c r="A44" t="s">
        <v>47</v>
      </c>
      <c r="B44" s="3">
        <v>18.7</v>
      </c>
    </row>
    <row r="45" spans="1:13" x14ac:dyDescent="0.2">
      <c r="A45" t="s">
        <v>48</v>
      </c>
      <c r="B45" s="3">
        <v>19.2</v>
      </c>
    </row>
    <row r="46" spans="1:13" x14ac:dyDescent="0.2">
      <c r="A46" t="s">
        <v>35</v>
      </c>
      <c r="B46" s="13">
        <f>B44+B45</f>
        <v>37.9</v>
      </c>
    </row>
    <row r="47" spans="1:13" x14ac:dyDescent="0.2">
      <c r="B47" s="5"/>
    </row>
    <row r="48" spans="1:13" x14ac:dyDescent="0.2">
      <c r="A48" t="s">
        <v>54</v>
      </c>
      <c r="B48" s="5"/>
    </row>
    <row r="49" spans="1:2" x14ac:dyDescent="0.2">
      <c r="A49">
        <v>2016</v>
      </c>
      <c r="B49" s="14">
        <v>96.86</v>
      </c>
    </row>
    <row r="50" spans="1:2" x14ac:dyDescent="0.2">
      <c r="A50">
        <v>2017</v>
      </c>
      <c r="B50" s="5">
        <v>193.73</v>
      </c>
    </row>
    <row r="51" spans="1:2" x14ac:dyDescent="0.2">
      <c r="A51">
        <v>2018</v>
      </c>
      <c r="B51" s="5">
        <v>193.73</v>
      </c>
    </row>
    <row r="52" spans="1:2" x14ac:dyDescent="0.2">
      <c r="A52">
        <v>2019</v>
      </c>
      <c r="B52" s="5">
        <v>96.86</v>
      </c>
    </row>
    <row r="53" spans="1:2" x14ac:dyDescent="0.2">
      <c r="B53" s="5">
        <f>SUM(B49:B52)</f>
        <v>581.17999999999995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4715-F5B0-4133-B9F3-4A5E4ADDC585}">
  <dimension ref="A1:E59"/>
  <sheetViews>
    <sheetView zoomScale="130" zoomScaleNormal="130" workbookViewId="0">
      <selection activeCell="K49" sqref="K49"/>
    </sheetView>
  </sheetViews>
  <sheetFormatPr baseColWidth="10" defaultColWidth="9.1640625" defaultRowHeight="15" x14ac:dyDescent="0.2"/>
  <cols>
    <col min="1" max="1" width="57.83203125" style="18" customWidth="1"/>
    <col min="2" max="2" width="21.6640625" style="18" customWidth="1"/>
    <col min="3" max="3" width="13.83203125" style="18" customWidth="1"/>
    <col min="4" max="4" width="17.83203125" style="18" customWidth="1"/>
    <col min="5" max="5" width="45" style="18" customWidth="1"/>
    <col min="6" max="16384" width="9.1640625" style="18"/>
  </cols>
  <sheetData>
    <row r="1" spans="1:5" x14ac:dyDescent="0.2">
      <c r="A1" s="84" t="s">
        <v>117</v>
      </c>
      <c r="B1" s="84"/>
      <c r="C1" s="84"/>
      <c r="D1" s="84"/>
      <c r="E1" s="84"/>
    </row>
    <row r="2" spans="1:5" x14ac:dyDescent="0.2">
      <c r="A2" s="84"/>
      <c r="B2" s="84"/>
      <c r="C2" s="84"/>
      <c r="D2" s="84"/>
      <c r="E2" s="84"/>
    </row>
    <row r="3" spans="1:5" x14ac:dyDescent="0.2">
      <c r="C3" s="8" t="s">
        <v>118</v>
      </c>
    </row>
    <row r="4" spans="1:5" x14ac:dyDescent="0.2">
      <c r="A4" s="18" t="s">
        <v>119</v>
      </c>
      <c r="B4" s="35">
        <v>39896.629999999997</v>
      </c>
      <c r="C4" s="8">
        <v>210</v>
      </c>
    </row>
    <row r="5" spans="1:5" x14ac:dyDescent="0.2">
      <c r="A5" s="36" t="s">
        <v>120</v>
      </c>
      <c r="B5" s="37">
        <f>B4-B6</f>
        <v>34253.909999999996</v>
      </c>
      <c r="C5" s="8"/>
    </row>
    <row r="6" spans="1:5" x14ac:dyDescent="0.2">
      <c r="A6" s="38" t="s">
        <v>121</v>
      </c>
      <c r="B6" s="39">
        <v>5642.72</v>
      </c>
      <c r="C6" s="8">
        <v>220</v>
      </c>
    </row>
    <row r="7" spans="1:5" x14ac:dyDescent="0.2">
      <c r="B7" s="35"/>
      <c r="C7" s="8"/>
    </row>
    <row r="8" spans="1:5" x14ac:dyDescent="0.2">
      <c r="A8" s="36" t="s">
        <v>122</v>
      </c>
      <c r="B8" s="37">
        <v>6213.75</v>
      </c>
      <c r="C8" s="8">
        <v>230</v>
      </c>
      <c r="D8" s="40">
        <f>ROUND(B5*0.1812,2)</f>
        <v>6206.81</v>
      </c>
      <c r="E8" s="41" t="s">
        <v>123</v>
      </c>
    </row>
    <row r="9" spans="1:5" x14ac:dyDescent="0.2">
      <c r="A9" s="38" t="s">
        <v>124</v>
      </c>
      <c r="B9" s="39">
        <v>950.47</v>
      </c>
      <c r="C9" s="8">
        <v>225</v>
      </c>
      <c r="D9" s="40">
        <f>ROUND(B6*0.1712,2)</f>
        <v>966.03</v>
      </c>
      <c r="E9" s="41" t="s">
        <v>125</v>
      </c>
    </row>
    <row r="10" spans="1:5" x14ac:dyDescent="0.2">
      <c r="A10" s="18" t="s">
        <v>126</v>
      </c>
      <c r="B10" s="35">
        <f>B8+B9</f>
        <v>7164.22</v>
      </c>
      <c r="C10" s="8"/>
      <c r="D10" s="40">
        <f>D8+D9</f>
        <v>7172.84</v>
      </c>
      <c r="E10" s="41" t="s">
        <v>127</v>
      </c>
    </row>
    <row r="11" spans="1:5" x14ac:dyDescent="0.2">
      <c r="B11" s="35"/>
      <c r="C11" s="8"/>
    </row>
    <row r="12" spans="1:5" x14ac:dyDescent="0.2">
      <c r="A12" s="36" t="s">
        <v>128</v>
      </c>
      <c r="B12" s="37">
        <f>B5-B8</f>
        <v>28040.159999999996</v>
      </c>
      <c r="C12" s="8">
        <v>245</v>
      </c>
      <c r="D12" s="18" t="s">
        <v>129</v>
      </c>
    </row>
    <row r="13" spans="1:5" x14ac:dyDescent="0.2">
      <c r="A13" s="38" t="s">
        <v>130</v>
      </c>
      <c r="B13" s="39">
        <f>B6-B9</f>
        <v>4692.25</v>
      </c>
      <c r="C13" s="8"/>
      <c r="D13" s="18" t="s">
        <v>131</v>
      </c>
    </row>
    <row r="14" spans="1:5" x14ac:dyDescent="0.2">
      <c r="B14" s="35"/>
    </row>
    <row r="15" spans="1:5" x14ac:dyDescent="0.2">
      <c r="A15" s="42" t="s">
        <v>132</v>
      </c>
      <c r="B15" s="43">
        <v>438.04</v>
      </c>
      <c r="C15" s="85" t="s">
        <v>133</v>
      </c>
      <c r="D15" s="85"/>
      <c r="E15" s="85"/>
    </row>
    <row r="16" spans="1:5" x14ac:dyDescent="0.2">
      <c r="A16" s="42" t="s">
        <v>134</v>
      </c>
      <c r="B16" s="43">
        <v>13.2</v>
      </c>
    </row>
    <row r="17" spans="1:5" x14ac:dyDescent="0.2">
      <c r="B17" s="35"/>
    </row>
    <row r="18" spans="1:5" x14ac:dyDescent="0.2">
      <c r="A18" s="44" t="s">
        <v>135</v>
      </c>
      <c r="B18" s="45">
        <v>5043.25</v>
      </c>
      <c r="C18" s="8">
        <v>260</v>
      </c>
    </row>
    <row r="21" spans="1:5" x14ac:dyDescent="0.2">
      <c r="A21" s="86" t="s">
        <v>136</v>
      </c>
      <c r="B21" s="86"/>
      <c r="C21" s="86"/>
      <c r="D21" s="86"/>
      <c r="E21" s="86"/>
    </row>
    <row r="22" spans="1:5" x14ac:dyDescent="0.2">
      <c r="A22" s="86"/>
      <c r="B22" s="86"/>
      <c r="C22" s="86"/>
      <c r="D22" s="86"/>
      <c r="E22" s="86"/>
    </row>
    <row r="23" spans="1:5" x14ac:dyDescent="0.2">
      <c r="A23" s="46" t="s">
        <v>137</v>
      </c>
      <c r="B23" s="47">
        <v>3085.52</v>
      </c>
    </row>
    <row r="24" spans="1:5" x14ac:dyDescent="0.2">
      <c r="A24" s="46" t="s">
        <v>138</v>
      </c>
      <c r="B24" s="47">
        <f>B12</f>
        <v>28040.159999999996</v>
      </c>
    </row>
    <row r="25" spans="1:5" x14ac:dyDescent="0.2">
      <c r="A25" s="48" t="s">
        <v>139</v>
      </c>
      <c r="B25" s="49">
        <f>B23+B24</f>
        <v>31125.679999999997</v>
      </c>
    </row>
    <row r="26" spans="1:5" x14ac:dyDescent="0.2">
      <c r="B26" s="50"/>
    </row>
    <row r="27" spans="1:5" x14ac:dyDescent="0.2">
      <c r="A27" s="51" t="s">
        <v>140</v>
      </c>
      <c r="B27" s="52"/>
    </row>
    <row r="28" spans="1:5" x14ac:dyDescent="0.2">
      <c r="A28" s="51" t="s">
        <v>5</v>
      </c>
      <c r="B28" s="52">
        <f>'2017'!B17</f>
        <v>720.678</v>
      </c>
    </row>
    <row r="29" spans="1:5" x14ac:dyDescent="0.2">
      <c r="A29" s="51" t="s">
        <v>141</v>
      </c>
      <c r="B29" s="52">
        <f>ROUND('2017'!B6/4,2)</f>
        <v>523.22</v>
      </c>
    </row>
    <row r="30" spans="1:5" x14ac:dyDescent="0.2">
      <c r="A30" s="51" t="s">
        <v>160</v>
      </c>
      <c r="B30" s="52">
        <f>'2017'!B20-3457.4</f>
        <v>369.19000000000005</v>
      </c>
      <c r="C30" s="50"/>
    </row>
    <row r="31" spans="1:5" x14ac:dyDescent="0.2">
      <c r="A31" s="53" t="s">
        <v>38</v>
      </c>
      <c r="B31" s="54">
        <f>SUM(B28:B30)</f>
        <v>1613.0880000000002</v>
      </c>
    </row>
    <row r="32" spans="1:5" x14ac:dyDescent="0.2">
      <c r="B32" s="50"/>
    </row>
    <row r="33" spans="1:4" x14ac:dyDescent="0.2">
      <c r="A33" s="48" t="s">
        <v>143</v>
      </c>
      <c r="B33" s="49">
        <f>B25-B31</f>
        <v>29512.591999999997</v>
      </c>
    </row>
    <row r="34" spans="1:4" x14ac:dyDescent="0.2">
      <c r="A34" s="41" t="s">
        <v>144</v>
      </c>
      <c r="B34" s="55">
        <f>ROUND((B33-18000)*0.35+1750,2)</f>
        <v>5779.41</v>
      </c>
      <c r="C34" s="87" t="s">
        <v>145</v>
      </c>
      <c r="D34" s="88"/>
    </row>
    <row r="35" spans="1:4" x14ac:dyDescent="0.2">
      <c r="A35" s="41" t="s">
        <v>146</v>
      </c>
      <c r="B35" s="55">
        <f>ROUND((B13-620)*0.06,2)</f>
        <v>244.34</v>
      </c>
      <c r="C35" s="88" t="s">
        <v>147</v>
      </c>
      <c r="D35" s="88"/>
    </row>
    <row r="36" spans="1:4" x14ac:dyDescent="0.2">
      <c r="A36" s="44" t="s">
        <v>148</v>
      </c>
      <c r="B36" s="56">
        <v>400</v>
      </c>
    </row>
    <row r="37" spans="1:4" x14ac:dyDescent="0.2">
      <c r="B37" s="50"/>
    </row>
    <row r="38" spans="1:4" x14ac:dyDescent="0.2">
      <c r="A38" s="41" t="s">
        <v>149</v>
      </c>
      <c r="B38" s="55">
        <f>B34+B35-B36</f>
        <v>5623.75</v>
      </c>
    </row>
    <row r="39" spans="1:4" x14ac:dyDescent="0.2">
      <c r="A39" s="44" t="s">
        <v>188</v>
      </c>
      <c r="B39" s="56">
        <f>B18</f>
        <v>5043.25</v>
      </c>
    </row>
    <row r="40" spans="1:4" x14ac:dyDescent="0.2">
      <c r="A40" s="18" t="s">
        <v>150</v>
      </c>
      <c r="B40" s="50">
        <v>0.5</v>
      </c>
    </row>
    <row r="41" spans="1:4" x14ac:dyDescent="0.2">
      <c r="B41" s="50"/>
    </row>
    <row r="42" spans="1:4" x14ac:dyDescent="0.2">
      <c r="A42" s="57" t="s">
        <v>151</v>
      </c>
      <c r="B42" s="58">
        <f>B38-B39+B40</f>
        <v>581</v>
      </c>
    </row>
    <row r="43" spans="1:4" x14ac:dyDescent="0.2">
      <c r="B43" s="50"/>
    </row>
    <row r="44" spans="1:4" x14ac:dyDescent="0.2">
      <c r="A44" s="44" t="s">
        <v>185</v>
      </c>
      <c r="B44" s="56">
        <v>769</v>
      </c>
    </row>
    <row r="45" spans="1:4" x14ac:dyDescent="0.2">
      <c r="B45" s="50"/>
    </row>
    <row r="46" spans="1:4" ht="21" x14ac:dyDescent="0.25">
      <c r="A46" s="59" t="s">
        <v>152</v>
      </c>
      <c r="B46" s="60">
        <f>B42-B44</f>
        <v>-188</v>
      </c>
    </row>
    <row r="53" spans="1:2" ht="19" x14ac:dyDescent="0.25">
      <c r="A53" s="83" t="s">
        <v>153</v>
      </c>
      <c r="B53" s="83"/>
    </row>
    <row r="54" spans="1:2" ht="19" x14ac:dyDescent="0.25">
      <c r="A54" s="61" t="s">
        <v>154</v>
      </c>
      <c r="B54" s="62">
        <f>B4</f>
        <v>39896.629999999997</v>
      </c>
    </row>
    <row r="55" spans="1:2" ht="19" x14ac:dyDescent="0.25">
      <c r="A55" s="63" t="s">
        <v>155</v>
      </c>
      <c r="B55" s="64">
        <f>B10</f>
        <v>7164.22</v>
      </c>
    </row>
    <row r="56" spans="1:2" ht="19" x14ac:dyDescent="0.25">
      <c r="A56" s="63" t="s">
        <v>149</v>
      </c>
      <c r="B56" s="65">
        <f>B38</f>
        <v>5623.75</v>
      </c>
    </row>
    <row r="57" spans="1:2" ht="19" x14ac:dyDescent="0.25">
      <c r="A57" s="61" t="s">
        <v>156</v>
      </c>
      <c r="B57" s="66">
        <f>649+413+1534+354+780+154+1180+118+1180+59+1298+708+804+178+1711+118+1357+413-900-39.48</f>
        <v>12068.52</v>
      </c>
    </row>
    <row r="58" spans="1:2" ht="19" x14ac:dyDescent="0.25">
      <c r="A58" s="67"/>
      <c r="B58" s="67"/>
    </row>
    <row r="59" spans="1:2" ht="19" x14ac:dyDescent="0.25">
      <c r="A59" s="68" t="s">
        <v>157</v>
      </c>
      <c r="B59" s="69">
        <f>B54-B55-B56+B57</f>
        <v>39177.179999999993</v>
      </c>
    </row>
  </sheetData>
  <mergeCells count="6">
    <mergeCell ref="A53:B53"/>
    <mergeCell ref="A1:E2"/>
    <mergeCell ref="C15:E15"/>
    <mergeCell ref="A21:E22"/>
    <mergeCell ref="C34:D34"/>
    <mergeCell ref="C35:D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8FC0-D0C6-4D74-AB39-F5E48C7E4AE5}">
  <dimension ref="A1:W105"/>
  <sheetViews>
    <sheetView zoomScale="130" zoomScaleNormal="130" workbookViewId="0">
      <selection activeCell="A16" sqref="A16"/>
    </sheetView>
  </sheetViews>
  <sheetFormatPr baseColWidth="10" defaultColWidth="9.1640625" defaultRowHeight="15" x14ac:dyDescent="0.2"/>
  <cols>
    <col min="1" max="1" width="61.1640625" customWidth="1"/>
    <col min="2" max="13" width="15.6640625" customWidth="1"/>
  </cols>
  <sheetData>
    <row r="1" spans="1:5" ht="19" x14ac:dyDescent="0.25">
      <c r="A1" s="2" t="s">
        <v>2</v>
      </c>
      <c r="B1" s="3"/>
    </row>
    <row r="2" spans="1:5" x14ac:dyDescent="0.2">
      <c r="A2" s="1" t="s">
        <v>0</v>
      </c>
      <c r="B2" s="15">
        <f>B32</f>
        <v>195.95999999999992</v>
      </c>
    </row>
    <row r="3" spans="1:5" x14ac:dyDescent="0.2">
      <c r="A3" s="1" t="s">
        <v>1</v>
      </c>
      <c r="B3" s="15">
        <f>B35</f>
        <v>1381.3799999999999</v>
      </c>
    </row>
    <row r="4" spans="1:5" x14ac:dyDescent="0.2">
      <c r="A4" s="1" t="s">
        <v>49</v>
      </c>
      <c r="B4" s="15">
        <v>312.54000000000002</v>
      </c>
    </row>
    <row r="5" spans="1:5" x14ac:dyDescent="0.2">
      <c r="A5" s="1" t="s">
        <v>52</v>
      </c>
      <c r="B5" s="15">
        <v>202.99</v>
      </c>
    </row>
    <row r="6" spans="1:5" ht="16" x14ac:dyDescent="0.2">
      <c r="A6" s="27" t="s">
        <v>38</v>
      </c>
      <c r="B6" s="30">
        <f>SUM(B2:B5)</f>
        <v>2092.87</v>
      </c>
      <c r="C6" t="s">
        <v>42</v>
      </c>
    </row>
    <row r="7" spans="1:5" x14ac:dyDescent="0.2">
      <c r="B7" s="3"/>
    </row>
    <row r="8" spans="1:5" x14ac:dyDescent="0.2">
      <c r="B8" s="3"/>
    </row>
    <row r="9" spans="1:5" ht="19" x14ac:dyDescent="0.25">
      <c r="A9" s="2" t="s">
        <v>5</v>
      </c>
      <c r="B9" s="3"/>
    </row>
    <row r="10" spans="1:5" x14ac:dyDescent="0.2">
      <c r="A10" t="s">
        <v>6</v>
      </c>
      <c r="B10" s="15">
        <f>B40</f>
        <v>249.47999999999996</v>
      </c>
      <c r="C10" t="s">
        <v>41</v>
      </c>
    </row>
    <row r="11" spans="1:5" x14ac:dyDescent="0.2">
      <c r="A11" t="s">
        <v>7</v>
      </c>
      <c r="B11" s="15">
        <f>B45</f>
        <v>66.858000000000004</v>
      </c>
      <c r="C11" t="s">
        <v>41</v>
      </c>
    </row>
    <row r="12" spans="1:5" x14ac:dyDescent="0.2">
      <c r="A12" t="s">
        <v>8</v>
      </c>
      <c r="B12" s="15">
        <f>B50</f>
        <v>38.4</v>
      </c>
      <c r="C12" t="s">
        <v>56</v>
      </c>
    </row>
    <row r="13" spans="1:5" x14ac:dyDescent="0.2">
      <c r="A13" t="s">
        <v>81</v>
      </c>
      <c r="B13" s="19">
        <f>B54</f>
        <v>63.200000000000024</v>
      </c>
      <c r="C13" t="s">
        <v>41</v>
      </c>
      <c r="E13" s="15"/>
    </row>
    <row r="14" spans="1:5" x14ac:dyDescent="0.2">
      <c r="A14" t="s">
        <v>86</v>
      </c>
      <c r="B14" s="15">
        <f>B61</f>
        <v>193.73</v>
      </c>
      <c r="C14" t="s">
        <v>40</v>
      </c>
      <c r="E14" s="15"/>
    </row>
    <row r="15" spans="1:5" s="18" customFormat="1" x14ac:dyDescent="0.2">
      <c r="A15" s="18" t="s">
        <v>87</v>
      </c>
      <c r="B15" s="15">
        <f>B70</f>
        <v>45.09</v>
      </c>
      <c r="C15" s="18" t="s">
        <v>40</v>
      </c>
    </row>
    <row r="16" spans="1:5" x14ac:dyDescent="0.2">
      <c r="A16" t="s">
        <v>88</v>
      </c>
      <c r="B16" s="15">
        <f>B80</f>
        <v>63.92</v>
      </c>
      <c r="C16" t="s">
        <v>40</v>
      </c>
    </row>
    <row r="17" spans="1:13" ht="16" x14ac:dyDescent="0.2">
      <c r="A17" s="28" t="s">
        <v>38</v>
      </c>
      <c r="B17" s="30">
        <f>SUM(B10:B16)</f>
        <v>720.678</v>
      </c>
    </row>
    <row r="18" spans="1:13" s="18" customFormat="1" x14ac:dyDescent="0.2"/>
    <row r="19" spans="1:13" s="18" customFormat="1" ht="19" x14ac:dyDescent="0.25">
      <c r="A19" s="2" t="s">
        <v>89</v>
      </c>
    </row>
    <row r="20" spans="1:13" s="18" customFormat="1" ht="16" x14ac:dyDescent="0.2">
      <c r="A20" s="28" t="s">
        <v>38</v>
      </c>
      <c r="B20" s="29">
        <f>B105</f>
        <v>3826.59</v>
      </c>
      <c r="C20" s="18" t="s">
        <v>104</v>
      </c>
    </row>
    <row r="21" spans="1:13" x14ac:dyDescent="0.2">
      <c r="B21" s="15"/>
    </row>
    <row r="22" spans="1:13" s="18" customFormat="1" ht="16" x14ac:dyDescent="0.2">
      <c r="A22" s="28" t="s">
        <v>102</v>
      </c>
      <c r="B22" s="31">
        <v>3085.52</v>
      </c>
      <c r="C22" s="18" t="s">
        <v>103</v>
      </c>
    </row>
    <row r="23" spans="1:13" s="18" customFormat="1" x14ac:dyDescent="0.2">
      <c r="B23" s="15"/>
    </row>
    <row r="24" spans="1:13" ht="19" x14ac:dyDescent="0.25">
      <c r="A24" s="2" t="s">
        <v>11</v>
      </c>
      <c r="B24" s="15"/>
    </row>
    <row r="25" spans="1:13" x14ac:dyDescent="0.2">
      <c r="A25" t="s">
        <v>12</v>
      </c>
      <c r="B25" s="23">
        <v>900</v>
      </c>
    </row>
    <row r="26" spans="1:13" x14ac:dyDescent="0.2">
      <c r="A26" t="s">
        <v>37</v>
      </c>
      <c r="B26" s="23">
        <v>39.479999999999997</v>
      </c>
    </row>
    <row r="28" spans="1:13" x14ac:dyDescent="0.2">
      <c r="B28" s="3"/>
    </row>
    <row r="29" spans="1:13" ht="19" x14ac:dyDescent="0.25">
      <c r="A29" s="2" t="s">
        <v>13</v>
      </c>
      <c r="B29" s="3"/>
    </row>
    <row r="30" spans="1:13" x14ac:dyDescent="0.2">
      <c r="B30" s="7" t="s">
        <v>18</v>
      </c>
      <c r="C30" s="8" t="s">
        <v>19</v>
      </c>
      <c r="D30" s="7" t="s">
        <v>20</v>
      </c>
      <c r="E30" s="8" t="s">
        <v>21</v>
      </c>
      <c r="F30" s="7" t="s">
        <v>22</v>
      </c>
      <c r="G30" s="8" t="s">
        <v>23</v>
      </c>
      <c r="H30" s="7" t="s">
        <v>24</v>
      </c>
      <c r="I30" s="8" t="s">
        <v>25</v>
      </c>
      <c r="J30" s="7" t="s">
        <v>26</v>
      </c>
      <c r="K30" s="8" t="s">
        <v>27</v>
      </c>
      <c r="L30" s="7" t="s">
        <v>28</v>
      </c>
      <c r="M30" s="8" t="s">
        <v>29</v>
      </c>
    </row>
    <row r="31" spans="1:13" x14ac:dyDescent="0.2">
      <c r="A31" t="s">
        <v>0</v>
      </c>
      <c r="B31" s="15">
        <v>16.329999999999998</v>
      </c>
      <c r="C31" s="15">
        <v>16.329999999999998</v>
      </c>
      <c r="D31" s="15">
        <v>16.329999999999998</v>
      </c>
      <c r="E31" s="15">
        <v>16.329999999999998</v>
      </c>
      <c r="F31" s="15">
        <v>16.329999999999998</v>
      </c>
      <c r="G31" s="15">
        <v>16.329999999999998</v>
      </c>
      <c r="H31" s="15">
        <v>16.329999999999998</v>
      </c>
      <c r="I31" s="15">
        <v>16.329999999999998</v>
      </c>
      <c r="J31" s="15">
        <v>16.329999999999998</v>
      </c>
      <c r="K31" s="15">
        <v>16.329999999999998</v>
      </c>
      <c r="L31" s="15">
        <v>16.329999999999998</v>
      </c>
      <c r="M31" s="15">
        <v>16.329999999999998</v>
      </c>
    </row>
    <row r="32" spans="1:13" x14ac:dyDescent="0.2">
      <c r="A32" t="s">
        <v>35</v>
      </c>
      <c r="B32" s="16">
        <f>SUM(B31:M31)</f>
        <v>195.95999999999992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x14ac:dyDescent="0.2">
      <c r="B33" s="7" t="s">
        <v>18</v>
      </c>
      <c r="C33" s="8" t="s">
        <v>19</v>
      </c>
      <c r="D33" s="7" t="s">
        <v>20</v>
      </c>
      <c r="E33" s="8" t="s">
        <v>21</v>
      </c>
      <c r="F33" s="7" t="s">
        <v>22</v>
      </c>
      <c r="G33" s="8" t="s">
        <v>23</v>
      </c>
      <c r="H33" s="7" t="s">
        <v>24</v>
      </c>
      <c r="I33" s="8" t="s">
        <v>25</v>
      </c>
      <c r="J33" s="7" t="s">
        <v>26</v>
      </c>
      <c r="K33" s="8" t="s">
        <v>27</v>
      </c>
      <c r="L33" s="7" t="s">
        <v>28</v>
      </c>
      <c r="M33" s="8" t="s">
        <v>29</v>
      </c>
    </row>
    <row r="34" spans="1:13" x14ac:dyDescent="0.2">
      <c r="A34" t="s">
        <v>1</v>
      </c>
      <c r="B34" s="15">
        <v>112.49</v>
      </c>
      <c r="C34" s="15">
        <v>112.49</v>
      </c>
      <c r="D34" s="15">
        <v>112.49</v>
      </c>
      <c r="E34" s="15">
        <v>112.49</v>
      </c>
      <c r="F34" s="15">
        <v>112.49</v>
      </c>
      <c r="G34" s="15">
        <v>116.99</v>
      </c>
      <c r="H34" s="15">
        <v>116.99</v>
      </c>
      <c r="I34" s="15">
        <v>116.99</v>
      </c>
      <c r="J34" s="15">
        <v>116.99</v>
      </c>
      <c r="K34" s="15">
        <v>116.99</v>
      </c>
      <c r="L34" s="15">
        <v>116.99</v>
      </c>
      <c r="M34" s="15">
        <v>116.99</v>
      </c>
    </row>
    <row r="35" spans="1:13" x14ac:dyDescent="0.2">
      <c r="A35" t="s">
        <v>35</v>
      </c>
      <c r="B35" s="16">
        <f>SUM(B34:M34)</f>
        <v>1381.3799999999999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">
      <c r="A37" t="s">
        <v>58</v>
      </c>
      <c r="B37" s="18">
        <f>11*41.15 + 41.65</f>
        <v>494.29999999999995</v>
      </c>
    </row>
    <row r="38" spans="1:13" x14ac:dyDescent="0.2">
      <c r="A38" t="s">
        <v>57</v>
      </c>
      <c r="B38" s="15">
        <v>34.65</v>
      </c>
    </row>
    <row r="39" spans="1:13" x14ac:dyDescent="0.2">
      <c r="A39" t="s">
        <v>16</v>
      </c>
      <c r="B39" s="15">
        <f>12*B38</f>
        <v>415.79999999999995</v>
      </c>
    </row>
    <row r="40" spans="1:13" x14ac:dyDescent="0.2">
      <c r="A40" s="4" t="s">
        <v>17</v>
      </c>
      <c r="B40" s="16">
        <f>0.6*B39</f>
        <v>249.47999999999996</v>
      </c>
    </row>
    <row r="42" spans="1:13" x14ac:dyDescent="0.2">
      <c r="B42" s="7" t="s">
        <v>18</v>
      </c>
      <c r="C42" s="8" t="s">
        <v>19</v>
      </c>
      <c r="D42" s="7" t="s">
        <v>20</v>
      </c>
      <c r="E42" s="8" t="s">
        <v>21</v>
      </c>
      <c r="F42" s="7" t="s">
        <v>22</v>
      </c>
      <c r="G42" s="8" t="s">
        <v>23</v>
      </c>
      <c r="H42" s="7" t="s">
        <v>24</v>
      </c>
      <c r="I42" s="8" t="s">
        <v>25</v>
      </c>
      <c r="J42" s="7" t="s">
        <v>26</v>
      </c>
      <c r="K42" s="8" t="s">
        <v>27</v>
      </c>
      <c r="L42" s="7" t="s">
        <v>28</v>
      </c>
      <c r="M42" s="8" t="s">
        <v>29</v>
      </c>
    </row>
    <row r="43" spans="1:13" x14ac:dyDescent="0.2">
      <c r="A43" t="s">
        <v>100</v>
      </c>
      <c r="B43" s="15">
        <v>12.5</v>
      </c>
      <c r="C43" s="15">
        <v>12.7</v>
      </c>
      <c r="D43" s="15">
        <v>12.7</v>
      </c>
      <c r="E43" s="15">
        <v>12.5</v>
      </c>
      <c r="F43" s="15">
        <v>5.53</v>
      </c>
      <c r="G43" s="15">
        <v>7.9</v>
      </c>
      <c r="H43" s="15">
        <v>7.9</v>
      </c>
      <c r="I43" s="15">
        <v>8.1</v>
      </c>
      <c r="J43" s="15">
        <v>7.9</v>
      </c>
      <c r="K43" s="15">
        <v>7.9</v>
      </c>
      <c r="L43" s="15">
        <v>7.9</v>
      </c>
      <c r="M43" s="15">
        <v>7.9</v>
      </c>
    </row>
    <row r="44" spans="1:13" x14ac:dyDescent="0.2">
      <c r="A44" t="s">
        <v>35</v>
      </c>
      <c r="B44" s="15">
        <f>SUM(B43:M43)</f>
        <v>111.43000000000002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4" t="s">
        <v>17</v>
      </c>
      <c r="B45" s="16">
        <f>0.6*B44</f>
        <v>66.858000000000004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B46" s="3"/>
    </row>
    <row r="47" spans="1:13" x14ac:dyDescent="0.2">
      <c r="A47" t="s">
        <v>32</v>
      </c>
      <c r="B47" s="3"/>
    </row>
    <row r="48" spans="1:13" x14ac:dyDescent="0.2">
      <c r="A48" t="s">
        <v>105</v>
      </c>
      <c r="B48" s="15">
        <v>19.2</v>
      </c>
    </row>
    <row r="49" spans="1:23" x14ac:dyDescent="0.2">
      <c r="A49" t="s">
        <v>106</v>
      </c>
      <c r="B49" s="15">
        <v>19.2</v>
      </c>
    </row>
    <row r="50" spans="1:23" x14ac:dyDescent="0.2">
      <c r="A50" t="s">
        <v>35</v>
      </c>
      <c r="B50" s="16">
        <f>B48+B49</f>
        <v>38.4</v>
      </c>
    </row>
    <row r="51" spans="1:23" x14ac:dyDescent="0.2">
      <c r="B51" s="15"/>
    </row>
    <row r="52" spans="1:23" x14ac:dyDescent="0.2">
      <c r="A52" t="s">
        <v>81</v>
      </c>
      <c r="B52" s="18" t="s">
        <v>59</v>
      </c>
      <c r="C52" s="18" t="s">
        <v>60</v>
      </c>
      <c r="D52" s="18" t="s">
        <v>61</v>
      </c>
      <c r="E52" s="18" t="s">
        <v>62</v>
      </c>
      <c r="F52" s="18" t="s">
        <v>63</v>
      </c>
      <c r="G52" s="18" t="s">
        <v>64</v>
      </c>
      <c r="H52" s="18" t="s">
        <v>65</v>
      </c>
      <c r="I52" s="18" t="s">
        <v>66</v>
      </c>
      <c r="J52" s="18" t="s">
        <v>67</v>
      </c>
      <c r="K52" s="18" t="s">
        <v>68</v>
      </c>
      <c r="L52" s="18" t="s">
        <v>69</v>
      </c>
      <c r="M52" s="18" t="s">
        <v>70</v>
      </c>
      <c r="N52" s="18" t="s">
        <v>71</v>
      </c>
      <c r="O52" s="18" t="s">
        <v>72</v>
      </c>
      <c r="P52" s="18" t="s">
        <v>73</v>
      </c>
      <c r="Q52" s="18" t="s">
        <v>74</v>
      </c>
      <c r="R52" s="18" t="s">
        <v>75</v>
      </c>
      <c r="S52" s="18" t="s">
        <v>76</v>
      </c>
      <c r="T52" s="18" t="s">
        <v>77</v>
      </c>
      <c r="U52" s="18" t="s">
        <v>78</v>
      </c>
      <c r="V52" s="18" t="s">
        <v>79</v>
      </c>
      <c r="W52" s="18" t="s">
        <v>80</v>
      </c>
    </row>
    <row r="53" spans="1:23" x14ac:dyDescent="0.2">
      <c r="A53" t="s">
        <v>82</v>
      </c>
      <c r="B53" s="19">
        <v>3.1</v>
      </c>
      <c r="C53" s="19">
        <v>3.1</v>
      </c>
      <c r="D53" s="19">
        <v>3.1</v>
      </c>
      <c r="E53" s="19">
        <v>3.1</v>
      </c>
      <c r="F53" s="19">
        <v>3.1</v>
      </c>
      <c r="G53" s="19">
        <v>2.1</v>
      </c>
      <c r="H53" s="19">
        <v>3.1</v>
      </c>
      <c r="I53" s="19">
        <v>3.1</v>
      </c>
      <c r="J53" s="19">
        <v>3.1</v>
      </c>
      <c r="K53" s="19">
        <v>3.1</v>
      </c>
      <c r="L53" s="19">
        <v>3.1</v>
      </c>
      <c r="M53" s="19">
        <v>3.1</v>
      </c>
      <c r="N53" s="19">
        <v>2.1</v>
      </c>
      <c r="O53" s="19">
        <v>3.1</v>
      </c>
      <c r="P53" s="19">
        <v>3.1</v>
      </c>
      <c r="Q53" s="19">
        <v>3.1</v>
      </c>
      <c r="R53" s="19">
        <v>2.1</v>
      </c>
      <c r="S53" s="19">
        <v>2.1</v>
      </c>
      <c r="T53" s="19">
        <v>2.1</v>
      </c>
      <c r="U53" s="19">
        <v>3.1</v>
      </c>
      <c r="V53" s="19">
        <v>3.1</v>
      </c>
      <c r="W53" s="19">
        <v>3.1</v>
      </c>
    </row>
    <row r="54" spans="1:23" x14ac:dyDescent="0.2">
      <c r="A54" t="s">
        <v>35</v>
      </c>
      <c r="B54" s="17">
        <f>SUM(B53:W53)</f>
        <v>63.200000000000024</v>
      </c>
    </row>
    <row r="56" spans="1:23" x14ac:dyDescent="0.2">
      <c r="A56" t="s">
        <v>54</v>
      </c>
    </row>
    <row r="57" spans="1:23" s="18" customFormat="1" x14ac:dyDescent="0.2">
      <c r="A57" s="18" t="s">
        <v>83</v>
      </c>
      <c r="B57" s="22">
        <v>968.63</v>
      </c>
    </row>
    <row r="58" spans="1:23" s="18" customFormat="1" x14ac:dyDescent="0.2">
      <c r="A58" s="4" t="s">
        <v>17</v>
      </c>
      <c r="B58" s="22">
        <f>B57*0.6</f>
        <v>581.178</v>
      </c>
    </row>
    <row r="59" spans="1:23" s="18" customFormat="1" x14ac:dyDescent="0.2"/>
    <row r="60" spans="1:23" x14ac:dyDescent="0.2">
      <c r="A60">
        <v>2016</v>
      </c>
      <c r="B60" s="15">
        <v>96.86</v>
      </c>
    </row>
    <row r="61" spans="1:23" x14ac:dyDescent="0.2">
      <c r="A61">
        <v>2017</v>
      </c>
      <c r="B61" s="16">
        <v>193.73</v>
      </c>
      <c r="H61" s="19"/>
    </row>
    <row r="62" spans="1:23" x14ac:dyDescent="0.2">
      <c r="A62">
        <v>2018</v>
      </c>
      <c r="B62" s="15">
        <v>193.73</v>
      </c>
      <c r="H62" s="19"/>
    </row>
    <row r="63" spans="1:23" x14ac:dyDescent="0.2">
      <c r="A63">
        <v>2019</v>
      </c>
      <c r="B63" s="15">
        <v>96.86</v>
      </c>
      <c r="H63" s="19"/>
    </row>
    <row r="64" spans="1:23" x14ac:dyDescent="0.2">
      <c r="B64" s="15">
        <f>SUM(B60:B63)</f>
        <v>581.17999999999995</v>
      </c>
      <c r="H64" s="19"/>
    </row>
    <row r="66" spans="1:8" x14ac:dyDescent="0.2">
      <c r="A66" s="18" t="s">
        <v>84</v>
      </c>
      <c r="H66" s="19"/>
    </row>
    <row r="67" spans="1:8" x14ac:dyDescent="0.2">
      <c r="A67" t="s">
        <v>83</v>
      </c>
      <c r="B67" s="15">
        <v>450.97</v>
      </c>
      <c r="H67" s="19"/>
    </row>
    <row r="68" spans="1:8" x14ac:dyDescent="0.2">
      <c r="A68" s="4" t="s">
        <v>17</v>
      </c>
      <c r="B68" s="15">
        <f>B67*0.6</f>
        <v>270.58199999999999</v>
      </c>
      <c r="H68" s="19"/>
    </row>
    <row r="69" spans="1:8" x14ac:dyDescent="0.2">
      <c r="B69" s="15"/>
      <c r="H69" s="19"/>
    </row>
    <row r="70" spans="1:8" x14ac:dyDescent="0.2">
      <c r="A70" s="18">
        <v>2017</v>
      </c>
      <c r="B70" s="16">
        <v>45.09</v>
      </c>
      <c r="H70" s="19"/>
    </row>
    <row r="71" spans="1:8" x14ac:dyDescent="0.2">
      <c r="A71" s="18">
        <v>2018</v>
      </c>
      <c r="B71" s="15">
        <v>90.2</v>
      </c>
      <c r="H71" s="19"/>
    </row>
    <row r="72" spans="1:8" x14ac:dyDescent="0.2">
      <c r="A72" s="18">
        <v>2019</v>
      </c>
      <c r="B72" s="15">
        <v>90.2</v>
      </c>
      <c r="H72" s="19"/>
    </row>
    <row r="73" spans="1:8" x14ac:dyDescent="0.2">
      <c r="A73">
        <v>2020</v>
      </c>
      <c r="B73" s="15">
        <v>45.09</v>
      </c>
      <c r="H73" s="19"/>
    </row>
    <row r="74" spans="1:8" x14ac:dyDescent="0.2">
      <c r="B74" s="15">
        <f>SUM(B70:B73)</f>
        <v>270.58000000000004</v>
      </c>
      <c r="H74" s="19"/>
    </row>
    <row r="75" spans="1:8" x14ac:dyDescent="0.2">
      <c r="H75" s="19"/>
    </row>
    <row r="76" spans="1:8" x14ac:dyDescent="0.2">
      <c r="A76" s="18" t="s">
        <v>85</v>
      </c>
      <c r="B76" s="18"/>
      <c r="H76" s="19"/>
    </row>
    <row r="77" spans="1:8" x14ac:dyDescent="0.2">
      <c r="A77" s="18" t="s">
        <v>83</v>
      </c>
      <c r="B77" s="15">
        <v>639.20000000000005</v>
      </c>
      <c r="H77" s="19"/>
    </row>
    <row r="78" spans="1:8" x14ac:dyDescent="0.2">
      <c r="A78" s="4" t="s">
        <v>17</v>
      </c>
      <c r="B78" s="15">
        <f>B77*0.6</f>
        <v>383.52000000000004</v>
      </c>
      <c r="H78" s="19"/>
    </row>
    <row r="79" spans="1:8" x14ac:dyDescent="0.2">
      <c r="H79" s="19"/>
    </row>
    <row r="80" spans="1:8" x14ac:dyDescent="0.2">
      <c r="A80" s="18">
        <v>2017</v>
      </c>
      <c r="B80" s="16">
        <v>63.92</v>
      </c>
      <c r="H80" s="19"/>
    </row>
    <row r="81" spans="1:8" x14ac:dyDescent="0.2">
      <c r="A81" s="18">
        <v>2018</v>
      </c>
      <c r="B81" s="15">
        <v>127.84</v>
      </c>
      <c r="H81" s="19"/>
    </row>
    <row r="82" spans="1:8" x14ac:dyDescent="0.2">
      <c r="A82" s="18">
        <v>2019</v>
      </c>
      <c r="B82" s="15">
        <v>127.84</v>
      </c>
    </row>
    <row r="83" spans="1:8" x14ac:dyDescent="0.2">
      <c r="A83" s="18">
        <v>2020</v>
      </c>
      <c r="B83" s="15">
        <v>63.92</v>
      </c>
    </row>
    <row r="84" spans="1:8" x14ac:dyDescent="0.2">
      <c r="B84" s="15">
        <f>SUM(B80:B83)</f>
        <v>383.52000000000004</v>
      </c>
    </row>
    <row r="86" spans="1:8" x14ac:dyDescent="0.2">
      <c r="A86" s="26" t="s">
        <v>101</v>
      </c>
    </row>
    <row r="87" spans="1:8" x14ac:dyDescent="0.2">
      <c r="B87" s="24">
        <v>42740</v>
      </c>
      <c r="C87" s="24">
        <v>42765</v>
      </c>
      <c r="D87" s="24">
        <v>42822</v>
      </c>
      <c r="E87" s="24">
        <v>42979</v>
      </c>
      <c r="F87" s="24">
        <v>43060</v>
      </c>
    </row>
    <row r="88" spans="1:8" x14ac:dyDescent="0.2">
      <c r="A88" t="s">
        <v>90</v>
      </c>
      <c r="B88" s="20">
        <v>4.4000000000000004</v>
      </c>
      <c r="C88" s="20">
        <v>2.6</v>
      </c>
      <c r="D88" s="20">
        <v>4.4000000000000004</v>
      </c>
      <c r="E88" s="20">
        <v>4.4000000000000004</v>
      </c>
      <c r="F88" s="20">
        <v>4.4000000000000004</v>
      </c>
    </row>
    <row r="89" spans="1:8" x14ac:dyDescent="0.2">
      <c r="A89" t="s">
        <v>38</v>
      </c>
      <c r="B89" s="20">
        <f>SUM(B88:F88)</f>
        <v>20.200000000000003</v>
      </c>
    </row>
    <row r="91" spans="1:8" x14ac:dyDescent="0.2">
      <c r="A91" t="s">
        <v>92</v>
      </c>
      <c r="B91" s="24">
        <v>42747</v>
      </c>
      <c r="C91" s="24">
        <v>42749</v>
      </c>
      <c r="D91" s="24">
        <v>42895</v>
      </c>
      <c r="E91" s="24">
        <v>43042</v>
      </c>
      <c r="F91" s="24">
        <v>43064</v>
      </c>
      <c r="G91" s="24">
        <v>43085</v>
      </c>
      <c r="H91" s="24">
        <v>43074</v>
      </c>
    </row>
    <row r="92" spans="1:8" x14ac:dyDescent="0.2">
      <c r="A92" t="s">
        <v>91</v>
      </c>
      <c r="B92" s="21">
        <v>10</v>
      </c>
      <c r="C92" s="21">
        <v>6.16</v>
      </c>
      <c r="D92" s="21">
        <v>13.6</v>
      </c>
      <c r="E92" s="21">
        <v>8.9</v>
      </c>
      <c r="F92" s="21">
        <v>27.9</v>
      </c>
      <c r="G92" s="21">
        <v>21.7</v>
      </c>
      <c r="H92" s="21">
        <f>9.1+7.61+5.78+8.59</f>
        <v>31.080000000000002</v>
      </c>
    </row>
    <row r="93" spans="1:8" x14ac:dyDescent="0.2">
      <c r="A93" s="18" t="s">
        <v>38</v>
      </c>
      <c r="B93" s="21">
        <f>SUM(B92:H92)</f>
        <v>119.34</v>
      </c>
    </row>
    <row r="95" spans="1:8" x14ac:dyDescent="0.2">
      <c r="A95" t="s">
        <v>93</v>
      </c>
      <c r="B95" s="15">
        <v>350</v>
      </c>
    </row>
    <row r="96" spans="1:8" x14ac:dyDescent="0.2">
      <c r="A96" t="s">
        <v>94</v>
      </c>
      <c r="B96" s="15">
        <v>164.15</v>
      </c>
    </row>
    <row r="97" spans="1:2" x14ac:dyDescent="0.2">
      <c r="A97" s="18" t="s">
        <v>83</v>
      </c>
      <c r="B97" s="15">
        <f>B95-B96</f>
        <v>185.85</v>
      </c>
    </row>
    <row r="99" spans="1:2" x14ac:dyDescent="0.2">
      <c r="A99" t="s">
        <v>95</v>
      </c>
      <c r="B99">
        <v>3700</v>
      </c>
    </row>
    <row r="100" spans="1:2" x14ac:dyDescent="0.2">
      <c r="A100" s="18" t="s">
        <v>96</v>
      </c>
      <c r="B100" s="15">
        <v>347.2</v>
      </c>
    </row>
    <row r="101" spans="1:2" x14ac:dyDescent="0.2">
      <c r="A101" s="18" t="s">
        <v>97</v>
      </c>
      <c r="B101" s="15">
        <v>500</v>
      </c>
    </row>
    <row r="102" spans="1:2" x14ac:dyDescent="0.2">
      <c r="A102" s="18" t="s">
        <v>98</v>
      </c>
      <c r="B102" s="15">
        <v>351.6</v>
      </c>
    </row>
    <row r="103" spans="1:2" x14ac:dyDescent="0.2">
      <c r="A103" s="18" t="s">
        <v>83</v>
      </c>
      <c r="B103" s="15">
        <f>B99-B100+B101-B102</f>
        <v>3501.2000000000003</v>
      </c>
    </row>
    <row r="105" spans="1:2" x14ac:dyDescent="0.2">
      <c r="A105" t="s">
        <v>99</v>
      </c>
      <c r="B105" s="25">
        <f>B89+B93+B97+B103</f>
        <v>3826.59</v>
      </c>
    </row>
  </sheetData>
  <pageMargins left="0.7" right="0.7" top="0.75" bottom="0.75" header="0.3" footer="0.3"/>
  <pageSetup paperSize="9" orientation="portrait" r:id="rId1"/>
  <ignoredErrors>
    <ignoredError sqref="Q52 B52:P52 R52:W52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6AC0-A2E5-4515-AB93-50385575C6F7}">
  <dimension ref="A1:K59"/>
  <sheetViews>
    <sheetView topLeftCell="A33" zoomScale="150" zoomScaleNormal="150" workbookViewId="0">
      <selection activeCell="C42" sqref="C42"/>
    </sheetView>
  </sheetViews>
  <sheetFormatPr baseColWidth="10" defaultColWidth="9.1640625" defaultRowHeight="15" x14ac:dyDescent="0.2"/>
  <cols>
    <col min="1" max="1" width="57.83203125" style="18" customWidth="1"/>
    <col min="2" max="2" width="21.6640625" style="18" customWidth="1"/>
    <col min="3" max="3" width="13.83203125" style="18" customWidth="1"/>
    <col min="4" max="4" width="17.83203125" style="18" customWidth="1"/>
    <col min="5" max="5" width="45" style="18" customWidth="1"/>
    <col min="6" max="6" width="9.1640625" style="18"/>
    <col min="7" max="7" width="58.6640625" style="18" customWidth="1"/>
    <col min="8" max="8" width="13.6640625" style="18" customWidth="1"/>
    <col min="9" max="9" width="10" style="18" customWidth="1"/>
    <col min="10" max="10" width="15.1640625" style="18" customWidth="1"/>
    <col min="11" max="11" width="40.6640625" style="18" customWidth="1"/>
    <col min="12" max="16384" width="9.1640625" style="18"/>
  </cols>
  <sheetData>
    <row r="1" spans="1:11" x14ac:dyDescent="0.2">
      <c r="A1" s="84" t="s">
        <v>161</v>
      </c>
      <c r="B1" s="84"/>
      <c r="C1" s="84"/>
      <c r="D1" s="84"/>
      <c r="E1" s="84"/>
      <c r="G1" s="84" t="s">
        <v>162</v>
      </c>
      <c r="H1" s="84"/>
      <c r="I1" s="84"/>
      <c r="J1" s="84"/>
      <c r="K1" s="84"/>
    </row>
    <row r="2" spans="1:11" x14ac:dyDescent="0.2">
      <c r="A2" s="84"/>
      <c r="B2" s="84"/>
      <c r="C2" s="84"/>
      <c r="D2" s="84"/>
      <c r="E2" s="84"/>
      <c r="G2" s="84"/>
      <c r="H2" s="84"/>
      <c r="I2" s="84"/>
      <c r="J2" s="84"/>
      <c r="K2" s="84"/>
    </row>
    <row r="3" spans="1:11" x14ac:dyDescent="0.2">
      <c r="C3" s="8" t="s">
        <v>118</v>
      </c>
      <c r="I3" s="70" t="s">
        <v>118</v>
      </c>
    </row>
    <row r="4" spans="1:11" x14ac:dyDescent="0.2">
      <c r="A4" s="18" t="s">
        <v>119</v>
      </c>
      <c r="B4" s="35">
        <v>6484.81</v>
      </c>
      <c r="C4" s="8">
        <v>210</v>
      </c>
      <c r="G4" s="18" t="s">
        <v>163</v>
      </c>
      <c r="H4" s="35">
        <v>43236.65</v>
      </c>
      <c r="I4" s="70">
        <v>210</v>
      </c>
    </row>
    <row r="5" spans="1:11" x14ac:dyDescent="0.2">
      <c r="A5" s="36" t="s">
        <v>120</v>
      </c>
      <c r="B5" s="37">
        <f>B4-B6</f>
        <v>5735.21</v>
      </c>
      <c r="C5" s="8"/>
      <c r="G5" s="36" t="s">
        <v>164</v>
      </c>
      <c r="H5" s="37">
        <f>H4-H6</f>
        <v>37119.910000000003</v>
      </c>
      <c r="I5" s="70"/>
    </row>
    <row r="6" spans="1:11" x14ac:dyDescent="0.2">
      <c r="A6" s="38" t="s">
        <v>121</v>
      </c>
      <c r="B6" s="39">
        <v>749.6</v>
      </c>
      <c r="C6" s="8">
        <v>220</v>
      </c>
      <c r="G6" s="38" t="s">
        <v>121</v>
      </c>
      <c r="H6" s="39">
        <v>6116.74</v>
      </c>
      <c r="I6" s="70">
        <v>220</v>
      </c>
    </row>
    <row r="7" spans="1:11" x14ac:dyDescent="0.2">
      <c r="B7" s="35"/>
      <c r="C7" s="8"/>
      <c r="H7" s="35"/>
      <c r="I7" s="70"/>
    </row>
    <row r="8" spans="1:11" x14ac:dyDescent="0.2">
      <c r="A8" s="36" t="s">
        <v>122</v>
      </c>
      <c r="B8" s="37">
        <v>767.28</v>
      </c>
      <c r="C8" s="8">
        <v>230</v>
      </c>
      <c r="D8" s="40">
        <f>ROUND(B5*0.1812,2)</f>
        <v>1039.22</v>
      </c>
      <c r="E8" s="41" t="s">
        <v>123</v>
      </c>
      <c r="G8" s="36" t="s">
        <v>122</v>
      </c>
      <c r="H8" s="37">
        <v>6794.81</v>
      </c>
      <c r="I8" s="70">
        <v>230</v>
      </c>
      <c r="J8" s="40">
        <f>ROUND(H5*0.1812,2)</f>
        <v>6726.13</v>
      </c>
      <c r="K8" s="41" t="s">
        <v>123</v>
      </c>
    </row>
    <row r="9" spans="1:11" x14ac:dyDescent="0.2">
      <c r="A9" s="38" t="s">
        <v>124</v>
      </c>
      <c r="B9" s="39">
        <v>105.84</v>
      </c>
      <c r="C9" s="8">
        <v>225</v>
      </c>
      <c r="D9" s="40">
        <f>ROUND(B6*0.1712,2)</f>
        <v>128.33000000000001</v>
      </c>
      <c r="E9" s="41" t="s">
        <v>125</v>
      </c>
      <c r="G9" s="38" t="s">
        <v>124</v>
      </c>
      <c r="H9" s="39">
        <v>939.07</v>
      </c>
      <c r="I9" s="70">
        <v>225</v>
      </c>
      <c r="J9" s="40">
        <f>ROUND(H6*0.1712,2)</f>
        <v>1047.19</v>
      </c>
      <c r="K9" s="41" t="s">
        <v>125</v>
      </c>
    </row>
    <row r="10" spans="1:11" x14ac:dyDescent="0.2">
      <c r="A10" s="18" t="s">
        <v>126</v>
      </c>
      <c r="B10" s="35">
        <f>B8+B9</f>
        <v>873.12</v>
      </c>
      <c r="C10" s="8"/>
      <c r="D10" s="40">
        <f>D8+D9</f>
        <v>1167.55</v>
      </c>
      <c r="E10" s="41" t="s">
        <v>127</v>
      </c>
      <c r="G10" s="18" t="s">
        <v>126</v>
      </c>
      <c r="H10" s="35">
        <f>H8+H9</f>
        <v>7733.88</v>
      </c>
      <c r="I10" s="70"/>
      <c r="J10" s="40">
        <f>J8+J9</f>
        <v>7773.32</v>
      </c>
      <c r="K10" s="41" t="s">
        <v>127</v>
      </c>
    </row>
    <row r="11" spans="1:11" x14ac:dyDescent="0.2">
      <c r="B11" s="35"/>
      <c r="C11" s="8"/>
      <c r="H11" s="35"/>
      <c r="I11" s="70"/>
    </row>
    <row r="12" spans="1:11" x14ac:dyDescent="0.2">
      <c r="A12" s="36" t="s">
        <v>128</v>
      </c>
      <c r="B12" s="37">
        <f>B5-B8</f>
        <v>4967.93</v>
      </c>
      <c r="C12" s="8">
        <v>245</v>
      </c>
      <c r="D12" s="18" t="s">
        <v>129</v>
      </c>
      <c r="G12" s="36" t="s">
        <v>165</v>
      </c>
      <c r="H12" s="37">
        <f>H5-H8</f>
        <v>30325.100000000002</v>
      </c>
      <c r="I12" s="70">
        <v>245</v>
      </c>
      <c r="J12" s="18" t="s">
        <v>129</v>
      </c>
    </row>
    <row r="13" spans="1:11" x14ac:dyDescent="0.2">
      <c r="A13" s="38" t="s">
        <v>130</v>
      </c>
      <c r="B13" s="39">
        <f>B6-B9</f>
        <v>643.76</v>
      </c>
      <c r="C13" s="8"/>
      <c r="D13" s="18" t="s">
        <v>131</v>
      </c>
      <c r="G13" s="38" t="s">
        <v>130</v>
      </c>
      <c r="H13" s="39">
        <f>H6-H9</f>
        <v>5177.67</v>
      </c>
      <c r="I13" s="70"/>
      <c r="J13" s="18" t="s">
        <v>131</v>
      </c>
    </row>
    <row r="14" spans="1:11" x14ac:dyDescent="0.2">
      <c r="B14" s="35"/>
      <c r="H14" s="35"/>
    </row>
    <row r="15" spans="1:11" x14ac:dyDescent="0.2">
      <c r="A15" s="42" t="s">
        <v>132</v>
      </c>
      <c r="B15" s="43">
        <v>1535.69</v>
      </c>
      <c r="C15" s="85" t="s">
        <v>133</v>
      </c>
      <c r="D15" s="85"/>
      <c r="E15" s="85"/>
      <c r="G15" s="42" t="s">
        <v>132</v>
      </c>
      <c r="H15" s="43">
        <v>413.13</v>
      </c>
      <c r="I15" s="85" t="s">
        <v>133</v>
      </c>
      <c r="J15" s="85"/>
      <c r="K15" s="85"/>
    </row>
    <row r="16" spans="1:11" x14ac:dyDescent="0.2">
      <c r="A16" s="42" t="s">
        <v>134</v>
      </c>
      <c r="B16" s="43">
        <v>0</v>
      </c>
      <c r="G16" s="42" t="s">
        <v>134</v>
      </c>
      <c r="H16" s="43">
        <v>261</v>
      </c>
    </row>
    <row r="17" spans="1:9" x14ac:dyDescent="0.2">
      <c r="B17" s="35"/>
      <c r="H17" s="35"/>
    </row>
    <row r="18" spans="1:9" x14ac:dyDescent="0.2">
      <c r="A18" s="44" t="s">
        <v>135</v>
      </c>
      <c r="B18" s="45">
        <v>22.76</v>
      </c>
      <c r="C18" s="8">
        <v>260</v>
      </c>
      <c r="G18" s="44" t="s">
        <v>135</v>
      </c>
      <c r="H18" s="45">
        <v>5888.01</v>
      </c>
      <c r="I18" s="70">
        <v>260</v>
      </c>
    </row>
    <row r="21" spans="1:9" x14ac:dyDescent="0.2">
      <c r="A21" s="86" t="s">
        <v>158</v>
      </c>
      <c r="B21" s="86"/>
      <c r="C21" s="86"/>
      <c r="D21" s="86"/>
      <c r="E21" s="86"/>
    </row>
    <row r="22" spans="1:9" x14ac:dyDescent="0.2">
      <c r="A22" s="86"/>
      <c r="B22" s="86"/>
      <c r="C22" s="86"/>
      <c r="D22" s="86"/>
      <c r="E22" s="86"/>
    </row>
    <row r="23" spans="1:9" x14ac:dyDescent="0.2">
      <c r="A23" s="46" t="s">
        <v>137</v>
      </c>
      <c r="B23" s="47">
        <f>'2018'!B22</f>
        <v>2809.02</v>
      </c>
    </row>
    <row r="24" spans="1:9" x14ac:dyDescent="0.2">
      <c r="A24" s="36" t="s">
        <v>166</v>
      </c>
      <c r="B24" s="47">
        <f>B12+H12</f>
        <v>35293.03</v>
      </c>
    </row>
    <row r="25" spans="1:9" x14ac:dyDescent="0.2">
      <c r="A25" s="48" t="s">
        <v>139</v>
      </c>
      <c r="B25" s="49">
        <f>B23+B24</f>
        <v>38102.049999999996</v>
      </c>
    </row>
    <row r="26" spans="1:9" x14ac:dyDescent="0.2">
      <c r="B26" s="50"/>
    </row>
    <row r="27" spans="1:9" x14ac:dyDescent="0.2">
      <c r="A27" s="51" t="s">
        <v>140</v>
      </c>
      <c r="B27" s="52"/>
    </row>
    <row r="28" spans="1:9" x14ac:dyDescent="0.2">
      <c r="A28" s="51" t="s">
        <v>5</v>
      </c>
      <c r="B28" s="52">
        <f>'2018'!B17</f>
        <v>828.53600000000006</v>
      </c>
    </row>
    <row r="29" spans="1:9" x14ac:dyDescent="0.2">
      <c r="A29" s="51" t="s">
        <v>141</v>
      </c>
      <c r="B29" s="52">
        <f>(60000-(B25-B28))* ('2018'!B6/4- 60) / 23600+60</f>
        <v>523.8634685404661</v>
      </c>
      <c r="C29" s="50"/>
      <c r="D29" s="50"/>
    </row>
    <row r="30" spans="1:9" x14ac:dyDescent="0.2">
      <c r="A30" s="51" t="s">
        <v>142</v>
      </c>
      <c r="B30" s="52">
        <f>'2018'!B20-(B25+B13+H13-B28-B29)*0.12</f>
        <v>3618.3403362248573</v>
      </c>
      <c r="C30" s="50"/>
    </row>
    <row r="31" spans="1:9" x14ac:dyDescent="0.2">
      <c r="A31" s="53" t="s">
        <v>38</v>
      </c>
      <c r="B31" s="54">
        <f>SUM(B28:B30)</f>
        <v>4970.7398047653232</v>
      </c>
    </row>
    <row r="32" spans="1:9" x14ac:dyDescent="0.2">
      <c r="B32" s="50"/>
    </row>
    <row r="33" spans="1:4" x14ac:dyDescent="0.2">
      <c r="A33" s="48" t="s">
        <v>143</v>
      </c>
      <c r="B33" s="49">
        <f>B25-B31</f>
        <v>33131.31019523467</v>
      </c>
    </row>
    <row r="34" spans="1:4" x14ac:dyDescent="0.2">
      <c r="A34" s="41" t="s">
        <v>144</v>
      </c>
      <c r="B34" s="55">
        <f>ROUND((B33-31000)*0.42+6300,2)</f>
        <v>7195.15</v>
      </c>
      <c r="C34" s="87" t="s">
        <v>169</v>
      </c>
      <c r="D34" s="88"/>
    </row>
    <row r="35" spans="1:4" x14ac:dyDescent="0.2">
      <c r="A35" s="41" t="s">
        <v>146</v>
      </c>
      <c r="B35" s="55">
        <f>ROUND((B13+H13-620)*0.06,2)</f>
        <v>312.08999999999997</v>
      </c>
      <c r="C35" s="88" t="s">
        <v>147</v>
      </c>
      <c r="D35" s="88"/>
    </row>
    <row r="36" spans="1:4" x14ac:dyDescent="0.2">
      <c r="A36" s="44" t="s">
        <v>148</v>
      </c>
      <c r="B36" s="56">
        <v>400</v>
      </c>
    </row>
    <row r="37" spans="1:4" x14ac:dyDescent="0.2">
      <c r="B37" s="50"/>
    </row>
    <row r="38" spans="1:4" x14ac:dyDescent="0.2">
      <c r="A38" s="41" t="s">
        <v>149</v>
      </c>
      <c r="B38" s="55">
        <f>B34+B35-B36</f>
        <v>7107.24</v>
      </c>
    </row>
    <row r="39" spans="1:4" x14ac:dyDescent="0.2">
      <c r="A39" s="44" t="s">
        <v>187</v>
      </c>
      <c r="B39" s="56">
        <f>B18+H18</f>
        <v>5910.77</v>
      </c>
    </row>
    <row r="40" spans="1:4" x14ac:dyDescent="0.2">
      <c r="A40" s="18" t="s">
        <v>150</v>
      </c>
      <c r="B40" s="50">
        <v>-0.47</v>
      </c>
    </row>
    <row r="41" spans="1:4" x14ac:dyDescent="0.2">
      <c r="B41" s="50"/>
    </row>
    <row r="42" spans="1:4" x14ac:dyDescent="0.2">
      <c r="A42" s="57" t="s">
        <v>213</v>
      </c>
      <c r="B42" s="58">
        <f>B38-B39+B40</f>
        <v>1195.9999999999993</v>
      </c>
      <c r="C42" s="72"/>
    </row>
    <row r="43" spans="1:4" x14ac:dyDescent="0.2">
      <c r="B43" s="50"/>
    </row>
    <row r="44" spans="1:4" x14ac:dyDescent="0.2">
      <c r="A44" s="44" t="s">
        <v>186</v>
      </c>
      <c r="B44" s="56">
        <v>604</v>
      </c>
    </row>
    <row r="45" spans="1:4" x14ac:dyDescent="0.2">
      <c r="B45" s="50"/>
    </row>
    <row r="46" spans="1:4" ht="21" x14ac:dyDescent="0.25">
      <c r="A46" s="59" t="s">
        <v>152</v>
      </c>
      <c r="B46" s="60">
        <f>B42-B44</f>
        <v>591.99999999999932</v>
      </c>
    </row>
    <row r="53" spans="1:2" ht="19" x14ac:dyDescent="0.25">
      <c r="A53" s="83" t="s">
        <v>167</v>
      </c>
      <c r="B53" s="83"/>
    </row>
    <row r="54" spans="1:2" ht="19" x14ac:dyDescent="0.25">
      <c r="A54" s="61" t="s">
        <v>168</v>
      </c>
      <c r="B54" s="62">
        <f>B4+H4</f>
        <v>49721.46</v>
      </c>
    </row>
    <row r="55" spans="1:2" ht="19" x14ac:dyDescent="0.25">
      <c r="A55" s="63" t="s">
        <v>155</v>
      </c>
      <c r="B55" s="64">
        <f>B10+H10</f>
        <v>8607</v>
      </c>
    </row>
    <row r="56" spans="1:2" ht="19" x14ac:dyDescent="0.25">
      <c r="A56" s="63" t="s">
        <v>149</v>
      </c>
      <c r="B56" s="65">
        <f>B38</f>
        <v>7107.24</v>
      </c>
    </row>
    <row r="57" spans="1:2" ht="19" x14ac:dyDescent="0.25">
      <c r="A57" s="61" t="s">
        <v>156</v>
      </c>
      <c r="B57" s="66">
        <f>1150.5+1888+885+1003+1180+1158+649+1947-920-49.48</f>
        <v>8891.02</v>
      </c>
    </row>
    <row r="58" spans="1:2" ht="19" x14ac:dyDescent="0.25">
      <c r="A58" s="67"/>
      <c r="B58" s="67"/>
    </row>
    <row r="59" spans="1:2" ht="19" x14ac:dyDescent="0.25">
      <c r="A59" s="68" t="s">
        <v>157</v>
      </c>
      <c r="B59" s="69">
        <f>B54-B55-B56+B57</f>
        <v>42898.240000000005</v>
      </c>
    </row>
  </sheetData>
  <mergeCells count="8">
    <mergeCell ref="G1:K2"/>
    <mergeCell ref="I15:K15"/>
    <mergeCell ref="A53:B53"/>
    <mergeCell ref="A1:E2"/>
    <mergeCell ref="C15:E15"/>
    <mergeCell ref="A21:E22"/>
    <mergeCell ref="C34:D34"/>
    <mergeCell ref="C35:D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BE74-07B4-4F31-90C0-D9DEAC75AB3C}">
  <dimension ref="A1:Z106"/>
  <sheetViews>
    <sheetView zoomScale="130" zoomScaleNormal="130" workbookViewId="0">
      <selection activeCell="C12" sqref="C12"/>
    </sheetView>
  </sheetViews>
  <sheetFormatPr baseColWidth="10" defaultColWidth="9.1640625" defaultRowHeight="15" x14ac:dyDescent="0.2"/>
  <cols>
    <col min="1" max="1" width="61.1640625" style="18" customWidth="1"/>
    <col min="2" max="13" width="15.6640625" style="18" customWidth="1"/>
    <col min="14" max="16384" width="9.1640625" style="18"/>
  </cols>
  <sheetData>
    <row r="1" spans="1:5" ht="19" x14ac:dyDescent="0.25">
      <c r="A1" s="2" t="s">
        <v>2</v>
      </c>
      <c r="B1" s="3"/>
    </row>
    <row r="2" spans="1:5" x14ac:dyDescent="0.2">
      <c r="A2" s="1" t="s">
        <v>0</v>
      </c>
      <c r="B2" s="15">
        <f>B32</f>
        <v>200.16000000000005</v>
      </c>
    </row>
    <row r="3" spans="1:5" x14ac:dyDescent="0.2">
      <c r="A3" s="1" t="s">
        <v>1</v>
      </c>
      <c r="B3" s="15">
        <f>B35</f>
        <v>1436.64</v>
      </c>
    </row>
    <row r="4" spans="1:5" x14ac:dyDescent="0.2">
      <c r="A4" s="1" t="s">
        <v>49</v>
      </c>
      <c r="B4" s="15">
        <v>318.79000000000002</v>
      </c>
    </row>
    <row r="5" spans="1:5" x14ac:dyDescent="0.2">
      <c r="A5" s="1" t="s">
        <v>52</v>
      </c>
      <c r="B5" s="15">
        <v>211.18</v>
      </c>
    </row>
    <row r="6" spans="1:5" ht="16" x14ac:dyDescent="0.2">
      <c r="A6" s="27" t="s">
        <v>38</v>
      </c>
      <c r="B6" s="30">
        <f>SUM(B2:B5)</f>
        <v>2166.77</v>
      </c>
      <c r="C6" s="18" t="s">
        <v>42</v>
      </c>
    </row>
    <row r="7" spans="1:5" x14ac:dyDescent="0.2">
      <c r="B7" s="3"/>
    </row>
    <row r="8" spans="1:5" x14ac:dyDescent="0.2">
      <c r="B8" s="3"/>
    </row>
    <row r="9" spans="1:5" ht="19" x14ac:dyDescent="0.25">
      <c r="A9" s="2" t="s">
        <v>5</v>
      </c>
      <c r="B9" s="3"/>
    </row>
    <row r="10" spans="1:5" x14ac:dyDescent="0.2">
      <c r="A10" s="18" t="s">
        <v>6</v>
      </c>
      <c r="B10" s="15">
        <f>B40</f>
        <v>249.47999999999996</v>
      </c>
      <c r="C10" s="18" t="s">
        <v>41</v>
      </c>
    </row>
    <row r="11" spans="1:5" x14ac:dyDescent="0.2">
      <c r="A11" s="18" t="s">
        <v>7</v>
      </c>
      <c r="B11" s="15">
        <f>B45</f>
        <v>56.886000000000003</v>
      </c>
      <c r="C11" s="18" t="s">
        <v>41</v>
      </c>
    </row>
    <row r="12" spans="1:5" x14ac:dyDescent="0.2">
      <c r="A12" s="18" t="s">
        <v>8</v>
      </c>
      <c r="B12" s="15">
        <f>B50</f>
        <v>38.9</v>
      </c>
      <c r="C12" s="18" t="s">
        <v>56</v>
      </c>
    </row>
    <row r="13" spans="1:5" x14ac:dyDescent="0.2">
      <c r="A13" s="18" t="s">
        <v>81</v>
      </c>
      <c r="B13" s="19">
        <f>B54</f>
        <v>71.5</v>
      </c>
      <c r="C13" s="18" t="s">
        <v>41</v>
      </c>
      <c r="E13" s="15"/>
    </row>
    <row r="14" spans="1:5" x14ac:dyDescent="0.2">
      <c r="A14" s="18" t="s">
        <v>86</v>
      </c>
      <c r="B14" s="15">
        <f>B62</f>
        <v>193.73</v>
      </c>
      <c r="C14" s="18" t="s">
        <v>40</v>
      </c>
      <c r="E14" s="15"/>
    </row>
    <row r="15" spans="1:5" x14ac:dyDescent="0.2">
      <c r="A15" s="18" t="s">
        <v>87</v>
      </c>
      <c r="B15" s="15">
        <f>B71</f>
        <v>90.2</v>
      </c>
      <c r="C15" s="18" t="s">
        <v>40</v>
      </c>
    </row>
    <row r="16" spans="1:5" x14ac:dyDescent="0.2">
      <c r="A16" s="18" t="s">
        <v>88</v>
      </c>
      <c r="B16" s="15">
        <f>B81</f>
        <v>127.84</v>
      </c>
      <c r="C16" s="18" t="s">
        <v>40</v>
      </c>
    </row>
    <row r="17" spans="1:13" ht="16" x14ac:dyDescent="0.2">
      <c r="A17" s="28" t="s">
        <v>38</v>
      </c>
      <c r="B17" s="30">
        <f>SUM(B10:B16)</f>
        <v>828.53600000000006</v>
      </c>
    </row>
    <row r="19" spans="1:13" ht="19" x14ac:dyDescent="0.25">
      <c r="A19" s="2" t="s">
        <v>89</v>
      </c>
    </row>
    <row r="20" spans="1:13" ht="16" x14ac:dyDescent="0.2">
      <c r="A20" s="28" t="s">
        <v>38</v>
      </c>
      <c r="B20" s="29">
        <f>B106</f>
        <v>8726.8700000000008</v>
      </c>
      <c r="C20" s="18" t="s">
        <v>104</v>
      </c>
    </row>
    <row r="21" spans="1:13" x14ac:dyDescent="0.2">
      <c r="B21" s="15"/>
    </row>
    <row r="22" spans="1:13" ht="16" x14ac:dyDescent="0.2">
      <c r="A22" s="28" t="s">
        <v>102</v>
      </c>
      <c r="B22" s="31">
        <v>2809.02</v>
      </c>
      <c r="C22" s="18" t="s">
        <v>103</v>
      </c>
    </row>
    <row r="23" spans="1:13" x14ac:dyDescent="0.2">
      <c r="B23" s="15"/>
    </row>
    <row r="24" spans="1:13" ht="19" x14ac:dyDescent="0.25">
      <c r="A24" s="2" t="s">
        <v>11</v>
      </c>
      <c r="B24" s="15"/>
    </row>
    <row r="25" spans="1:13" x14ac:dyDescent="0.2">
      <c r="A25" s="18" t="s">
        <v>12</v>
      </c>
      <c r="B25" s="23">
        <v>920</v>
      </c>
    </row>
    <row r="26" spans="1:13" x14ac:dyDescent="0.2">
      <c r="A26" s="18" t="s">
        <v>37</v>
      </c>
      <c r="B26" s="23">
        <v>49.48</v>
      </c>
    </row>
    <row r="28" spans="1:13" x14ac:dyDescent="0.2">
      <c r="B28" s="3"/>
    </row>
    <row r="29" spans="1:13" ht="19" x14ac:dyDescent="0.25">
      <c r="A29" s="2" t="s">
        <v>13</v>
      </c>
      <c r="B29" s="3"/>
    </row>
    <row r="30" spans="1:13" x14ac:dyDescent="0.2">
      <c r="B30" s="7" t="s">
        <v>18</v>
      </c>
      <c r="C30" s="8" t="s">
        <v>19</v>
      </c>
      <c r="D30" s="7" t="s">
        <v>20</v>
      </c>
      <c r="E30" s="8" t="s">
        <v>21</v>
      </c>
      <c r="F30" s="7" t="s">
        <v>22</v>
      </c>
      <c r="G30" s="8" t="s">
        <v>23</v>
      </c>
      <c r="H30" s="7" t="s">
        <v>24</v>
      </c>
      <c r="I30" s="8" t="s">
        <v>25</v>
      </c>
      <c r="J30" s="7" t="s">
        <v>26</v>
      </c>
      <c r="K30" s="8" t="s">
        <v>27</v>
      </c>
      <c r="L30" s="7" t="s">
        <v>28</v>
      </c>
      <c r="M30" s="8" t="s">
        <v>29</v>
      </c>
    </row>
    <row r="31" spans="1:13" x14ac:dyDescent="0.2">
      <c r="A31" s="18" t="s">
        <v>0</v>
      </c>
      <c r="B31" s="15">
        <v>16.68</v>
      </c>
      <c r="C31" s="15">
        <v>16.68</v>
      </c>
      <c r="D31" s="15">
        <v>16.68</v>
      </c>
      <c r="E31" s="15">
        <v>16.68</v>
      </c>
      <c r="F31" s="15">
        <v>16.68</v>
      </c>
      <c r="G31" s="15">
        <v>16.68</v>
      </c>
      <c r="H31" s="15">
        <v>16.68</v>
      </c>
      <c r="I31" s="15">
        <v>16.68</v>
      </c>
      <c r="J31" s="15">
        <v>16.68</v>
      </c>
      <c r="K31" s="15">
        <v>16.68</v>
      </c>
      <c r="L31" s="15">
        <v>16.68</v>
      </c>
      <c r="M31" s="15">
        <v>16.68</v>
      </c>
    </row>
    <row r="32" spans="1:13" x14ac:dyDescent="0.2">
      <c r="A32" s="18" t="s">
        <v>35</v>
      </c>
      <c r="B32" s="16">
        <f>SUM(B31:M31)</f>
        <v>200.16000000000005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x14ac:dyDescent="0.2">
      <c r="B33" s="7" t="s">
        <v>18</v>
      </c>
      <c r="C33" s="8" t="s">
        <v>19</v>
      </c>
      <c r="D33" s="7" t="s">
        <v>20</v>
      </c>
      <c r="E33" s="8" t="s">
        <v>21</v>
      </c>
      <c r="F33" s="7" t="s">
        <v>22</v>
      </c>
      <c r="G33" s="8" t="s">
        <v>23</v>
      </c>
      <c r="H33" s="7" t="s">
        <v>24</v>
      </c>
      <c r="I33" s="8" t="s">
        <v>25</v>
      </c>
      <c r="J33" s="7" t="s">
        <v>26</v>
      </c>
      <c r="K33" s="8" t="s">
        <v>27</v>
      </c>
      <c r="L33" s="7" t="s">
        <v>28</v>
      </c>
      <c r="M33" s="8" t="s">
        <v>29</v>
      </c>
    </row>
    <row r="34" spans="1:13" x14ac:dyDescent="0.2">
      <c r="A34" s="18" t="s">
        <v>1</v>
      </c>
      <c r="B34" s="15">
        <v>116.99</v>
      </c>
      <c r="C34" s="15">
        <v>116.99</v>
      </c>
      <c r="D34" s="15">
        <v>116.99</v>
      </c>
      <c r="E34" s="15">
        <v>116.99</v>
      </c>
      <c r="F34" s="15">
        <v>116.99</v>
      </c>
      <c r="G34" s="15">
        <v>121.67</v>
      </c>
      <c r="H34" s="15">
        <v>121.67</v>
      </c>
      <c r="I34" s="15">
        <v>121.67</v>
      </c>
      <c r="J34" s="15">
        <v>121.67</v>
      </c>
      <c r="K34" s="15">
        <v>121.67</v>
      </c>
      <c r="L34" s="15">
        <v>121.67</v>
      </c>
      <c r="M34" s="15">
        <v>121.67</v>
      </c>
    </row>
    <row r="35" spans="1:13" x14ac:dyDescent="0.2">
      <c r="A35" s="18" t="s">
        <v>35</v>
      </c>
      <c r="B35" s="16">
        <f>SUM(B34:M34)</f>
        <v>1436.64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">
      <c r="A37" s="18" t="s">
        <v>58</v>
      </c>
      <c r="B37" s="18">
        <f>6*41.65+6*44.64</f>
        <v>517.74</v>
      </c>
    </row>
    <row r="38" spans="1:13" x14ac:dyDescent="0.2">
      <c r="A38" s="18" t="s">
        <v>57</v>
      </c>
      <c r="B38" s="15">
        <v>34.65</v>
      </c>
    </row>
    <row r="39" spans="1:13" x14ac:dyDescent="0.2">
      <c r="A39" s="18" t="s">
        <v>16</v>
      </c>
      <c r="B39" s="15">
        <f>12*B38</f>
        <v>415.79999999999995</v>
      </c>
    </row>
    <row r="40" spans="1:13" x14ac:dyDescent="0.2">
      <c r="A40" s="4" t="s">
        <v>17</v>
      </c>
      <c r="B40" s="16">
        <f>0.6*B39</f>
        <v>249.47999999999996</v>
      </c>
    </row>
    <row r="42" spans="1:13" x14ac:dyDescent="0.2">
      <c r="B42" s="7" t="s">
        <v>18</v>
      </c>
      <c r="C42" s="8" t="s">
        <v>19</v>
      </c>
      <c r="D42" s="7" t="s">
        <v>20</v>
      </c>
      <c r="E42" s="8" t="s">
        <v>21</v>
      </c>
      <c r="F42" s="7" t="s">
        <v>22</v>
      </c>
      <c r="G42" s="8" t="s">
        <v>23</v>
      </c>
      <c r="H42" s="7" t="s">
        <v>24</v>
      </c>
      <c r="I42" s="8" t="s">
        <v>25</v>
      </c>
      <c r="J42" s="7" t="s">
        <v>26</v>
      </c>
      <c r="K42" s="8" t="s">
        <v>27</v>
      </c>
      <c r="L42" s="7" t="s">
        <v>28</v>
      </c>
      <c r="M42" s="8" t="s">
        <v>29</v>
      </c>
    </row>
    <row r="43" spans="1:13" x14ac:dyDescent="0.2">
      <c r="A43" s="18" t="s">
        <v>170</v>
      </c>
      <c r="B43" s="15">
        <v>7.9</v>
      </c>
      <c r="C43" s="15">
        <v>7.9</v>
      </c>
      <c r="D43" s="15">
        <v>7.9</v>
      </c>
      <c r="E43" s="15">
        <v>7.9</v>
      </c>
      <c r="F43" s="15">
        <v>7.9</v>
      </c>
      <c r="G43" s="15">
        <v>7.9</v>
      </c>
      <c r="H43" s="15">
        <v>7.9</v>
      </c>
      <c r="I43" s="15">
        <v>7.9</v>
      </c>
      <c r="J43" s="15">
        <v>7.9</v>
      </c>
      <c r="K43" s="15">
        <v>7.9</v>
      </c>
      <c r="L43" s="15">
        <v>7.9</v>
      </c>
      <c r="M43" s="15">
        <v>7.91</v>
      </c>
    </row>
    <row r="44" spans="1:13" x14ac:dyDescent="0.2">
      <c r="A44" s="18" t="s">
        <v>35</v>
      </c>
      <c r="B44" s="15">
        <f>SUM(B43:M43)</f>
        <v>94.81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4" t="s">
        <v>17</v>
      </c>
      <c r="B45" s="16">
        <f>0.6*B44</f>
        <v>56.886000000000003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B46" s="3"/>
    </row>
    <row r="47" spans="1:13" x14ac:dyDescent="0.2">
      <c r="A47" s="18" t="s">
        <v>32</v>
      </c>
      <c r="B47" s="3"/>
    </row>
    <row r="48" spans="1:13" x14ac:dyDescent="0.2">
      <c r="A48" s="18" t="s">
        <v>107</v>
      </c>
      <c r="B48" s="15">
        <v>19.2</v>
      </c>
    </row>
    <row r="49" spans="1:26" x14ac:dyDescent="0.2">
      <c r="A49" s="18" t="s">
        <v>108</v>
      </c>
      <c r="B49" s="15">
        <v>19.7</v>
      </c>
    </row>
    <row r="50" spans="1:26" x14ac:dyDescent="0.2">
      <c r="A50" s="18" t="s">
        <v>35</v>
      </c>
      <c r="B50" s="16">
        <f>B48+B49</f>
        <v>38.9</v>
      </c>
    </row>
    <row r="51" spans="1:26" x14ac:dyDescent="0.2">
      <c r="B51" s="15"/>
    </row>
    <row r="52" spans="1:26" x14ac:dyDescent="0.2">
      <c r="A52" s="18" t="s">
        <v>81</v>
      </c>
      <c r="B52" s="32">
        <v>43482</v>
      </c>
      <c r="C52" s="32">
        <v>43483</v>
      </c>
      <c r="D52" s="32">
        <v>43484</v>
      </c>
      <c r="E52" s="32">
        <v>43485</v>
      </c>
      <c r="F52" s="32">
        <v>43489</v>
      </c>
      <c r="G52" s="32">
        <v>43493</v>
      </c>
      <c r="H52" s="32">
        <v>43504</v>
      </c>
      <c r="I52" s="32">
        <v>43510</v>
      </c>
      <c r="J52" s="32">
        <v>43522</v>
      </c>
      <c r="K52" s="32">
        <v>43524</v>
      </c>
      <c r="L52" s="32">
        <v>43539</v>
      </c>
      <c r="M52" s="32">
        <v>43540</v>
      </c>
      <c r="N52" s="32">
        <v>43633</v>
      </c>
      <c r="O52" s="32">
        <v>43648</v>
      </c>
      <c r="P52" s="32">
        <v>43693</v>
      </c>
      <c r="Q52" s="32">
        <v>43697</v>
      </c>
      <c r="R52" s="32">
        <v>43706</v>
      </c>
      <c r="S52" s="32">
        <v>43707</v>
      </c>
      <c r="T52" s="32">
        <v>43708</v>
      </c>
      <c r="U52" s="32">
        <v>43709</v>
      </c>
      <c r="V52" s="32">
        <v>43725</v>
      </c>
      <c r="W52" s="32">
        <v>43726</v>
      </c>
      <c r="X52" s="32">
        <v>43727</v>
      </c>
      <c r="Y52" s="32">
        <v>43762</v>
      </c>
      <c r="Z52" s="32">
        <v>43778</v>
      </c>
    </row>
    <row r="53" spans="1:26" x14ac:dyDescent="0.2">
      <c r="A53" s="18" t="s">
        <v>82</v>
      </c>
      <c r="B53" s="19">
        <v>3.3</v>
      </c>
      <c r="C53" s="19">
        <v>3.3</v>
      </c>
      <c r="D53" s="19">
        <v>3.3</v>
      </c>
      <c r="E53" s="19">
        <v>3.3</v>
      </c>
      <c r="F53" s="19">
        <v>3.3</v>
      </c>
      <c r="G53" s="19">
        <v>2.2000000000000002</v>
      </c>
      <c r="H53" s="19">
        <v>3.3</v>
      </c>
      <c r="I53" s="19">
        <v>2.2000000000000002</v>
      </c>
      <c r="J53" s="19">
        <v>3.3</v>
      </c>
      <c r="K53" s="19">
        <v>3.3</v>
      </c>
      <c r="L53" s="19">
        <v>3.3</v>
      </c>
      <c r="M53" s="19">
        <v>3.3</v>
      </c>
      <c r="N53" s="19">
        <v>2.2000000000000002</v>
      </c>
      <c r="O53" s="19">
        <v>3.3</v>
      </c>
      <c r="P53" s="19">
        <v>2.2000000000000002</v>
      </c>
      <c r="Q53" s="19">
        <v>2.2000000000000002</v>
      </c>
      <c r="R53" s="19">
        <v>2.2000000000000002</v>
      </c>
      <c r="S53" s="19">
        <v>3.3</v>
      </c>
      <c r="T53" s="19">
        <v>3.3</v>
      </c>
      <c r="U53" s="19">
        <v>2.2000000000000002</v>
      </c>
      <c r="V53" s="19">
        <v>2.2000000000000002</v>
      </c>
      <c r="W53" s="19">
        <v>2.2000000000000002</v>
      </c>
      <c r="X53" s="19">
        <v>2.2000000000000002</v>
      </c>
      <c r="Y53" s="19">
        <v>3.3</v>
      </c>
      <c r="Z53" s="19">
        <v>3.3</v>
      </c>
    </row>
    <row r="54" spans="1:26" x14ac:dyDescent="0.2">
      <c r="A54" s="18" t="s">
        <v>35</v>
      </c>
      <c r="B54" s="17">
        <f>SUM(B53:Z53)</f>
        <v>71.5</v>
      </c>
    </row>
    <row r="56" spans="1:26" x14ac:dyDescent="0.2">
      <c r="A56" s="18" t="s">
        <v>54</v>
      </c>
    </row>
    <row r="57" spans="1:26" x14ac:dyDescent="0.2">
      <c r="A57" s="18" t="s">
        <v>83</v>
      </c>
      <c r="B57" s="22">
        <v>968.63</v>
      </c>
    </row>
    <row r="58" spans="1:26" x14ac:dyDescent="0.2">
      <c r="A58" s="4" t="s">
        <v>17</v>
      </c>
      <c r="B58" s="22">
        <f>B57*0.6</f>
        <v>581.178</v>
      </c>
    </row>
    <row r="60" spans="1:26" x14ac:dyDescent="0.2">
      <c r="A60" s="18">
        <v>2016</v>
      </c>
      <c r="B60" s="15">
        <v>96.86</v>
      </c>
    </row>
    <row r="61" spans="1:26" x14ac:dyDescent="0.2">
      <c r="A61" s="18">
        <v>2017</v>
      </c>
      <c r="B61" s="15">
        <v>193.73</v>
      </c>
      <c r="H61" s="19"/>
    </row>
    <row r="62" spans="1:26" x14ac:dyDescent="0.2">
      <c r="A62" s="18">
        <v>2018</v>
      </c>
      <c r="B62" s="16">
        <v>193.73</v>
      </c>
      <c r="H62" s="19"/>
    </row>
    <row r="63" spans="1:26" x14ac:dyDescent="0.2">
      <c r="A63" s="18">
        <v>2019</v>
      </c>
      <c r="B63" s="15">
        <v>96.86</v>
      </c>
      <c r="H63" s="19"/>
    </row>
    <row r="64" spans="1:26" x14ac:dyDescent="0.2">
      <c r="B64" s="15">
        <f>SUM(B60:B63)</f>
        <v>581.17999999999995</v>
      </c>
      <c r="H64" s="19"/>
    </row>
    <row r="66" spans="1:8" x14ac:dyDescent="0.2">
      <c r="A66" s="18" t="s">
        <v>84</v>
      </c>
      <c r="H66" s="19"/>
    </row>
    <row r="67" spans="1:8" x14ac:dyDescent="0.2">
      <c r="A67" s="18" t="s">
        <v>83</v>
      </c>
      <c r="B67" s="15">
        <v>450.97</v>
      </c>
      <c r="H67" s="19"/>
    </row>
    <row r="68" spans="1:8" x14ac:dyDescent="0.2">
      <c r="A68" s="4" t="s">
        <v>17</v>
      </c>
      <c r="B68" s="15">
        <f>B67*0.6</f>
        <v>270.58199999999999</v>
      </c>
      <c r="H68" s="19"/>
    </row>
    <row r="69" spans="1:8" x14ac:dyDescent="0.2">
      <c r="B69" s="15"/>
      <c r="H69" s="19"/>
    </row>
    <row r="70" spans="1:8" x14ac:dyDescent="0.2">
      <c r="A70" s="18">
        <v>2017</v>
      </c>
      <c r="B70" s="15">
        <v>45.09</v>
      </c>
      <c r="H70" s="19"/>
    </row>
    <row r="71" spans="1:8" x14ac:dyDescent="0.2">
      <c r="A71" s="18">
        <v>2018</v>
      </c>
      <c r="B71" s="16">
        <v>90.2</v>
      </c>
      <c r="H71" s="19"/>
    </row>
    <row r="72" spans="1:8" x14ac:dyDescent="0.2">
      <c r="A72" s="18">
        <v>2019</v>
      </c>
      <c r="B72" s="15">
        <v>90.2</v>
      </c>
      <c r="H72" s="19"/>
    </row>
    <row r="73" spans="1:8" x14ac:dyDescent="0.2">
      <c r="A73" s="18">
        <v>2020</v>
      </c>
      <c r="B73" s="15">
        <v>45.09</v>
      </c>
      <c r="H73" s="19"/>
    </row>
    <row r="74" spans="1:8" x14ac:dyDescent="0.2">
      <c r="B74" s="15">
        <f>SUM(B70:B73)</f>
        <v>270.58000000000004</v>
      </c>
      <c r="H74" s="19"/>
    </row>
    <row r="75" spans="1:8" x14ac:dyDescent="0.2">
      <c r="H75" s="19"/>
    </row>
    <row r="76" spans="1:8" x14ac:dyDescent="0.2">
      <c r="A76" s="18" t="s">
        <v>85</v>
      </c>
      <c r="H76" s="19"/>
    </row>
    <row r="77" spans="1:8" x14ac:dyDescent="0.2">
      <c r="A77" s="18" t="s">
        <v>83</v>
      </c>
      <c r="B77" s="15">
        <v>639.20000000000005</v>
      </c>
      <c r="H77" s="19"/>
    </row>
    <row r="78" spans="1:8" x14ac:dyDescent="0.2">
      <c r="A78" s="4" t="s">
        <v>17</v>
      </c>
      <c r="B78" s="15">
        <f>B77*0.6</f>
        <v>383.52000000000004</v>
      </c>
      <c r="H78" s="19"/>
    </row>
    <row r="79" spans="1:8" x14ac:dyDescent="0.2">
      <c r="H79" s="19"/>
    </row>
    <row r="80" spans="1:8" x14ac:dyDescent="0.2">
      <c r="A80" s="18">
        <v>2017</v>
      </c>
      <c r="B80" s="15">
        <v>63.92</v>
      </c>
      <c r="H80" s="19"/>
    </row>
    <row r="81" spans="1:8" x14ac:dyDescent="0.2">
      <c r="A81" s="18">
        <v>2018</v>
      </c>
      <c r="B81" s="16">
        <v>127.84</v>
      </c>
      <c r="H81" s="19"/>
    </row>
    <row r="82" spans="1:8" x14ac:dyDescent="0.2">
      <c r="A82" s="18">
        <v>2019</v>
      </c>
      <c r="B82" s="15">
        <v>127.84</v>
      </c>
    </row>
    <row r="83" spans="1:8" x14ac:dyDescent="0.2">
      <c r="A83" s="18">
        <v>2020</v>
      </c>
      <c r="B83" s="15">
        <v>63.92</v>
      </c>
    </row>
    <row r="84" spans="1:8" x14ac:dyDescent="0.2">
      <c r="B84" s="15">
        <f>SUM(B80:B83)</f>
        <v>383.52000000000004</v>
      </c>
    </row>
    <row r="86" spans="1:8" x14ac:dyDescent="0.2">
      <c r="A86" s="26" t="s">
        <v>101</v>
      </c>
    </row>
    <row r="87" spans="1:8" x14ac:dyDescent="0.2">
      <c r="B87" s="33">
        <v>43587</v>
      </c>
      <c r="C87" s="33">
        <v>43594</v>
      </c>
      <c r="D87" s="33">
        <v>43615</v>
      </c>
      <c r="E87" s="33">
        <v>43638</v>
      </c>
      <c r="F87" s="33">
        <v>43641</v>
      </c>
      <c r="G87" s="33">
        <v>43643</v>
      </c>
    </row>
    <row r="88" spans="1:8" x14ac:dyDescent="0.2">
      <c r="A88" s="18" t="s">
        <v>90</v>
      </c>
      <c r="B88" s="20">
        <v>5.2</v>
      </c>
      <c r="C88" s="20">
        <v>6.5</v>
      </c>
      <c r="D88" s="20">
        <v>2.6</v>
      </c>
      <c r="E88" s="20">
        <v>2.6</v>
      </c>
      <c r="F88" s="20">
        <v>4.9000000000000004</v>
      </c>
      <c r="G88" s="20">
        <v>4.5</v>
      </c>
    </row>
    <row r="89" spans="1:8" x14ac:dyDescent="0.2">
      <c r="A89" s="18" t="s">
        <v>38</v>
      </c>
      <c r="B89" s="20">
        <f>SUM(B88:G88)</f>
        <v>26.299999999999997</v>
      </c>
    </row>
    <row r="91" spans="1:8" x14ac:dyDescent="0.2">
      <c r="A91" s="18" t="s">
        <v>92</v>
      </c>
      <c r="B91" s="24">
        <v>43401</v>
      </c>
      <c r="C91" s="24">
        <v>43460</v>
      </c>
      <c r="D91" s="24"/>
      <c r="E91" s="24"/>
      <c r="F91" s="24"/>
      <c r="G91" s="24"/>
      <c r="H91" s="24"/>
    </row>
    <row r="92" spans="1:8" x14ac:dyDescent="0.2">
      <c r="A92" s="18" t="s">
        <v>109</v>
      </c>
      <c r="B92" s="21">
        <v>8.36</v>
      </c>
      <c r="C92" s="21">
        <v>9.5500000000000007</v>
      </c>
      <c r="D92" s="21"/>
      <c r="E92" s="21"/>
      <c r="F92" s="21"/>
      <c r="G92" s="21"/>
      <c r="H92" s="21"/>
    </row>
    <row r="93" spans="1:8" x14ac:dyDescent="0.2">
      <c r="A93" s="18" t="s">
        <v>38</v>
      </c>
      <c r="B93" s="21">
        <f>SUM(B92:C92)</f>
        <v>17.91</v>
      </c>
    </row>
    <row r="95" spans="1:8" x14ac:dyDescent="0.2">
      <c r="A95" s="18" t="s">
        <v>112</v>
      </c>
      <c r="B95" s="15">
        <v>100</v>
      </c>
      <c r="C95" s="34" t="s">
        <v>159</v>
      </c>
    </row>
    <row r="96" spans="1:8" x14ac:dyDescent="0.2">
      <c r="A96" s="18" t="s">
        <v>110</v>
      </c>
      <c r="B96" s="15">
        <v>17.34</v>
      </c>
    </row>
    <row r="97" spans="1:2" x14ac:dyDescent="0.2">
      <c r="A97" s="18" t="s">
        <v>83</v>
      </c>
      <c r="B97" s="15">
        <f>B95-B96</f>
        <v>82.66</v>
      </c>
    </row>
    <row r="99" spans="1:2" x14ac:dyDescent="0.2">
      <c r="A99" s="18" t="s">
        <v>113</v>
      </c>
      <c r="B99" s="15">
        <v>5700</v>
      </c>
    </row>
    <row r="100" spans="1:2" x14ac:dyDescent="0.2">
      <c r="A100" s="18" t="s">
        <v>114</v>
      </c>
      <c r="B100" s="15">
        <v>4600</v>
      </c>
    </row>
    <row r="101" spans="1:2" x14ac:dyDescent="0.2">
      <c r="A101" s="18" t="s">
        <v>115</v>
      </c>
      <c r="B101" s="15">
        <v>-1400</v>
      </c>
    </row>
    <row r="102" spans="1:2" x14ac:dyDescent="0.2">
      <c r="A102" s="18" t="s">
        <v>116</v>
      </c>
      <c r="B102" s="15">
        <v>-800</v>
      </c>
    </row>
    <row r="103" spans="1:2" x14ac:dyDescent="0.2">
      <c r="A103" s="18" t="s">
        <v>111</v>
      </c>
      <c r="B103" s="15">
        <v>500</v>
      </c>
    </row>
    <row r="104" spans="1:2" x14ac:dyDescent="0.2">
      <c r="A104" s="18" t="s">
        <v>83</v>
      </c>
      <c r="B104" s="15">
        <f>SUM(B99:B103)</f>
        <v>8600</v>
      </c>
    </row>
    <row r="106" spans="1:2" x14ac:dyDescent="0.2">
      <c r="A106" s="18" t="s">
        <v>99</v>
      </c>
      <c r="B106" s="25">
        <f>B89+B93+B97+B104</f>
        <v>8726.8700000000008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ABB5-6070-47EC-8D2B-167BABF851D1}">
  <dimension ref="A1:Q57"/>
  <sheetViews>
    <sheetView topLeftCell="A31" zoomScale="150" zoomScaleNormal="150" workbookViewId="0">
      <selection activeCell="E42" sqref="E42"/>
    </sheetView>
  </sheetViews>
  <sheetFormatPr baseColWidth="10" defaultColWidth="9.1640625" defaultRowHeight="15" x14ac:dyDescent="0.2"/>
  <cols>
    <col min="1" max="1" width="57.83203125" style="18" customWidth="1"/>
    <col min="2" max="2" width="21.6640625" style="18" customWidth="1"/>
    <col min="3" max="3" width="13.83203125" style="18" customWidth="1"/>
    <col min="4" max="4" width="17.83203125" style="18" customWidth="1"/>
    <col min="5" max="5" width="45" style="18" customWidth="1"/>
    <col min="6" max="6" width="9.1640625" style="18"/>
    <col min="7" max="7" width="58.6640625" style="18" customWidth="1"/>
    <col min="8" max="8" width="13.6640625" style="18" customWidth="1"/>
    <col min="9" max="9" width="10" style="18" customWidth="1"/>
    <col min="10" max="10" width="15.1640625" style="18" customWidth="1"/>
    <col min="11" max="11" width="40.6640625" style="18" customWidth="1"/>
    <col min="12" max="12" width="9.1640625" style="18"/>
    <col min="13" max="13" width="49.6640625" style="18" customWidth="1"/>
    <col min="14" max="14" width="24" style="18" customWidth="1"/>
    <col min="15" max="15" width="9.1640625" style="18"/>
    <col min="16" max="16" width="28.5" style="18" customWidth="1"/>
    <col min="17" max="16384" width="9.1640625" style="18"/>
  </cols>
  <sheetData>
    <row r="1" spans="1:17" x14ac:dyDescent="0.2">
      <c r="A1" s="84" t="s">
        <v>178</v>
      </c>
      <c r="B1" s="84"/>
      <c r="C1" s="84"/>
      <c r="D1" s="84"/>
      <c r="E1" s="84"/>
      <c r="G1" s="84" t="s">
        <v>176</v>
      </c>
      <c r="H1" s="84"/>
      <c r="I1" s="84"/>
      <c r="J1" s="84"/>
      <c r="K1" s="84"/>
      <c r="M1" s="84" t="s">
        <v>180</v>
      </c>
      <c r="N1" s="84"/>
      <c r="O1" s="84"/>
      <c r="P1" s="84"/>
      <c r="Q1" s="84"/>
    </row>
    <row r="2" spans="1:17" x14ac:dyDescent="0.2">
      <c r="A2" s="84"/>
      <c r="B2" s="84"/>
      <c r="C2" s="84"/>
      <c r="D2" s="84"/>
      <c r="E2" s="84"/>
      <c r="G2" s="84"/>
      <c r="H2" s="84"/>
      <c r="I2" s="84"/>
      <c r="J2" s="84"/>
      <c r="K2" s="84"/>
      <c r="M2" s="84"/>
      <c r="N2" s="84"/>
      <c r="O2" s="84"/>
      <c r="P2" s="84"/>
      <c r="Q2" s="84"/>
    </row>
    <row r="3" spans="1:17" x14ac:dyDescent="0.2">
      <c r="C3" s="71" t="s">
        <v>118</v>
      </c>
      <c r="I3" s="71" t="s">
        <v>118</v>
      </c>
      <c r="O3" s="71" t="s">
        <v>118</v>
      </c>
    </row>
    <row r="4" spans="1:17" x14ac:dyDescent="0.2">
      <c r="A4" s="18" t="s">
        <v>119</v>
      </c>
      <c r="B4" s="35">
        <v>5052.18</v>
      </c>
      <c r="C4" s="71">
        <v>210</v>
      </c>
      <c r="G4" s="18" t="s">
        <v>163</v>
      </c>
      <c r="H4" s="35">
        <v>43901.61</v>
      </c>
      <c r="I4" s="71">
        <v>210</v>
      </c>
      <c r="M4" s="18" t="s">
        <v>181</v>
      </c>
      <c r="N4" s="35">
        <v>874.25</v>
      </c>
      <c r="O4" s="71">
        <v>210</v>
      </c>
    </row>
    <row r="5" spans="1:17" x14ac:dyDescent="0.2">
      <c r="A5" s="36" t="s">
        <v>120</v>
      </c>
      <c r="B5" s="37">
        <f>B4-B6</f>
        <v>4338.2300000000005</v>
      </c>
      <c r="C5" s="71"/>
      <c r="G5" s="36" t="s">
        <v>164</v>
      </c>
      <c r="H5" s="37">
        <f>H4-H6</f>
        <v>37632.94</v>
      </c>
      <c r="I5" s="71"/>
      <c r="M5" s="36" t="s">
        <v>182</v>
      </c>
      <c r="N5" s="37">
        <f>N4-N6</f>
        <v>819.93</v>
      </c>
      <c r="O5" s="71"/>
    </row>
    <row r="6" spans="1:17" x14ac:dyDescent="0.2">
      <c r="A6" s="38" t="s">
        <v>121</v>
      </c>
      <c r="B6" s="39">
        <v>713.95</v>
      </c>
      <c r="C6" s="71">
        <v>220</v>
      </c>
      <c r="G6" s="38" t="s">
        <v>121</v>
      </c>
      <c r="H6" s="39">
        <v>6268.67</v>
      </c>
      <c r="I6" s="71">
        <v>220</v>
      </c>
      <c r="M6" s="38" t="s">
        <v>121</v>
      </c>
      <c r="N6" s="39">
        <v>54.32</v>
      </c>
      <c r="O6" s="71">
        <v>220</v>
      </c>
    </row>
    <row r="7" spans="1:17" x14ac:dyDescent="0.2">
      <c r="B7" s="35"/>
      <c r="C7" s="71"/>
      <c r="H7" s="35"/>
      <c r="I7" s="71"/>
      <c r="N7" s="35"/>
      <c r="O7" s="71"/>
    </row>
    <row r="8" spans="1:17" x14ac:dyDescent="0.2">
      <c r="A8" s="36" t="s">
        <v>122</v>
      </c>
      <c r="B8" s="37">
        <v>201.62</v>
      </c>
      <c r="C8" s="71">
        <v>230</v>
      </c>
      <c r="D8" s="40">
        <f>ROUND(B5*0.1812,2)</f>
        <v>786.09</v>
      </c>
      <c r="E8" s="41" t="s">
        <v>123</v>
      </c>
      <c r="G8" s="36" t="s">
        <v>122</v>
      </c>
      <c r="H8" s="37">
        <v>6905.09</v>
      </c>
      <c r="I8" s="71">
        <v>230</v>
      </c>
      <c r="J8" s="40">
        <f>ROUND(H5*0.1812,2)</f>
        <v>6819.09</v>
      </c>
      <c r="K8" s="41" t="s">
        <v>123</v>
      </c>
      <c r="M8" s="36" t="s">
        <v>122</v>
      </c>
      <c r="N8" s="37">
        <v>123.97</v>
      </c>
      <c r="O8" s="71">
        <v>230</v>
      </c>
      <c r="P8" s="40">
        <f>ROUND(N5*0.1812,2)</f>
        <v>148.57</v>
      </c>
      <c r="Q8" s="41" t="s">
        <v>123</v>
      </c>
    </row>
    <row r="9" spans="1:17" x14ac:dyDescent="0.2">
      <c r="A9" s="38" t="s">
        <v>124</v>
      </c>
      <c r="B9" s="39">
        <v>20.34</v>
      </c>
      <c r="C9" s="71">
        <v>225</v>
      </c>
      <c r="D9" s="40">
        <f>ROUND(B6*0.1712,2)</f>
        <v>122.23</v>
      </c>
      <c r="E9" s="41" t="s">
        <v>125</v>
      </c>
      <c r="G9" s="38" t="s">
        <v>124</v>
      </c>
      <c r="H9" s="39">
        <v>899.56</v>
      </c>
      <c r="I9" s="71">
        <v>225</v>
      </c>
      <c r="J9" s="40">
        <f>ROUND(H6*0.1712,2)</f>
        <v>1073.2</v>
      </c>
      <c r="K9" s="41" t="s">
        <v>125</v>
      </c>
      <c r="M9" s="38" t="s">
        <v>124</v>
      </c>
      <c r="N9" s="39">
        <v>7.67</v>
      </c>
      <c r="O9" s="71">
        <v>225</v>
      </c>
      <c r="P9" s="40">
        <f>ROUND(N6*0.1712,2)</f>
        <v>9.3000000000000007</v>
      </c>
      <c r="Q9" s="41" t="s">
        <v>125</v>
      </c>
    </row>
    <row r="10" spans="1:17" x14ac:dyDescent="0.2">
      <c r="A10" s="18" t="s">
        <v>126</v>
      </c>
      <c r="B10" s="35">
        <f>B8+B9</f>
        <v>221.96</v>
      </c>
      <c r="C10" s="71"/>
      <c r="D10" s="40">
        <f>D8+D9</f>
        <v>908.32</v>
      </c>
      <c r="E10" s="41" t="s">
        <v>127</v>
      </c>
      <c r="G10" s="18" t="s">
        <v>126</v>
      </c>
      <c r="H10" s="35">
        <f>H8+H9</f>
        <v>7804.65</v>
      </c>
      <c r="I10" s="71"/>
      <c r="J10" s="40">
        <f>J8+J9</f>
        <v>7892.29</v>
      </c>
      <c r="K10" s="41" t="s">
        <v>127</v>
      </c>
      <c r="M10" s="18" t="s">
        <v>126</v>
      </c>
      <c r="N10" s="35">
        <f>N8+N9</f>
        <v>131.63999999999999</v>
      </c>
      <c r="O10" s="71"/>
      <c r="P10" s="40">
        <f>P8+P9</f>
        <v>157.87</v>
      </c>
      <c r="Q10" s="41" t="s">
        <v>127</v>
      </c>
    </row>
    <row r="11" spans="1:17" x14ac:dyDescent="0.2">
      <c r="B11" s="35"/>
      <c r="C11" s="71"/>
      <c r="H11" s="35"/>
      <c r="I11" s="71"/>
      <c r="N11" s="35"/>
      <c r="O11" s="71"/>
    </row>
    <row r="12" spans="1:17" x14ac:dyDescent="0.2">
      <c r="A12" s="36" t="s">
        <v>128</v>
      </c>
      <c r="B12" s="37">
        <f>B5-B8</f>
        <v>4136.6100000000006</v>
      </c>
      <c r="C12" s="71">
        <v>245</v>
      </c>
      <c r="D12" s="18" t="s">
        <v>129</v>
      </c>
      <c r="G12" s="36" t="s">
        <v>165</v>
      </c>
      <c r="H12" s="37">
        <f>H5-H8</f>
        <v>30727.850000000002</v>
      </c>
      <c r="I12" s="71">
        <v>245</v>
      </c>
      <c r="J12" s="18" t="s">
        <v>129</v>
      </c>
      <c r="M12" s="36" t="s">
        <v>165</v>
      </c>
      <c r="N12" s="37">
        <f>N5-N8</f>
        <v>695.95999999999992</v>
      </c>
      <c r="O12" s="71">
        <v>245</v>
      </c>
      <c r="P12" s="18" t="s">
        <v>129</v>
      </c>
    </row>
    <row r="13" spans="1:17" x14ac:dyDescent="0.2">
      <c r="A13" s="38" t="s">
        <v>130</v>
      </c>
      <c r="B13" s="39">
        <f>B6-B9</f>
        <v>693.61</v>
      </c>
      <c r="C13" s="71"/>
      <c r="D13" s="18" t="s">
        <v>131</v>
      </c>
      <c r="G13" s="38" t="s">
        <v>130</v>
      </c>
      <c r="H13" s="39">
        <f>H6-H9</f>
        <v>5369.1100000000006</v>
      </c>
      <c r="I13" s="71"/>
      <c r="J13" s="18" t="s">
        <v>131</v>
      </c>
      <c r="M13" s="38" t="s">
        <v>130</v>
      </c>
      <c r="N13" s="39">
        <f>N6-N9</f>
        <v>46.65</v>
      </c>
      <c r="O13" s="71"/>
      <c r="P13" s="18" t="s">
        <v>131</v>
      </c>
    </row>
    <row r="14" spans="1:17" x14ac:dyDescent="0.2">
      <c r="B14" s="35"/>
      <c r="H14" s="35"/>
      <c r="N14" s="35"/>
    </row>
    <row r="15" spans="1:17" x14ac:dyDescent="0.2">
      <c r="A15" s="42" t="s">
        <v>132</v>
      </c>
      <c r="B15" s="43">
        <v>175.89</v>
      </c>
      <c r="C15" s="85" t="s">
        <v>133</v>
      </c>
      <c r="D15" s="85"/>
      <c r="E15" s="85"/>
      <c r="G15" s="42" t="s">
        <v>132</v>
      </c>
      <c r="H15" s="43">
        <v>13.93</v>
      </c>
      <c r="I15" s="85" t="s">
        <v>133</v>
      </c>
      <c r="J15" s="85"/>
      <c r="K15" s="85"/>
      <c r="O15" s="89"/>
      <c r="P15" s="89"/>
      <c r="Q15" s="89"/>
    </row>
    <row r="16" spans="1:17" x14ac:dyDescent="0.2">
      <c r="A16" s="42" t="s">
        <v>179</v>
      </c>
      <c r="B16" s="43">
        <v>11.88</v>
      </c>
      <c r="G16" s="42" t="s">
        <v>179</v>
      </c>
      <c r="H16" s="43">
        <v>269</v>
      </c>
    </row>
    <row r="17" spans="1:15" x14ac:dyDescent="0.2">
      <c r="B17" s="35"/>
      <c r="H17" s="35"/>
      <c r="N17" s="35"/>
    </row>
    <row r="18" spans="1:15" x14ac:dyDescent="0.2">
      <c r="A18" s="44" t="s">
        <v>135</v>
      </c>
      <c r="B18" s="45">
        <v>0</v>
      </c>
      <c r="C18" s="71">
        <v>260</v>
      </c>
      <c r="G18" s="44" t="s">
        <v>135</v>
      </c>
      <c r="H18" s="45">
        <v>6022.46</v>
      </c>
      <c r="I18" s="71">
        <v>260</v>
      </c>
      <c r="M18" s="44" t="s">
        <v>135</v>
      </c>
      <c r="N18" s="45">
        <v>0</v>
      </c>
      <c r="O18" s="71">
        <v>260</v>
      </c>
    </row>
    <row r="21" spans="1:15" x14ac:dyDescent="0.2">
      <c r="A21" s="86" t="s">
        <v>177</v>
      </c>
      <c r="B21" s="86"/>
      <c r="C21" s="86"/>
      <c r="D21" s="86"/>
      <c r="E21" s="86"/>
    </row>
    <row r="22" spans="1:15" x14ac:dyDescent="0.2">
      <c r="A22" s="86"/>
      <c r="B22" s="86"/>
      <c r="C22" s="86"/>
      <c r="D22" s="86"/>
      <c r="E22" s="86"/>
    </row>
    <row r="23" spans="1:15" x14ac:dyDescent="0.2">
      <c r="A23" s="46" t="s">
        <v>137</v>
      </c>
      <c r="B23" s="47">
        <f>'2019'!B22</f>
        <v>2931.52</v>
      </c>
    </row>
    <row r="24" spans="1:15" x14ac:dyDescent="0.2">
      <c r="A24" s="36" t="s">
        <v>166</v>
      </c>
      <c r="B24" s="47">
        <f>B12+H12+N12</f>
        <v>35560.420000000006</v>
      </c>
    </row>
    <row r="25" spans="1:15" x14ac:dyDescent="0.2">
      <c r="A25" s="48" t="s">
        <v>139</v>
      </c>
      <c r="B25" s="49">
        <f>B23+B24</f>
        <v>38491.94</v>
      </c>
    </row>
    <row r="26" spans="1:15" x14ac:dyDescent="0.2">
      <c r="B26" s="50"/>
    </row>
    <row r="27" spans="1:15" x14ac:dyDescent="0.2">
      <c r="A27" s="51" t="s">
        <v>140</v>
      </c>
      <c r="B27" s="52"/>
    </row>
    <row r="28" spans="1:15" x14ac:dyDescent="0.2">
      <c r="A28" s="51" t="s">
        <v>5</v>
      </c>
      <c r="B28" s="52">
        <f>'2019'!B19</f>
        <v>1664.75</v>
      </c>
    </row>
    <row r="29" spans="1:15" x14ac:dyDescent="0.2">
      <c r="A29" s="51" t="s">
        <v>141</v>
      </c>
      <c r="B29" s="52">
        <f>(60000-(B25-B28))* ('2019'!B5/4- 60) / 23600+60</f>
        <v>498.19685520127115</v>
      </c>
      <c r="C29" s="50"/>
      <c r="D29" s="50"/>
    </row>
    <row r="30" spans="1:15" x14ac:dyDescent="0.2">
      <c r="A30" s="53" t="s">
        <v>38</v>
      </c>
      <c r="B30" s="54">
        <f>SUM(B28:B29)</f>
        <v>2162.9468552012713</v>
      </c>
    </row>
    <row r="31" spans="1:15" x14ac:dyDescent="0.2">
      <c r="B31" s="50"/>
    </row>
    <row r="32" spans="1:15" x14ac:dyDescent="0.2">
      <c r="A32" s="48" t="s">
        <v>143</v>
      </c>
      <c r="B32" s="49">
        <f>B25-B30</f>
        <v>36328.993144798733</v>
      </c>
    </row>
    <row r="33" spans="1:4" x14ac:dyDescent="0.2">
      <c r="A33" s="41" t="s">
        <v>144</v>
      </c>
      <c r="B33" s="55">
        <f>ROUND((B32-31000)*0.42+6300,2)</f>
        <v>8538.18</v>
      </c>
      <c r="C33" s="87" t="s">
        <v>169</v>
      </c>
      <c r="D33" s="88"/>
    </row>
    <row r="34" spans="1:4" x14ac:dyDescent="0.2">
      <c r="A34" s="41" t="s">
        <v>146</v>
      </c>
      <c r="B34" s="55">
        <f>ROUND((B13+H13+N13-620)*0.06,2)</f>
        <v>329.36</v>
      </c>
      <c r="C34" s="88" t="s">
        <v>147</v>
      </c>
      <c r="D34" s="88"/>
    </row>
    <row r="35" spans="1:4" x14ac:dyDescent="0.2">
      <c r="A35" s="44" t="s">
        <v>148</v>
      </c>
      <c r="B35" s="56">
        <v>400</v>
      </c>
    </row>
    <row r="36" spans="1:4" x14ac:dyDescent="0.2">
      <c r="B36" s="50"/>
    </row>
    <row r="37" spans="1:4" x14ac:dyDescent="0.2">
      <c r="A37" s="41" t="s">
        <v>149</v>
      </c>
      <c r="B37" s="55">
        <f>B33+B34-B35</f>
        <v>8467.5400000000009</v>
      </c>
    </row>
    <row r="38" spans="1:4" x14ac:dyDescent="0.2">
      <c r="A38" s="44" t="s">
        <v>187</v>
      </c>
      <c r="B38" s="56">
        <f>B18+H18+N18</f>
        <v>6022.46</v>
      </c>
    </row>
    <row r="39" spans="1:4" x14ac:dyDescent="0.2">
      <c r="A39" s="18" t="s">
        <v>150</v>
      </c>
      <c r="B39" s="50">
        <v>-0.08</v>
      </c>
    </row>
    <row r="40" spans="1:4" x14ac:dyDescent="0.2">
      <c r="B40" s="50"/>
    </row>
    <row r="41" spans="1:4" x14ac:dyDescent="0.2">
      <c r="A41" s="57" t="s">
        <v>213</v>
      </c>
      <c r="B41" s="58">
        <f>B37-B38+B39</f>
        <v>2445.0000000000009</v>
      </c>
    </row>
    <row r="42" spans="1:4" x14ac:dyDescent="0.2">
      <c r="A42" s="44" t="s">
        <v>184</v>
      </c>
      <c r="B42" s="56">
        <v>1243</v>
      </c>
    </row>
    <row r="43" spans="1:4" x14ac:dyDescent="0.2">
      <c r="B43" s="50"/>
    </row>
    <row r="44" spans="1:4" ht="21" x14ac:dyDescent="0.25">
      <c r="A44" s="59" t="s">
        <v>152</v>
      </c>
      <c r="B44" s="60">
        <f>B41-B42</f>
        <v>1202.0000000000009</v>
      </c>
      <c r="C44" s="18" t="s">
        <v>215</v>
      </c>
    </row>
    <row r="51" spans="1:2" ht="19" x14ac:dyDescent="0.25">
      <c r="A51" s="83" t="s">
        <v>183</v>
      </c>
      <c r="B51" s="83"/>
    </row>
    <row r="52" spans="1:2" ht="19" x14ac:dyDescent="0.25">
      <c r="A52" s="61" t="s">
        <v>168</v>
      </c>
      <c r="B52" s="62">
        <f>B4+H4+N4</f>
        <v>49828.04</v>
      </c>
    </row>
    <row r="53" spans="1:2" ht="19" x14ac:dyDescent="0.25">
      <c r="A53" s="63" t="s">
        <v>155</v>
      </c>
      <c r="B53" s="64">
        <f>B10+H10+N10</f>
        <v>8158.25</v>
      </c>
    </row>
    <row r="54" spans="1:2" ht="19" x14ac:dyDescent="0.25">
      <c r="A54" s="63" t="s">
        <v>149</v>
      </c>
      <c r="B54" s="65">
        <f>B37</f>
        <v>8467.5400000000009</v>
      </c>
    </row>
    <row r="55" spans="1:2" ht="19" x14ac:dyDescent="0.25">
      <c r="A55" s="61" t="s">
        <v>156</v>
      </c>
      <c r="B55" s="66">
        <f>11480-940-39.48</f>
        <v>10500.52</v>
      </c>
    </row>
    <row r="56" spans="1:2" ht="19" x14ac:dyDescent="0.25">
      <c r="A56" s="67"/>
      <c r="B56" s="67"/>
    </row>
    <row r="57" spans="1:2" ht="19" x14ac:dyDescent="0.25">
      <c r="A57" s="68" t="s">
        <v>157</v>
      </c>
      <c r="B57" s="69">
        <f>B52-B53-B54+B55</f>
        <v>43702.770000000004</v>
      </c>
    </row>
  </sheetData>
  <mergeCells count="10">
    <mergeCell ref="C34:D34"/>
    <mergeCell ref="A51:B51"/>
    <mergeCell ref="M1:Q2"/>
    <mergeCell ref="O15:Q15"/>
    <mergeCell ref="A1:E2"/>
    <mergeCell ref="G1:K2"/>
    <mergeCell ref="C15:E15"/>
    <mergeCell ref="I15:K15"/>
    <mergeCell ref="A21:E22"/>
    <mergeCell ref="C33:D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C0A0-BA72-4762-94D5-8FD7C907956C}">
  <dimension ref="A1:Z106"/>
  <sheetViews>
    <sheetView zoomScale="170" zoomScaleNormal="170" workbookViewId="0">
      <selection activeCell="E26" sqref="E26"/>
    </sheetView>
  </sheetViews>
  <sheetFormatPr baseColWidth="10" defaultColWidth="9.1640625" defaultRowHeight="15" x14ac:dyDescent="0.2"/>
  <cols>
    <col min="1" max="1" width="61.1640625" style="18" customWidth="1"/>
    <col min="2" max="13" width="15.6640625" style="18" customWidth="1"/>
    <col min="14" max="16384" width="9.1640625" style="18"/>
  </cols>
  <sheetData>
    <row r="1" spans="1:7" ht="19" x14ac:dyDescent="0.25">
      <c r="A1" s="2" t="s">
        <v>2</v>
      </c>
      <c r="B1" s="3"/>
    </row>
    <row r="2" spans="1:7" x14ac:dyDescent="0.2">
      <c r="A2" s="1" t="s">
        <v>0</v>
      </c>
      <c r="B2" s="15">
        <f>B32</f>
        <v>205.80000000000004</v>
      </c>
    </row>
    <row r="3" spans="1:7" x14ac:dyDescent="0.2">
      <c r="A3" s="1" t="s">
        <v>1</v>
      </c>
      <c r="B3" s="15">
        <f>B35</f>
        <v>1494.1299999999999</v>
      </c>
    </row>
    <row r="4" spans="1:7" x14ac:dyDescent="0.2">
      <c r="A4" s="1" t="s">
        <v>49</v>
      </c>
      <c r="B4" s="15">
        <v>325.17</v>
      </c>
    </row>
    <row r="5" spans="1:7" ht="16" x14ac:dyDescent="0.2">
      <c r="A5" s="27" t="s">
        <v>38</v>
      </c>
      <c r="B5" s="30">
        <f>SUM(B2:B4)</f>
        <v>2025.1</v>
      </c>
      <c r="C5" s="18" t="s">
        <v>42</v>
      </c>
    </row>
    <row r="6" spans="1:7" x14ac:dyDescent="0.2">
      <c r="B6" s="3"/>
    </row>
    <row r="7" spans="1:7" x14ac:dyDescent="0.2">
      <c r="B7" s="3"/>
    </row>
    <row r="8" spans="1:7" ht="19" x14ac:dyDescent="0.25">
      <c r="A8" s="2" t="s">
        <v>5</v>
      </c>
      <c r="B8" s="3"/>
      <c r="E8" s="18" t="s">
        <v>211</v>
      </c>
      <c r="F8" s="76" t="s">
        <v>212</v>
      </c>
      <c r="G8" s="76" t="s">
        <v>210</v>
      </c>
    </row>
    <row r="9" spans="1:7" x14ac:dyDescent="0.2">
      <c r="A9" s="18" t="s">
        <v>6</v>
      </c>
      <c r="B9" s="15">
        <f>B40</f>
        <v>249.47999999999996</v>
      </c>
      <c r="C9" s="18" t="s">
        <v>41</v>
      </c>
      <c r="E9" s="15">
        <f>SUM(B13:B16)</f>
        <v>542.29999999999995</v>
      </c>
      <c r="F9" s="3">
        <f>B11+B17</f>
        <v>792.1</v>
      </c>
      <c r="G9" s="3">
        <f>B9+B10+B18+B12</f>
        <v>330.34999999999997</v>
      </c>
    </row>
    <row r="10" spans="1:7" x14ac:dyDescent="0.2">
      <c r="A10" s="18" t="s">
        <v>7</v>
      </c>
      <c r="B10" s="15">
        <f>B45</f>
        <v>56.88</v>
      </c>
      <c r="C10" s="18" t="s">
        <v>41</v>
      </c>
    </row>
    <row r="11" spans="1:7" x14ac:dyDescent="0.2">
      <c r="A11" s="18" t="s">
        <v>8</v>
      </c>
      <c r="B11" s="15">
        <f>B50</f>
        <v>766.62</v>
      </c>
      <c r="C11" s="18" t="s">
        <v>56</v>
      </c>
    </row>
    <row r="12" spans="1:7" x14ac:dyDescent="0.2">
      <c r="A12" s="18" t="s">
        <v>81</v>
      </c>
      <c r="B12" s="19">
        <f>B54</f>
        <v>18.7</v>
      </c>
      <c r="C12" s="18" t="s">
        <v>41</v>
      </c>
      <c r="E12" s="15"/>
    </row>
    <row r="13" spans="1:7" x14ac:dyDescent="0.2">
      <c r="A13" s="18" t="s">
        <v>86</v>
      </c>
      <c r="B13" s="15">
        <f>B63</f>
        <v>96.86</v>
      </c>
      <c r="C13" s="18" t="s">
        <v>40</v>
      </c>
      <c r="E13" s="15"/>
    </row>
    <row r="14" spans="1:7" x14ac:dyDescent="0.2">
      <c r="A14" s="18" t="s">
        <v>87</v>
      </c>
      <c r="B14" s="15">
        <f>B72</f>
        <v>90.2</v>
      </c>
      <c r="C14" s="18" t="s">
        <v>40</v>
      </c>
    </row>
    <row r="15" spans="1:7" x14ac:dyDescent="0.2">
      <c r="A15" s="18" t="s">
        <v>88</v>
      </c>
      <c r="B15" s="15">
        <f>B82</f>
        <v>127.84</v>
      </c>
      <c r="C15" s="18" t="s">
        <v>40</v>
      </c>
    </row>
    <row r="16" spans="1:7" x14ac:dyDescent="0.2">
      <c r="A16" s="18" t="s">
        <v>173</v>
      </c>
      <c r="B16" s="15">
        <f>379*0.6</f>
        <v>227.4</v>
      </c>
      <c r="C16" s="18" t="s">
        <v>40</v>
      </c>
    </row>
    <row r="17" spans="1:13" x14ac:dyDescent="0.2">
      <c r="A17" s="18" t="s">
        <v>175</v>
      </c>
      <c r="B17" s="15">
        <v>25.48</v>
      </c>
      <c r="C17" s="18" t="s">
        <v>56</v>
      </c>
    </row>
    <row r="18" spans="1:13" x14ac:dyDescent="0.2">
      <c r="A18" s="18" t="s">
        <v>174</v>
      </c>
      <c r="B18" s="15">
        <v>5.29</v>
      </c>
      <c r="C18" s="18" t="s">
        <v>41</v>
      </c>
    </row>
    <row r="19" spans="1:13" ht="16" x14ac:dyDescent="0.2">
      <c r="A19" s="28" t="s">
        <v>38</v>
      </c>
      <c r="B19" s="30">
        <f>SUM(B9:B18)</f>
        <v>1664.75</v>
      </c>
    </row>
    <row r="21" spans="1:13" x14ac:dyDescent="0.2">
      <c r="B21" s="15"/>
    </row>
    <row r="22" spans="1:13" ht="16" x14ac:dyDescent="0.2">
      <c r="A22" s="28" t="s">
        <v>102</v>
      </c>
      <c r="B22" s="31">
        <v>2931.52</v>
      </c>
      <c r="C22" s="18" t="s">
        <v>103</v>
      </c>
    </row>
    <row r="23" spans="1:13" x14ac:dyDescent="0.2">
      <c r="B23" s="15"/>
    </row>
    <row r="24" spans="1:13" ht="19" x14ac:dyDescent="0.25">
      <c r="A24" s="2" t="s">
        <v>11</v>
      </c>
      <c r="B24" s="15"/>
    </row>
    <row r="25" spans="1:13" x14ac:dyDescent="0.2">
      <c r="A25" s="18" t="s">
        <v>12</v>
      </c>
      <c r="B25" s="23">
        <v>940</v>
      </c>
    </row>
    <row r="26" spans="1:13" x14ac:dyDescent="0.2">
      <c r="A26" s="18" t="s">
        <v>37</v>
      </c>
      <c r="B26" s="23">
        <v>39.479999999999997</v>
      </c>
    </row>
    <row r="28" spans="1:13" x14ac:dyDescent="0.2">
      <c r="B28" s="3"/>
    </row>
    <row r="29" spans="1:13" ht="19" x14ac:dyDescent="0.25">
      <c r="A29" s="2" t="s">
        <v>13</v>
      </c>
      <c r="B29" s="3"/>
    </row>
    <row r="30" spans="1:13" x14ac:dyDescent="0.2">
      <c r="B30" s="7" t="s">
        <v>18</v>
      </c>
      <c r="C30" s="71" t="s">
        <v>19</v>
      </c>
      <c r="D30" s="7" t="s">
        <v>20</v>
      </c>
      <c r="E30" s="71" t="s">
        <v>21</v>
      </c>
      <c r="F30" s="7" t="s">
        <v>22</v>
      </c>
      <c r="G30" s="71" t="s">
        <v>23</v>
      </c>
      <c r="H30" s="7" t="s">
        <v>24</v>
      </c>
      <c r="I30" s="71" t="s">
        <v>25</v>
      </c>
      <c r="J30" s="7" t="s">
        <v>26</v>
      </c>
      <c r="K30" s="71" t="s">
        <v>27</v>
      </c>
      <c r="L30" s="7" t="s">
        <v>28</v>
      </c>
      <c r="M30" s="71" t="s">
        <v>29</v>
      </c>
    </row>
    <row r="31" spans="1:13" x14ac:dyDescent="0.2">
      <c r="A31" s="18" t="s">
        <v>0</v>
      </c>
      <c r="B31" s="15">
        <v>17.149999999999999</v>
      </c>
      <c r="C31" s="15">
        <v>17.149999999999999</v>
      </c>
      <c r="D31" s="15">
        <v>17.149999999999999</v>
      </c>
      <c r="E31" s="15">
        <v>17.149999999999999</v>
      </c>
      <c r="F31" s="15">
        <v>17.149999999999999</v>
      </c>
      <c r="G31" s="15">
        <v>17.149999999999999</v>
      </c>
      <c r="H31" s="15">
        <v>17.149999999999999</v>
      </c>
      <c r="I31" s="15">
        <v>17.149999999999999</v>
      </c>
      <c r="J31" s="15">
        <v>17.149999999999999</v>
      </c>
      <c r="K31" s="15">
        <v>17.149999999999999</v>
      </c>
      <c r="L31" s="15">
        <v>17.149999999999999</v>
      </c>
      <c r="M31" s="15">
        <v>17.149999999999999</v>
      </c>
    </row>
    <row r="32" spans="1:13" x14ac:dyDescent="0.2">
      <c r="A32" s="18" t="s">
        <v>35</v>
      </c>
      <c r="B32" s="16">
        <f>SUM(B31:M31)</f>
        <v>205.80000000000004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x14ac:dyDescent="0.2">
      <c r="B33" s="7" t="s">
        <v>18</v>
      </c>
      <c r="C33" s="71" t="s">
        <v>19</v>
      </c>
      <c r="D33" s="7" t="s">
        <v>20</v>
      </c>
      <c r="E33" s="71" t="s">
        <v>21</v>
      </c>
      <c r="F33" s="7" t="s">
        <v>22</v>
      </c>
      <c r="G33" s="71" t="s">
        <v>23</v>
      </c>
      <c r="H33" s="7" t="s">
        <v>24</v>
      </c>
      <c r="I33" s="71" t="s">
        <v>25</v>
      </c>
      <c r="J33" s="7" t="s">
        <v>26</v>
      </c>
      <c r="K33" s="71" t="s">
        <v>27</v>
      </c>
      <c r="L33" s="7" t="s">
        <v>28</v>
      </c>
      <c r="M33" s="71" t="s">
        <v>29</v>
      </c>
    </row>
    <row r="34" spans="1:13" x14ac:dyDescent="0.2">
      <c r="A34" s="18" t="s">
        <v>1</v>
      </c>
      <c r="B34" s="15">
        <v>121.67</v>
      </c>
      <c r="C34" s="15">
        <v>121.67</v>
      </c>
      <c r="D34" s="15">
        <v>121.67</v>
      </c>
      <c r="E34" s="15">
        <v>121.67</v>
      </c>
      <c r="F34" s="15">
        <v>121.67</v>
      </c>
      <c r="G34" s="15">
        <v>126.54</v>
      </c>
      <c r="H34" s="15">
        <v>126.54</v>
      </c>
      <c r="I34" s="15">
        <v>126.54</v>
      </c>
      <c r="J34" s="15">
        <v>126.54</v>
      </c>
      <c r="K34" s="15">
        <v>126.54</v>
      </c>
      <c r="L34" s="15">
        <v>126.54</v>
      </c>
      <c r="M34" s="15">
        <v>126.54</v>
      </c>
    </row>
    <row r="35" spans="1:13" x14ac:dyDescent="0.2">
      <c r="A35" s="18" t="s">
        <v>35</v>
      </c>
      <c r="B35" s="16">
        <f>SUM(B34:M34)</f>
        <v>1494.1299999999999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">
      <c r="A37" s="18" t="s">
        <v>58</v>
      </c>
      <c r="B37" s="18">
        <f>12*44.65</f>
        <v>535.79999999999995</v>
      </c>
    </row>
    <row r="38" spans="1:13" x14ac:dyDescent="0.2">
      <c r="A38" s="18" t="s">
        <v>57</v>
      </c>
      <c r="B38" s="15">
        <f>32.9+1.75</f>
        <v>34.65</v>
      </c>
    </row>
    <row r="39" spans="1:13" x14ac:dyDescent="0.2">
      <c r="A39" s="18" t="s">
        <v>16</v>
      </c>
      <c r="B39" s="15">
        <f>12*B38</f>
        <v>415.79999999999995</v>
      </c>
    </row>
    <row r="40" spans="1:13" x14ac:dyDescent="0.2">
      <c r="A40" s="4" t="s">
        <v>17</v>
      </c>
      <c r="B40" s="16">
        <f>0.6*B39</f>
        <v>249.47999999999996</v>
      </c>
    </row>
    <row r="42" spans="1:13" x14ac:dyDescent="0.2">
      <c r="B42" s="7" t="s">
        <v>18</v>
      </c>
      <c r="C42" s="71" t="s">
        <v>19</v>
      </c>
      <c r="D42" s="7" t="s">
        <v>20</v>
      </c>
      <c r="E42" s="71" t="s">
        <v>21</v>
      </c>
      <c r="F42" s="7" t="s">
        <v>22</v>
      </c>
      <c r="G42" s="71" t="s">
        <v>23</v>
      </c>
      <c r="H42" s="7" t="s">
        <v>24</v>
      </c>
      <c r="I42" s="71" t="s">
        <v>25</v>
      </c>
      <c r="J42" s="7" t="s">
        <v>26</v>
      </c>
      <c r="K42" s="71" t="s">
        <v>27</v>
      </c>
      <c r="L42" s="7" t="s">
        <v>28</v>
      </c>
      <c r="M42" s="71" t="s">
        <v>29</v>
      </c>
    </row>
    <row r="43" spans="1:13" x14ac:dyDescent="0.2">
      <c r="A43" s="18" t="s">
        <v>170</v>
      </c>
      <c r="B43" s="15">
        <v>7.9</v>
      </c>
      <c r="C43" s="15">
        <v>7.9</v>
      </c>
      <c r="D43" s="15">
        <v>7.9</v>
      </c>
      <c r="E43" s="15">
        <v>7.9</v>
      </c>
      <c r="F43" s="15">
        <v>7.9</v>
      </c>
      <c r="G43" s="15">
        <v>7.9</v>
      </c>
      <c r="H43" s="15">
        <v>7.9</v>
      </c>
      <c r="I43" s="15">
        <v>7.9</v>
      </c>
      <c r="J43" s="15">
        <v>7.9</v>
      </c>
      <c r="K43" s="15">
        <v>7.9</v>
      </c>
      <c r="L43" s="15">
        <v>7.9</v>
      </c>
      <c r="M43" s="15">
        <v>7.9</v>
      </c>
    </row>
    <row r="44" spans="1:13" x14ac:dyDescent="0.2">
      <c r="A44" s="18" t="s">
        <v>35</v>
      </c>
      <c r="B44" s="15">
        <f>SUM(B43:M43)</f>
        <v>94.800000000000011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4" t="s">
        <v>17</v>
      </c>
      <c r="B45" s="16">
        <f>0.6*B44</f>
        <v>56.88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B46" s="3"/>
    </row>
    <row r="47" spans="1:13" x14ac:dyDescent="0.2">
      <c r="A47" s="18" t="s">
        <v>32</v>
      </c>
      <c r="B47" s="3"/>
    </row>
    <row r="48" spans="1:13" x14ac:dyDescent="0.2">
      <c r="A48" s="18" t="s">
        <v>171</v>
      </c>
      <c r="B48" s="15">
        <v>383.06</v>
      </c>
    </row>
    <row r="49" spans="1:26" x14ac:dyDescent="0.2">
      <c r="A49" s="18" t="s">
        <v>172</v>
      </c>
      <c r="B49" s="15">
        <v>383.56</v>
      </c>
    </row>
    <row r="50" spans="1:26" x14ac:dyDescent="0.2">
      <c r="A50" s="18" t="s">
        <v>35</v>
      </c>
      <c r="B50" s="16">
        <f>B48+B49</f>
        <v>766.62</v>
      </c>
    </row>
    <row r="51" spans="1:26" x14ac:dyDescent="0.2">
      <c r="B51" s="15"/>
    </row>
    <row r="52" spans="1:26" x14ac:dyDescent="0.2">
      <c r="A52" s="18" t="s">
        <v>81</v>
      </c>
      <c r="B52" s="32">
        <v>43482</v>
      </c>
      <c r="C52" s="32">
        <v>43543</v>
      </c>
      <c r="D52" s="32">
        <v>43550</v>
      </c>
      <c r="E52" s="32">
        <v>43581</v>
      </c>
      <c r="F52" s="32">
        <v>43601</v>
      </c>
      <c r="G52" s="32">
        <v>43629</v>
      </c>
      <c r="H52" s="32">
        <v>43741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2">
      <c r="A53" s="18" t="s">
        <v>82</v>
      </c>
      <c r="B53" s="19">
        <v>3.3</v>
      </c>
      <c r="C53" s="19">
        <v>2.2000000000000002</v>
      </c>
      <c r="D53" s="19">
        <v>2.2000000000000002</v>
      </c>
      <c r="E53" s="19">
        <v>3.3</v>
      </c>
      <c r="F53" s="19">
        <v>2</v>
      </c>
      <c r="G53" s="19">
        <v>3.3</v>
      </c>
      <c r="H53" s="19">
        <v>2.4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x14ac:dyDescent="0.2">
      <c r="A54" s="18" t="s">
        <v>35</v>
      </c>
      <c r="B54" s="17">
        <f>SUM(B53:H53)</f>
        <v>18.7</v>
      </c>
    </row>
    <row r="56" spans="1:26" x14ac:dyDescent="0.2">
      <c r="A56" s="18" t="s">
        <v>54</v>
      </c>
    </row>
    <row r="57" spans="1:26" x14ac:dyDescent="0.2">
      <c r="A57" s="18" t="s">
        <v>83</v>
      </c>
      <c r="B57" s="22">
        <v>968.63</v>
      </c>
    </row>
    <row r="58" spans="1:26" x14ac:dyDescent="0.2">
      <c r="A58" s="4" t="s">
        <v>17</v>
      </c>
      <c r="B58" s="22">
        <f>B57*0.6</f>
        <v>581.178</v>
      </c>
    </row>
    <row r="60" spans="1:26" x14ac:dyDescent="0.2">
      <c r="A60" s="18">
        <v>2016</v>
      </c>
      <c r="B60" s="15">
        <v>96.86</v>
      </c>
    </row>
    <row r="61" spans="1:26" x14ac:dyDescent="0.2">
      <c r="A61" s="18">
        <v>2017</v>
      </c>
      <c r="B61" s="15">
        <v>193.73</v>
      </c>
      <c r="H61" s="19"/>
    </row>
    <row r="62" spans="1:26" x14ac:dyDescent="0.2">
      <c r="A62" s="18">
        <v>2018</v>
      </c>
      <c r="B62" s="18">
        <v>193.73</v>
      </c>
      <c r="H62" s="19"/>
    </row>
    <row r="63" spans="1:26" x14ac:dyDescent="0.2">
      <c r="A63" s="18">
        <v>2019</v>
      </c>
      <c r="B63" s="16">
        <v>96.86</v>
      </c>
      <c r="H63" s="19"/>
    </row>
    <row r="64" spans="1:26" x14ac:dyDescent="0.2">
      <c r="B64" s="15">
        <f>SUM(B60:B63)</f>
        <v>581.17999999999995</v>
      </c>
      <c r="H64" s="19"/>
    </row>
    <row r="66" spans="1:8" x14ac:dyDescent="0.2">
      <c r="A66" s="18" t="s">
        <v>84</v>
      </c>
      <c r="H66" s="19"/>
    </row>
    <row r="67" spans="1:8" x14ac:dyDescent="0.2">
      <c r="A67" s="18" t="s">
        <v>83</v>
      </c>
      <c r="B67" s="15">
        <v>450.97</v>
      </c>
      <c r="H67" s="19"/>
    </row>
    <row r="68" spans="1:8" x14ac:dyDescent="0.2">
      <c r="A68" s="4" t="s">
        <v>17</v>
      </c>
      <c r="B68" s="15">
        <f>B67*0.6</f>
        <v>270.58199999999999</v>
      </c>
      <c r="H68" s="19"/>
    </row>
    <row r="69" spans="1:8" x14ac:dyDescent="0.2">
      <c r="B69" s="15"/>
      <c r="H69" s="19"/>
    </row>
    <row r="70" spans="1:8" x14ac:dyDescent="0.2">
      <c r="A70" s="18">
        <v>2017</v>
      </c>
      <c r="B70" s="15">
        <v>45.09</v>
      </c>
      <c r="H70" s="19"/>
    </row>
    <row r="71" spans="1:8" x14ac:dyDescent="0.2">
      <c r="A71" s="18">
        <v>2018</v>
      </c>
      <c r="B71" s="18">
        <v>90.2</v>
      </c>
      <c r="H71" s="19"/>
    </row>
    <row r="72" spans="1:8" x14ac:dyDescent="0.2">
      <c r="A72" s="18">
        <v>2019</v>
      </c>
      <c r="B72" s="16">
        <v>90.2</v>
      </c>
      <c r="H72" s="19"/>
    </row>
    <row r="73" spans="1:8" x14ac:dyDescent="0.2">
      <c r="A73" s="18">
        <v>2020</v>
      </c>
      <c r="B73" s="15">
        <v>45.09</v>
      </c>
      <c r="H73" s="19"/>
    </row>
    <row r="74" spans="1:8" x14ac:dyDescent="0.2">
      <c r="B74" s="15">
        <f>SUM(B70:B73)</f>
        <v>270.58000000000004</v>
      </c>
      <c r="H74" s="19"/>
    </row>
    <row r="75" spans="1:8" x14ac:dyDescent="0.2">
      <c r="H75" s="19"/>
    </row>
    <row r="76" spans="1:8" x14ac:dyDescent="0.2">
      <c r="A76" s="18" t="s">
        <v>85</v>
      </c>
      <c r="H76" s="19"/>
    </row>
    <row r="77" spans="1:8" x14ac:dyDescent="0.2">
      <c r="A77" s="18" t="s">
        <v>83</v>
      </c>
      <c r="B77" s="15">
        <v>639.20000000000005</v>
      </c>
      <c r="H77" s="19"/>
    </row>
    <row r="78" spans="1:8" x14ac:dyDescent="0.2">
      <c r="A78" s="4" t="s">
        <v>17</v>
      </c>
      <c r="B78" s="15">
        <f>B77*0.6</f>
        <v>383.52000000000004</v>
      </c>
      <c r="H78" s="19"/>
    </row>
    <row r="79" spans="1:8" x14ac:dyDescent="0.2">
      <c r="H79" s="19"/>
    </row>
    <row r="80" spans="1:8" x14ac:dyDescent="0.2">
      <c r="A80" s="18">
        <v>2017</v>
      </c>
      <c r="B80" s="15">
        <v>63.92</v>
      </c>
      <c r="H80" s="19"/>
    </row>
    <row r="81" spans="1:8" x14ac:dyDescent="0.2">
      <c r="A81" s="18">
        <v>2018</v>
      </c>
      <c r="B81" s="18">
        <v>127.84</v>
      </c>
      <c r="H81" s="19"/>
    </row>
    <row r="82" spans="1:8" x14ac:dyDescent="0.2">
      <c r="A82" s="18">
        <v>2019</v>
      </c>
      <c r="B82" s="16">
        <v>127.84</v>
      </c>
    </row>
    <row r="83" spans="1:8" x14ac:dyDescent="0.2">
      <c r="A83" s="18">
        <v>2020</v>
      </c>
      <c r="B83" s="15">
        <v>63.92</v>
      </c>
    </row>
    <row r="84" spans="1:8" x14ac:dyDescent="0.2">
      <c r="B84" s="15">
        <f>SUM(B80:B83)</f>
        <v>383.52000000000004</v>
      </c>
    </row>
    <row r="86" spans="1:8" x14ac:dyDescent="0.2">
      <c r="A86" s="26"/>
    </row>
    <row r="87" spans="1:8" x14ac:dyDescent="0.2">
      <c r="B87" s="33"/>
      <c r="C87" s="33"/>
      <c r="D87" s="33"/>
      <c r="E87" s="33"/>
      <c r="F87" s="33"/>
      <c r="G87" s="33"/>
    </row>
    <row r="88" spans="1:8" x14ac:dyDescent="0.2">
      <c r="B88" s="20"/>
      <c r="C88" s="20"/>
      <c r="D88" s="20"/>
      <c r="E88" s="20"/>
      <c r="F88" s="20"/>
      <c r="G88" s="20"/>
    </row>
    <row r="89" spans="1:8" x14ac:dyDescent="0.2">
      <c r="B89" s="20"/>
    </row>
    <row r="91" spans="1:8" x14ac:dyDescent="0.2">
      <c r="B91" s="24"/>
      <c r="C91" s="24"/>
      <c r="D91" s="24"/>
      <c r="E91" s="24"/>
      <c r="F91" s="24"/>
      <c r="G91" s="24"/>
      <c r="H91" s="24"/>
    </row>
    <row r="92" spans="1:8" x14ac:dyDescent="0.2">
      <c r="B92" s="21"/>
      <c r="C92" s="21"/>
      <c r="D92" s="21"/>
      <c r="E92" s="21"/>
      <c r="F92" s="21"/>
      <c r="G92" s="21"/>
      <c r="H92" s="21"/>
    </row>
    <row r="93" spans="1:8" x14ac:dyDescent="0.2">
      <c r="B93" s="21"/>
    </row>
    <row r="95" spans="1:8" x14ac:dyDescent="0.2">
      <c r="B95" s="15"/>
      <c r="C95" s="34"/>
    </row>
    <row r="96" spans="1:8" x14ac:dyDescent="0.2">
      <c r="B96" s="15"/>
    </row>
    <row r="97" spans="2:2" x14ac:dyDescent="0.2">
      <c r="B97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6" spans="2:2" x14ac:dyDescent="0.2">
      <c r="B106" s="25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0FDF-F307-4A0B-AA7E-FBECBEA542D5}">
  <dimension ref="A1:Q57"/>
  <sheetViews>
    <sheetView topLeftCell="A31" zoomScale="180" zoomScaleNormal="180" workbookViewId="0">
      <selection activeCell="D39" sqref="D39"/>
    </sheetView>
  </sheetViews>
  <sheetFormatPr baseColWidth="10" defaultColWidth="9.1640625" defaultRowHeight="15" x14ac:dyDescent="0.2"/>
  <cols>
    <col min="1" max="1" width="57.83203125" style="74" customWidth="1"/>
    <col min="2" max="2" width="21.6640625" style="74" customWidth="1"/>
    <col min="3" max="3" width="13.83203125" style="74" customWidth="1"/>
    <col min="4" max="4" width="17.83203125" style="74" customWidth="1"/>
    <col min="5" max="5" width="45" style="74" customWidth="1"/>
    <col min="6" max="6" width="9.1640625" style="74"/>
    <col min="7" max="7" width="58.6640625" style="74" customWidth="1"/>
    <col min="8" max="8" width="13.6640625" style="74" customWidth="1"/>
    <col min="9" max="9" width="10" style="74" customWidth="1"/>
    <col min="10" max="10" width="15.1640625" style="74" customWidth="1"/>
    <col min="11" max="11" width="40.6640625" style="74" customWidth="1"/>
    <col min="12" max="12" width="9.1640625" style="74"/>
    <col min="13" max="13" width="49.6640625" style="74" customWidth="1"/>
    <col min="14" max="14" width="24" style="74" customWidth="1"/>
    <col min="15" max="15" width="9.1640625" style="74"/>
    <col min="16" max="16" width="28.5" style="74" customWidth="1"/>
    <col min="17" max="16384" width="9.1640625" style="74"/>
  </cols>
  <sheetData>
    <row r="1" spans="1:17" x14ac:dyDescent="0.2">
      <c r="A1" s="84" t="s">
        <v>190</v>
      </c>
      <c r="B1" s="84"/>
      <c r="C1" s="84"/>
      <c r="D1" s="84"/>
      <c r="E1" s="84"/>
      <c r="G1" s="84" t="s">
        <v>189</v>
      </c>
      <c r="H1" s="84"/>
      <c r="I1" s="84"/>
      <c r="J1" s="84"/>
      <c r="K1" s="84"/>
      <c r="M1" s="84" t="s">
        <v>202</v>
      </c>
      <c r="N1" s="84"/>
      <c r="O1" s="84"/>
      <c r="P1" s="84"/>
      <c r="Q1" s="84"/>
    </row>
    <row r="2" spans="1:17" x14ac:dyDescent="0.2">
      <c r="A2" s="84"/>
      <c r="B2" s="84"/>
      <c r="C2" s="84"/>
      <c r="D2" s="84"/>
      <c r="E2" s="84"/>
      <c r="G2" s="84"/>
      <c r="H2" s="84"/>
      <c r="I2" s="84"/>
      <c r="J2" s="84"/>
      <c r="K2" s="84"/>
      <c r="M2" s="84"/>
      <c r="N2" s="84"/>
      <c r="O2" s="84"/>
      <c r="P2" s="84"/>
      <c r="Q2" s="84"/>
    </row>
    <row r="3" spans="1:17" x14ac:dyDescent="0.2">
      <c r="C3" s="73" t="s">
        <v>118</v>
      </c>
      <c r="I3" s="73" t="s">
        <v>118</v>
      </c>
      <c r="O3" s="73" t="s">
        <v>118</v>
      </c>
    </row>
    <row r="4" spans="1:17" x14ac:dyDescent="0.2">
      <c r="A4" s="74" t="s">
        <v>203</v>
      </c>
      <c r="B4" s="35">
        <v>5821.89</v>
      </c>
      <c r="C4" s="73">
        <v>210</v>
      </c>
      <c r="G4" s="74" t="s">
        <v>163</v>
      </c>
      <c r="H4" s="35">
        <v>44996.93</v>
      </c>
      <c r="I4" s="73">
        <v>210</v>
      </c>
      <c r="M4" s="74" t="s">
        <v>203</v>
      </c>
      <c r="N4" s="35">
        <v>2000</v>
      </c>
      <c r="O4" s="73">
        <v>210</v>
      </c>
    </row>
    <row r="5" spans="1:17" x14ac:dyDescent="0.2">
      <c r="A5" s="36" t="s">
        <v>204</v>
      </c>
      <c r="B5" s="37">
        <f>B4-B6</f>
        <v>5166.83</v>
      </c>
      <c r="C5" s="73"/>
      <c r="G5" s="36" t="s">
        <v>164</v>
      </c>
      <c r="H5" s="37">
        <f>H4-H6</f>
        <v>38585.839999999997</v>
      </c>
      <c r="I5" s="73"/>
      <c r="M5" s="36" t="s">
        <v>204</v>
      </c>
      <c r="N5" s="37">
        <f>N4-N6</f>
        <v>1929.6</v>
      </c>
      <c r="O5" s="73"/>
    </row>
    <row r="6" spans="1:17" x14ac:dyDescent="0.2">
      <c r="A6" s="38" t="s">
        <v>121</v>
      </c>
      <c r="B6" s="39">
        <v>655.05999999999995</v>
      </c>
      <c r="C6" s="73">
        <v>220</v>
      </c>
      <c r="G6" s="38" t="s">
        <v>121</v>
      </c>
      <c r="H6" s="39">
        <v>6411.09</v>
      </c>
      <c r="I6" s="73">
        <v>220</v>
      </c>
      <c r="M6" s="38" t="s">
        <v>121</v>
      </c>
      <c r="N6" s="39">
        <v>70.400000000000006</v>
      </c>
      <c r="O6" s="73">
        <v>220</v>
      </c>
    </row>
    <row r="7" spans="1:17" x14ac:dyDescent="0.2">
      <c r="B7" s="35"/>
      <c r="C7" s="73"/>
      <c r="H7" s="35"/>
      <c r="I7" s="73"/>
      <c r="N7" s="35"/>
      <c r="O7" s="73"/>
    </row>
    <row r="8" spans="1:17" x14ac:dyDescent="0.2">
      <c r="A8" s="36" t="s">
        <v>205</v>
      </c>
      <c r="B8" s="37">
        <v>290.45999999999998</v>
      </c>
      <c r="C8" s="73">
        <v>230</v>
      </c>
      <c r="D8" s="40">
        <f>ROUND(B5*0.1812,2)</f>
        <v>936.23</v>
      </c>
      <c r="E8" s="41" t="s">
        <v>123</v>
      </c>
      <c r="G8" s="36" t="s">
        <v>205</v>
      </c>
      <c r="H8" s="37">
        <v>7061.68</v>
      </c>
      <c r="I8" s="73">
        <v>230</v>
      </c>
      <c r="J8" s="40">
        <f>ROUND(H5*0.1812,2)</f>
        <v>6991.75</v>
      </c>
      <c r="K8" s="41" t="s">
        <v>123</v>
      </c>
      <c r="M8" s="36" t="s">
        <v>205</v>
      </c>
      <c r="N8" s="37">
        <v>281.60000000000002</v>
      </c>
      <c r="O8" s="73">
        <v>230</v>
      </c>
      <c r="P8" s="40">
        <f>ROUND(N5*0.1812,2)</f>
        <v>349.64</v>
      </c>
      <c r="Q8" s="41" t="s">
        <v>123</v>
      </c>
    </row>
    <row r="9" spans="1:17" x14ac:dyDescent="0.2">
      <c r="A9" s="38" t="s">
        <v>124</v>
      </c>
      <c r="B9" s="39">
        <v>0</v>
      </c>
      <c r="C9" s="73">
        <v>225</v>
      </c>
      <c r="D9" s="40">
        <f>ROUND(B6*0.1712,2)</f>
        <v>112.15</v>
      </c>
      <c r="E9" s="41" t="s">
        <v>125</v>
      </c>
      <c r="G9" s="38" t="s">
        <v>124</v>
      </c>
      <c r="H9" s="39">
        <v>919.99</v>
      </c>
      <c r="I9" s="73">
        <v>225</v>
      </c>
      <c r="J9" s="40">
        <f>ROUND(H6*0.1712,2)</f>
        <v>1097.58</v>
      </c>
      <c r="K9" s="41" t="s">
        <v>125</v>
      </c>
      <c r="M9" s="38" t="s">
        <v>124</v>
      </c>
      <c r="N9" s="39">
        <v>70.400000000000006</v>
      </c>
      <c r="O9" s="73">
        <v>225</v>
      </c>
      <c r="P9" s="40">
        <f>ROUND(N6*0.1712,2)</f>
        <v>12.05</v>
      </c>
      <c r="Q9" s="41" t="s">
        <v>125</v>
      </c>
    </row>
    <row r="10" spans="1:17" x14ac:dyDescent="0.2">
      <c r="A10" s="74" t="s">
        <v>126</v>
      </c>
      <c r="B10" s="35">
        <f>B8+B9</f>
        <v>290.45999999999998</v>
      </c>
      <c r="C10" s="73"/>
      <c r="D10" s="40">
        <f>D8+D9</f>
        <v>1048.3800000000001</v>
      </c>
      <c r="E10" s="41" t="s">
        <v>127</v>
      </c>
      <c r="G10" s="74" t="s">
        <v>126</v>
      </c>
      <c r="H10" s="35">
        <f>H8+H9</f>
        <v>7981.67</v>
      </c>
      <c r="I10" s="73"/>
      <c r="J10" s="40">
        <f>J8+J9</f>
        <v>8089.33</v>
      </c>
      <c r="K10" s="41" t="s">
        <v>127</v>
      </c>
      <c r="M10" s="74" t="s">
        <v>126</v>
      </c>
      <c r="N10" s="35">
        <f>N8+N9</f>
        <v>352</v>
      </c>
      <c r="O10" s="73"/>
      <c r="P10" s="40">
        <f>P8+P9</f>
        <v>361.69</v>
      </c>
      <c r="Q10" s="41" t="s">
        <v>127</v>
      </c>
    </row>
    <row r="11" spans="1:17" x14ac:dyDescent="0.2">
      <c r="B11" s="35"/>
      <c r="C11" s="73"/>
      <c r="H11" s="35"/>
      <c r="I11" s="73"/>
      <c r="N11" s="35"/>
      <c r="O11" s="73"/>
    </row>
    <row r="12" spans="1:17" x14ac:dyDescent="0.2">
      <c r="A12" s="36" t="s">
        <v>206</v>
      </c>
      <c r="B12" s="37">
        <f>B5-B8-B15</f>
        <v>4868.99</v>
      </c>
      <c r="C12" s="73">
        <v>245</v>
      </c>
      <c r="D12" s="74" t="s">
        <v>129</v>
      </c>
      <c r="G12" s="36" t="s">
        <v>165</v>
      </c>
      <c r="H12" s="37">
        <f>H5-H8-H16</f>
        <v>31424.159999999996</v>
      </c>
      <c r="I12" s="73">
        <v>245</v>
      </c>
      <c r="J12" s="74" t="s">
        <v>129</v>
      </c>
      <c r="M12" s="36" t="s">
        <v>206</v>
      </c>
      <c r="N12" s="37">
        <f>N5-N8</f>
        <v>1648</v>
      </c>
      <c r="O12" s="73">
        <v>245</v>
      </c>
      <c r="P12" s="74" t="s">
        <v>129</v>
      </c>
    </row>
    <row r="13" spans="1:17" x14ac:dyDescent="0.2">
      <c r="A13" s="38" t="s">
        <v>130</v>
      </c>
      <c r="B13" s="39">
        <f>B6-B9</f>
        <v>655.05999999999995</v>
      </c>
      <c r="C13" s="73"/>
      <c r="D13" s="74" t="s">
        <v>131</v>
      </c>
      <c r="G13" s="38" t="s">
        <v>130</v>
      </c>
      <c r="H13" s="39">
        <f>H6-H9</f>
        <v>5491.1</v>
      </c>
      <c r="I13" s="73"/>
      <c r="J13" s="74" t="s">
        <v>131</v>
      </c>
      <c r="M13" s="38" t="s">
        <v>130</v>
      </c>
      <c r="N13" s="39">
        <f>N6-N9</f>
        <v>0</v>
      </c>
      <c r="O13" s="73"/>
      <c r="P13" s="74" t="s">
        <v>131</v>
      </c>
    </row>
    <row r="14" spans="1:17" x14ac:dyDescent="0.2">
      <c r="B14" s="35"/>
      <c r="H14" s="35"/>
      <c r="N14" s="35"/>
    </row>
    <row r="15" spans="1:17" x14ac:dyDescent="0.2">
      <c r="A15" s="42" t="s">
        <v>207</v>
      </c>
      <c r="B15" s="43">
        <v>7.38</v>
      </c>
      <c r="C15" s="75">
        <v>215</v>
      </c>
      <c r="D15" s="78"/>
      <c r="E15" s="78"/>
      <c r="G15" s="42" t="s">
        <v>132</v>
      </c>
      <c r="H15" s="43">
        <v>12.87</v>
      </c>
      <c r="I15" s="85"/>
      <c r="J15" s="85"/>
      <c r="K15" s="85"/>
      <c r="O15" s="89"/>
      <c r="P15" s="89"/>
      <c r="Q15" s="89"/>
    </row>
    <row r="16" spans="1:17" x14ac:dyDescent="0.2">
      <c r="A16" s="42"/>
      <c r="B16" s="43"/>
      <c r="G16" s="42" t="s">
        <v>208</v>
      </c>
      <c r="H16" s="43">
        <v>100</v>
      </c>
      <c r="I16" s="75">
        <v>243</v>
      </c>
    </row>
    <row r="17" spans="1:15" x14ac:dyDescent="0.2">
      <c r="B17" s="35"/>
      <c r="H17" s="35"/>
      <c r="N17" s="35"/>
    </row>
    <row r="18" spans="1:15" x14ac:dyDescent="0.2">
      <c r="A18" s="44" t="s">
        <v>135</v>
      </c>
      <c r="B18" s="45">
        <v>0</v>
      </c>
      <c r="C18" s="73">
        <v>260</v>
      </c>
      <c r="G18" s="44" t="s">
        <v>135</v>
      </c>
      <c r="H18" s="45">
        <v>5942.19</v>
      </c>
      <c r="I18" s="73">
        <v>260</v>
      </c>
      <c r="M18" s="44" t="s">
        <v>135</v>
      </c>
      <c r="N18" s="45">
        <v>129.53</v>
      </c>
      <c r="O18" s="73">
        <v>260</v>
      </c>
    </row>
    <row r="21" spans="1:15" x14ac:dyDescent="0.2">
      <c r="A21" s="86" t="s">
        <v>191</v>
      </c>
      <c r="B21" s="86"/>
      <c r="C21" s="86"/>
      <c r="D21" s="86"/>
      <c r="E21" s="86"/>
    </row>
    <row r="22" spans="1:15" x14ac:dyDescent="0.2">
      <c r="A22" s="86"/>
      <c r="B22" s="86"/>
      <c r="C22" s="86"/>
      <c r="D22" s="86"/>
      <c r="E22" s="86"/>
    </row>
    <row r="23" spans="1:15" x14ac:dyDescent="0.2">
      <c r="A23" s="46" t="s">
        <v>137</v>
      </c>
      <c r="B23" s="47">
        <f>'2020'!B25</f>
        <v>3087.52</v>
      </c>
    </row>
    <row r="24" spans="1:15" x14ac:dyDescent="0.2">
      <c r="A24" s="36" t="s">
        <v>166</v>
      </c>
      <c r="B24" s="47">
        <f>B12+H12+N12</f>
        <v>37941.149999999994</v>
      </c>
    </row>
    <row r="25" spans="1:15" x14ac:dyDescent="0.2">
      <c r="A25" s="48" t="s">
        <v>139</v>
      </c>
      <c r="B25" s="49">
        <f>B23+B24</f>
        <v>41028.669999999991</v>
      </c>
    </row>
    <row r="26" spans="1:15" x14ac:dyDescent="0.2">
      <c r="B26" s="50"/>
    </row>
    <row r="27" spans="1:15" x14ac:dyDescent="0.2">
      <c r="A27" s="51" t="s">
        <v>140</v>
      </c>
      <c r="B27" s="52"/>
    </row>
    <row r="28" spans="1:15" x14ac:dyDescent="0.2">
      <c r="A28" s="51" t="s">
        <v>5</v>
      </c>
      <c r="B28" s="52">
        <f>'2020'!B22</f>
        <v>1951.4720000000002</v>
      </c>
    </row>
    <row r="29" spans="1:15" x14ac:dyDescent="0.2">
      <c r="A29" s="51" t="s">
        <v>141</v>
      </c>
      <c r="B29" s="52">
        <f>(60000-(B25-B28))* ('2020'!B5/4- 60) / 23600+60</f>
        <v>471.02888856970355</v>
      </c>
      <c r="C29" s="50"/>
      <c r="D29" s="50"/>
    </row>
    <row r="30" spans="1:15" x14ac:dyDescent="0.2">
      <c r="A30" s="53" t="s">
        <v>38</v>
      </c>
      <c r="B30" s="54">
        <f>SUM(B28:B29)</f>
        <v>2422.5008885697039</v>
      </c>
    </row>
    <row r="31" spans="1:15" x14ac:dyDescent="0.2">
      <c r="B31" s="50"/>
    </row>
    <row r="32" spans="1:15" x14ac:dyDescent="0.2">
      <c r="A32" s="48" t="s">
        <v>143</v>
      </c>
      <c r="B32" s="49">
        <f>B25-B30</f>
        <v>38606.169111430288</v>
      </c>
    </row>
    <row r="33" spans="1:4" x14ac:dyDescent="0.2">
      <c r="A33" s="41" t="s">
        <v>144</v>
      </c>
      <c r="B33" s="55">
        <f>ROUND((B32-31000)*0.42+5950,2)</f>
        <v>9144.59</v>
      </c>
      <c r="C33" s="87" t="s">
        <v>169</v>
      </c>
      <c r="D33" s="88"/>
    </row>
    <row r="34" spans="1:4" x14ac:dyDescent="0.2">
      <c r="A34" s="41" t="s">
        <v>146</v>
      </c>
      <c r="B34" s="55">
        <f>ROUND((B13+H13+N13-620)*0.06,2)</f>
        <v>331.57</v>
      </c>
      <c r="C34" s="88" t="s">
        <v>147</v>
      </c>
      <c r="D34" s="88"/>
    </row>
    <row r="35" spans="1:4" x14ac:dyDescent="0.2">
      <c r="A35" s="44" t="s">
        <v>148</v>
      </c>
      <c r="B35" s="56">
        <v>400</v>
      </c>
    </row>
    <row r="36" spans="1:4" x14ac:dyDescent="0.2">
      <c r="B36" s="50"/>
    </row>
    <row r="37" spans="1:4" x14ac:dyDescent="0.2">
      <c r="A37" s="41" t="s">
        <v>149</v>
      </c>
      <c r="B37" s="55">
        <f>B33+B34-B35</f>
        <v>9076.16</v>
      </c>
    </row>
    <row r="38" spans="1:4" x14ac:dyDescent="0.2">
      <c r="A38" s="44" t="s">
        <v>187</v>
      </c>
      <c r="B38" s="56">
        <f>B18+H18+N18</f>
        <v>6071.7199999999993</v>
      </c>
    </row>
    <row r="39" spans="1:4" x14ac:dyDescent="0.2">
      <c r="A39" s="74" t="s">
        <v>150</v>
      </c>
      <c r="B39" s="50">
        <v>-0.44</v>
      </c>
    </row>
    <row r="40" spans="1:4" x14ac:dyDescent="0.2">
      <c r="B40" s="50"/>
    </row>
    <row r="41" spans="1:4" x14ac:dyDescent="0.2">
      <c r="A41" s="57" t="s">
        <v>213</v>
      </c>
      <c r="B41" s="58">
        <f>B37-B38+B39</f>
        <v>3004.0000000000005</v>
      </c>
    </row>
    <row r="42" spans="1:4" x14ac:dyDescent="0.2">
      <c r="A42" s="44" t="s">
        <v>209</v>
      </c>
      <c r="B42" s="56">
        <v>1243</v>
      </c>
    </row>
    <row r="43" spans="1:4" x14ac:dyDescent="0.2">
      <c r="B43" s="50"/>
    </row>
    <row r="44" spans="1:4" ht="21" x14ac:dyDescent="0.25">
      <c r="A44" s="59" t="s">
        <v>152</v>
      </c>
      <c r="B44" s="60">
        <f>B41-B42</f>
        <v>1761.0000000000005</v>
      </c>
      <c r="C44" s="74" t="s">
        <v>216</v>
      </c>
    </row>
    <row r="51" spans="1:2" ht="19" x14ac:dyDescent="0.25">
      <c r="A51" s="83" t="s">
        <v>214</v>
      </c>
      <c r="B51" s="83"/>
    </row>
    <row r="52" spans="1:2" ht="19" x14ac:dyDescent="0.25">
      <c r="A52" s="61" t="s">
        <v>168</v>
      </c>
      <c r="B52" s="62">
        <f>B4+H4+N4</f>
        <v>52818.82</v>
      </c>
    </row>
    <row r="53" spans="1:2" ht="19" x14ac:dyDescent="0.25">
      <c r="A53" s="63" t="s">
        <v>155</v>
      </c>
      <c r="B53" s="64">
        <f>B10+H10+N10</f>
        <v>8624.1299999999992</v>
      </c>
    </row>
    <row r="54" spans="1:2" ht="19" x14ac:dyDescent="0.25">
      <c r="A54" s="63" t="s">
        <v>149</v>
      </c>
      <c r="B54" s="65">
        <f>B37</f>
        <v>9076.16</v>
      </c>
    </row>
    <row r="55" spans="1:2" ht="19" x14ac:dyDescent="0.25">
      <c r="A55" s="61" t="s">
        <v>156</v>
      </c>
      <c r="B55" s="66">
        <f>14820-1089.48</f>
        <v>13730.52</v>
      </c>
    </row>
    <row r="56" spans="1:2" ht="19" x14ac:dyDescent="0.25">
      <c r="A56" s="67"/>
      <c r="B56" s="67"/>
    </row>
    <row r="57" spans="1:2" ht="19" x14ac:dyDescent="0.25">
      <c r="A57" s="68" t="s">
        <v>157</v>
      </c>
      <c r="B57" s="69">
        <f>B52-B53-B54+B55</f>
        <v>48849.05</v>
      </c>
    </row>
  </sheetData>
  <mergeCells count="9">
    <mergeCell ref="C34:D34"/>
    <mergeCell ref="A51:B51"/>
    <mergeCell ref="A1:E2"/>
    <mergeCell ref="G1:K2"/>
    <mergeCell ref="M1:Q2"/>
    <mergeCell ref="I15:K15"/>
    <mergeCell ref="O15:Q15"/>
    <mergeCell ref="A21:E22"/>
    <mergeCell ref="C33:D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</vt:lpstr>
      <vt:lpstr>2016</vt:lpstr>
      <vt:lpstr>Berechnung 2017</vt:lpstr>
      <vt:lpstr>2017</vt:lpstr>
      <vt:lpstr>Berechnung 2018</vt:lpstr>
      <vt:lpstr>2018</vt:lpstr>
      <vt:lpstr>Berechnung 2019</vt:lpstr>
      <vt:lpstr>2019</vt:lpstr>
      <vt:lpstr>Berechnung 2020</vt:lpstr>
      <vt:lpstr>2020</vt:lpstr>
      <vt:lpstr>Steuerkonto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dwavZSITYB@students.jku.at</cp:lastModifiedBy>
  <dcterms:created xsi:type="dcterms:W3CDTF">2016-08-25T17:10:04Z</dcterms:created>
  <dcterms:modified xsi:type="dcterms:W3CDTF">2021-03-18T13:14:51Z</dcterms:modified>
</cp:coreProperties>
</file>