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showInkAnnotation="0" autoCompressPictures="0"/>
  <mc:AlternateContent xmlns:mc="http://schemas.openxmlformats.org/markup-compatibility/2006">
    <mc:Choice Requires="x15">
      <x15ac:absPath xmlns:x15ac="http://schemas.microsoft.com/office/spreadsheetml/2010/11/ac" url="/Users/preissl/Documents/Private/Finance/"/>
    </mc:Choice>
  </mc:AlternateContent>
  <xr:revisionPtr revIDLastSave="0" documentId="13_ncr:1_{126A2BF5-D93C-124F-9D19-17D8133B7D42}" xr6:coauthVersionLast="47" xr6:coauthVersionMax="47" xr10:uidLastSave="{00000000-0000-0000-0000-000000000000}"/>
  <bookViews>
    <workbookView xWindow="0" yWindow="760" windowWidth="34560" windowHeight="20400" firstSheet="13" activeTab="19" xr2:uid="{00000000-000D-0000-FFFF-FFFF00000000}"/>
  </bookViews>
  <sheets>
    <sheet name="Export Summary" sheetId="1" r:id="rId1"/>
    <sheet name="2015" sheetId="2" r:id="rId2"/>
    <sheet name="2016" sheetId="3" r:id="rId3"/>
    <sheet name="Berechnung 2017" sheetId="4" r:id="rId4"/>
    <sheet name="2017" sheetId="5" r:id="rId5"/>
    <sheet name="Berechnung 2018" sheetId="6" r:id="rId6"/>
    <sheet name="2018" sheetId="7" r:id="rId7"/>
    <sheet name="Berechnung 2019" sheetId="8" r:id="rId8"/>
    <sheet name="2019" sheetId="9" r:id="rId9"/>
    <sheet name="Berechnung 2020" sheetId="10" r:id="rId10"/>
    <sheet name="2020" sheetId="11" r:id="rId11"/>
    <sheet name="Berechnung 2021" sheetId="14" r:id="rId12"/>
    <sheet name="2021" sheetId="13" r:id="rId13"/>
    <sheet name="Berechnung 2022" sheetId="15" r:id="rId14"/>
    <sheet name="2022" sheetId="16" r:id="rId15"/>
    <sheet name="Berechnung 2023" sheetId="17" r:id="rId16"/>
    <sheet name="2023" sheetId="18" r:id="rId17"/>
    <sheet name="Berechnung 2024" sheetId="19" r:id="rId18"/>
    <sheet name="2024" sheetId="20" r:id="rId19"/>
    <sheet name="Steuerkonto" sheetId="12" r:id="rId20"/>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56" i="19" l="1"/>
  <c r="B12" i="19"/>
  <c r="B33" i="19"/>
  <c r="B30" i="19"/>
  <c r="B15" i="20"/>
  <c r="B53" i="19"/>
  <c r="B16" i="20"/>
  <c r="B36" i="19" s="1"/>
  <c r="B27" i="20"/>
  <c r="B28" i="20" s="1"/>
  <c r="F46" i="19"/>
  <c r="F47" i="19"/>
  <c r="F48" i="19" s="1"/>
  <c r="B51" i="19"/>
  <c r="B50" i="19"/>
  <c r="B23" i="19"/>
  <c r="B33" i="20"/>
  <c r="B10" i="20" s="1"/>
  <c r="F8" i="20" s="1"/>
  <c r="H8" i="20"/>
  <c r="B5" i="20"/>
  <c r="B13" i="19"/>
  <c r="B35" i="19" s="1"/>
  <c r="B39" i="19"/>
  <c r="B10" i="19"/>
  <c r="B5" i="19"/>
  <c r="B25" i="19" s="1"/>
  <c r="B53" i="17"/>
  <c r="B49" i="17"/>
  <c r="B33" i="17"/>
  <c r="B16" i="18"/>
  <c r="F44" i="17"/>
  <c r="F45" i="17" s="1"/>
  <c r="F43" i="17"/>
  <c r="B50" i="17"/>
  <c r="B51" i="8"/>
  <c r="B52" i="14"/>
  <c r="B48" i="17"/>
  <c r="B47" i="17"/>
  <c r="B36" i="17"/>
  <c r="B32" i="17"/>
  <c r="B24" i="17"/>
  <c r="B13" i="17"/>
  <c r="B12" i="17"/>
  <c r="B39" i="15"/>
  <c r="B41" i="14"/>
  <c r="B41" i="10"/>
  <c r="B12" i="18"/>
  <c r="B11" i="18"/>
  <c r="B27" i="18"/>
  <c r="B28" i="18" s="1"/>
  <c r="B26" i="19" l="1"/>
  <c r="B13" i="20"/>
  <c r="B29" i="19" s="1"/>
  <c r="B31" i="19" s="1"/>
  <c r="G8" i="20"/>
  <c r="H8" i="18"/>
  <c r="B34" i="19" l="1"/>
  <c r="B38" i="19" s="1"/>
  <c r="B23" i="17"/>
  <c r="B25" i="17" s="1"/>
  <c r="B33" i="18"/>
  <c r="B10" i="18" s="1"/>
  <c r="F8" i="18" s="1"/>
  <c r="B9" i="18"/>
  <c r="B13" i="18"/>
  <c r="B5" i="18"/>
  <c r="B10" i="17"/>
  <c r="B5" i="17"/>
  <c r="B32" i="15"/>
  <c r="B35" i="15" s="1"/>
  <c r="B30" i="15"/>
  <c r="B24" i="15"/>
  <c r="B25" i="15"/>
  <c r="B26" i="16"/>
  <c r="B27" i="16"/>
  <c r="B9" i="16"/>
  <c r="B14" i="16"/>
  <c r="B28" i="15"/>
  <c r="B31" i="15"/>
  <c r="B48" i="15"/>
  <c r="B47" i="15"/>
  <c r="B36" i="15"/>
  <c r="B13" i="15"/>
  <c r="B12" i="15"/>
  <c r="F44" i="15"/>
  <c r="F43" i="15"/>
  <c r="F45" i="15"/>
  <c r="B33" i="15"/>
  <c r="B23" i="15"/>
  <c r="B5" i="15"/>
  <c r="H5" i="15"/>
  <c r="H12" i="15"/>
  <c r="N5" i="15"/>
  <c r="N12" i="15"/>
  <c r="T6" i="15"/>
  <c r="H13" i="15"/>
  <c r="N13" i="15"/>
  <c r="B13" i="16"/>
  <c r="B10" i="15"/>
  <c r="H10" i="15"/>
  <c r="N10" i="15"/>
  <c r="B50" i="15"/>
  <c r="B51" i="14"/>
  <c r="B50" i="14"/>
  <c r="B49" i="14"/>
  <c r="G44" i="15"/>
  <c r="B32" i="16"/>
  <c r="B10" i="16"/>
  <c r="B11" i="16"/>
  <c r="B12" i="16"/>
  <c r="F8" i="16"/>
  <c r="G8" i="16"/>
  <c r="H8" i="16"/>
  <c r="P8" i="15"/>
  <c r="P9" i="15"/>
  <c r="P10" i="15"/>
  <c r="B54" i="14"/>
  <c r="D8" i="15"/>
  <c r="B5" i="16"/>
  <c r="J8" i="15"/>
  <c r="J9" i="15"/>
  <c r="J10" i="15"/>
  <c r="D9" i="15"/>
  <c r="D10" i="15"/>
  <c r="B30" i="14"/>
  <c r="B29" i="14"/>
  <c r="B28" i="14"/>
  <c r="H8" i="13"/>
  <c r="G8" i="13"/>
  <c r="F8" i="13"/>
  <c r="E8" i="13"/>
  <c r="H12" i="14"/>
  <c r="H13" i="14"/>
  <c r="B32" i="14"/>
  <c r="B33" i="14"/>
  <c r="B37" i="14"/>
  <c r="B34" i="14"/>
  <c r="B38" i="14"/>
  <c r="B25" i="14"/>
  <c r="B24" i="14"/>
  <c r="B34" i="10"/>
  <c r="B23" i="14"/>
  <c r="H5" i="14"/>
  <c r="B5" i="14"/>
  <c r="D8" i="14"/>
  <c r="B13" i="14"/>
  <c r="B12" i="14"/>
  <c r="B10" i="14"/>
  <c r="H10" i="14"/>
  <c r="B44" i="14"/>
  <c r="J8" i="14"/>
  <c r="J9" i="14"/>
  <c r="J10" i="14"/>
  <c r="D9" i="14"/>
  <c r="D10" i="14"/>
  <c r="B37" i="10"/>
  <c r="B51" i="10"/>
  <c r="B50" i="10"/>
  <c r="B49" i="10"/>
  <c r="B24" i="10"/>
  <c r="H13" i="10"/>
  <c r="H12" i="10"/>
  <c r="B14" i="13"/>
  <c r="B20" i="13"/>
  <c r="B13" i="13"/>
  <c r="B12" i="13"/>
  <c r="B45" i="13"/>
  <c r="B35" i="13"/>
  <c r="B36" i="13"/>
  <c r="B9" i="13"/>
  <c r="B11" i="13"/>
  <c r="B41" i="13"/>
  <c r="B10" i="13"/>
  <c r="B27" i="13"/>
  <c r="B2" i="13"/>
  <c r="B30" i="13"/>
  <c r="B3" i="13"/>
  <c r="B5" i="13"/>
  <c r="B74" i="12"/>
  <c r="C63" i="12" s="1"/>
  <c r="C52" i="12"/>
  <c r="B43" i="12"/>
  <c r="C37" i="12"/>
  <c r="B26" i="12"/>
  <c r="B24" i="12"/>
  <c r="B27" i="12" s="1"/>
  <c r="C20" i="12"/>
  <c r="B14" i="12"/>
  <c r="B15" i="12" s="1"/>
  <c r="B12" i="12"/>
  <c r="C8" i="12"/>
  <c r="B3" i="12"/>
  <c r="B2" i="12"/>
  <c r="B4" i="12" s="1"/>
  <c r="B78" i="11"/>
  <c r="B72" i="11"/>
  <c r="B68" i="11"/>
  <c r="B62" i="11"/>
  <c r="B57" i="11"/>
  <c r="B53" i="11"/>
  <c r="B47" i="11"/>
  <c r="B48" i="11"/>
  <c r="B41" i="11"/>
  <c r="B42" i="11"/>
  <c r="B43" i="11"/>
  <c r="B40" i="11"/>
  <c r="B38" i="11"/>
  <c r="B35" i="11"/>
  <c r="B28" i="11"/>
  <c r="B20" i="11"/>
  <c r="B19" i="11"/>
  <c r="B18" i="11"/>
  <c r="B17" i="11"/>
  <c r="B16" i="11"/>
  <c r="B15" i="11"/>
  <c r="B14" i="11"/>
  <c r="B13" i="11"/>
  <c r="B12" i="11"/>
  <c r="B11" i="11"/>
  <c r="B10" i="11"/>
  <c r="F9" i="11"/>
  <c r="E9" i="11"/>
  <c r="B9" i="11"/>
  <c r="B3" i="11"/>
  <c r="B2" i="11"/>
  <c r="B5" i="11"/>
  <c r="B52" i="10"/>
  <c r="B38" i="10"/>
  <c r="B23" i="10"/>
  <c r="N13" i="10"/>
  <c r="B13" i="10"/>
  <c r="N10" i="10"/>
  <c r="H10" i="10"/>
  <c r="B10" i="10"/>
  <c r="P9" i="10"/>
  <c r="J9" i="10"/>
  <c r="D9" i="10"/>
  <c r="N5" i="10"/>
  <c r="H5" i="10"/>
  <c r="B5" i="10"/>
  <c r="B84" i="9"/>
  <c r="B78" i="9"/>
  <c r="B74" i="9"/>
  <c r="B68" i="9"/>
  <c r="B64" i="9"/>
  <c r="B58" i="9"/>
  <c r="B54" i="9"/>
  <c r="B50" i="9"/>
  <c r="B44" i="9"/>
  <c r="B45" i="9"/>
  <c r="B38" i="9"/>
  <c r="B39" i="9"/>
  <c r="B40" i="9"/>
  <c r="B37" i="9"/>
  <c r="B35" i="9"/>
  <c r="B32" i="9"/>
  <c r="B16" i="9"/>
  <c r="B15" i="9"/>
  <c r="B14" i="9"/>
  <c r="B13" i="9"/>
  <c r="B12" i="9"/>
  <c r="B11" i="9"/>
  <c r="B10" i="9"/>
  <c r="F9" i="9"/>
  <c r="E9" i="9"/>
  <c r="B9" i="9"/>
  <c r="B3" i="9"/>
  <c r="B2" i="9"/>
  <c r="B5" i="9"/>
  <c r="B48" i="8"/>
  <c r="B38" i="8"/>
  <c r="B23" i="8"/>
  <c r="N13" i="8"/>
  <c r="H13" i="8"/>
  <c r="B13" i="8"/>
  <c r="B34" i="8"/>
  <c r="N10" i="8"/>
  <c r="H10" i="8"/>
  <c r="B10" i="8"/>
  <c r="B49" i="8"/>
  <c r="P9" i="8"/>
  <c r="J9" i="8"/>
  <c r="D9" i="8"/>
  <c r="N5" i="8"/>
  <c r="H5" i="8"/>
  <c r="B5" i="8"/>
  <c r="B104" i="7"/>
  <c r="B97" i="7"/>
  <c r="B93" i="7"/>
  <c r="B89" i="7"/>
  <c r="B106" i="7"/>
  <c r="B84" i="7"/>
  <c r="B78" i="7"/>
  <c r="B74" i="7"/>
  <c r="B68" i="7"/>
  <c r="B64" i="7"/>
  <c r="B58" i="7"/>
  <c r="B54" i="7"/>
  <c r="B50" i="7"/>
  <c r="B44" i="7"/>
  <c r="B45" i="7"/>
  <c r="B39" i="7"/>
  <c r="B40" i="7"/>
  <c r="B37" i="7"/>
  <c r="B35" i="7"/>
  <c r="B32" i="7"/>
  <c r="B20" i="7"/>
  <c r="B16" i="7"/>
  <c r="B15" i="7"/>
  <c r="B14" i="7"/>
  <c r="B13" i="7"/>
  <c r="B12" i="7"/>
  <c r="B11" i="7"/>
  <c r="B10" i="7"/>
  <c r="B17" i="7"/>
  <c r="B3" i="7"/>
  <c r="B2" i="7"/>
  <c r="B6" i="7"/>
  <c r="B54" i="6"/>
  <c r="B51" i="6"/>
  <c r="B39" i="6"/>
  <c r="B28" i="6"/>
  <c r="B23" i="6"/>
  <c r="H13" i="6"/>
  <c r="B13" i="6"/>
  <c r="B35" i="6"/>
  <c r="H10" i="6"/>
  <c r="B10" i="6"/>
  <c r="B52" i="6"/>
  <c r="J9" i="6"/>
  <c r="D9" i="6"/>
  <c r="H5" i="6"/>
  <c r="B5" i="6"/>
  <c r="B103" i="5"/>
  <c r="B97" i="5"/>
  <c r="H92" i="5"/>
  <c r="B93" i="5"/>
  <c r="B89" i="5"/>
  <c r="B105" i="5"/>
  <c r="B84" i="5"/>
  <c r="B78" i="5"/>
  <c r="B74" i="5"/>
  <c r="B68" i="5"/>
  <c r="B64" i="5"/>
  <c r="B58" i="5"/>
  <c r="B54" i="5"/>
  <c r="B50" i="5"/>
  <c r="B44" i="5"/>
  <c r="B45" i="5"/>
  <c r="B39" i="5"/>
  <c r="B40" i="5"/>
  <c r="B37" i="5"/>
  <c r="B35" i="5"/>
  <c r="B32" i="5"/>
  <c r="B20" i="5"/>
  <c r="B16" i="5"/>
  <c r="B15" i="5"/>
  <c r="B14" i="5"/>
  <c r="B13" i="5"/>
  <c r="B12" i="5"/>
  <c r="B11" i="5"/>
  <c r="B10" i="5"/>
  <c r="B17" i="5"/>
  <c r="B3" i="5"/>
  <c r="B2" i="5"/>
  <c r="B6" i="5"/>
  <c r="B53" i="4"/>
  <c r="B50" i="4"/>
  <c r="B39" i="4"/>
  <c r="B30" i="4"/>
  <c r="B29" i="4"/>
  <c r="B28" i="4"/>
  <c r="B31" i="4"/>
  <c r="B13" i="4"/>
  <c r="B35" i="4"/>
  <c r="B10" i="4"/>
  <c r="B51" i="4"/>
  <c r="D9" i="4"/>
  <c r="B5" i="4"/>
  <c r="B53" i="3"/>
  <c r="B46" i="3"/>
  <c r="B40" i="3"/>
  <c r="B41" i="3"/>
  <c r="B35" i="3"/>
  <c r="B36" i="3"/>
  <c r="B31" i="3"/>
  <c r="B28" i="3"/>
  <c r="B14" i="3"/>
  <c r="B12" i="3"/>
  <c r="B11" i="3"/>
  <c r="B10" i="3"/>
  <c r="B16" i="3"/>
  <c r="B3" i="3"/>
  <c r="B2" i="3"/>
  <c r="B6" i="3"/>
  <c r="B46" i="2"/>
  <c r="B40" i="2"/>
  <c r="B41" i="2"/>
  <c r="B35" i="2"/>
  <c r="B36" i="2"/>
  <c r="B30" i="2"/>
  <c r="B27" i="2"/>
  <c r="B17" i="2"/>
  <c r="B9" i="2"/>
  <c r="B5" i="2"/>
  <c r="B12" i="4"/>
  <c r="B24" i="4"/>
  <c r="B25" i="4"/>
  <c r="B33" i="4"/>
  <c r="B34" i="4"/>
  <c r="B38" i="4"/>
  <c r="D8" i="4"/>
  <c r="D10" i="4"/>
  <c r="B12" i="6"/>
  <c r="D8" i="6"/>
  <c r="D10" i="6"/>
  <c r="H12" i="6"/>
  <c r="J8" i="6"/>
  <c r="J10" i="6"/>
  <c r="B12" i="8"/>
  <c r="D8" i="8"/>
  <c r="D10" i="8"/>
  <c r="H12" i="8"/>
  <c r="J8" i="8"/>
  <c r="J10" i="8"/>
  <c r="N12" i="8"/>
  <c r="P8" i="8"/>
  <c r="P10" i="8"/>
  <c r="B19" i="9"/>
  <c r="B28" i="8"/>
  <c r="G9" i="9"/>
  <c r="B12" i="10"/>
  <c r="D8" i="10"/>
  <c r="D10" i="10"/>
  <c r="J8" i="10"/>
  <c r="J10" i="10"/>
  <c r="N12" i="10"/>
  <c r="P8" i="10"/>
  <c r="P10" i="10"/>
  <c r="B22" i="11"/>
  <c r="B28" i="10"/>
  <c r="G9" i="11"/>
  <c r="B25" i="10"/>
  <c r="B24" i="8"/>
  <c r="B25" i="8"/>
  <c r="B24" i="6"/>
  <c r="B25" i="6"/>
  <c r="B52" i="4"/>
  <c r="B55" i="4"/>
  <c r="B42" i="4"/>
  <c r="B46" i="4"/>
  <c r="B29" i="6"/>
  <c r="B29" i="8"/>
  <c r="B30" i="8"/>
  <c r="B32" i="8"/>
  <c r="B33" i="8"/>
  <c r="B37" i="8"/>
  <c r="B29" i="10"/>
  <c r="B30" i="10"/>
  <c r="B32" i="10"/>
  <c r="B33" i="10"/>
  <c r="B54" i="10"/>
  <c r="B44" i="10"/>
  <c r="B50" i="8"/>
  <c r="B53" i="8"/>
  <c r="B41" i="8"/>
  <c r="B44" i="8"/>
  <c r="B30" i="6"/>
  <c r="B31" i="6"/>
  <c r="B33" i="6"/>
  <c r="B34" i="6"/>
  <c r="B38" i="6"/>
  <c r="B53" i="6"/>
  <c r="B56" i="6"/>
  <c r="B42" i="6"/>
  <c r="B46" i="6"/>
  <c r="B67" i="12" l="1"/>
  <c r="B52" i="19"/>
  <c r="B42" i="19"/>
  <c r="B45" i="19" s="1"/>
  <c r="B14" i="18"/>
  <c r="B28" i="17" s="1"/>
  <c r="G8" i="18"/>
  <c r="B49" i="15"/>
  <c r="B53" i="15" s="1"/>
  <c r="B42" i="15"/>
  <c r="B30" i="17" l="1"/>
  <c r="B31" i="17" s="1"/>
  <c r="B35" i="17" s="1"/>
  <c r="B39" i="17" l="1"/>
  <c r="B42" i="17" s="1"/>
</calcChain>
</file>

<file path=xl/sharedStrings.xml><?xml version="1.0" encoding="utf-8"?>
<sst xmlns="http://schemas.openxmlformats.org/spreadsheetml/2006/main" count="1560" uniqueCount="446">
  <si>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</si>
  <si>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</si>
  <si>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</si>
  <si>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</si>
  <si>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2015</t>
  </si>
  <si>
    <t>Table 1</t>
  </si>
  <si>
    <t>2016</t>
  </si>
  <si>
    <t>Berechnung 2017</t>
  </si>
  <si>
    <t>2017</t>
  </si>
  <si>
    <t>Berechnung 2018</t>
  </si>
  <si>
    <t>2018</t>
  </si>
  <si>
    <t>Berechnung 2019</t>
  </si>
  <si>
    <t>2019</t>
  </si>
  <si>
    <t>Berechnung 2020</t>
  </si>
  <si>
    <t>2020</t>
  </si>
  <si>
    <t>Steuerkonto</t>
  </si>
  <si>
    <t>Topf-Sonderausgaben</t>
  </si>
  <si>
    <t>Zusatzkrankenversicherung (Merkur)</t>
  </si>
  <si>
    <t>Kennzahl: 455</t>
  </si>
  <si>
    <t>Rentenversicherung (Continentale)</t>
  </si>
  <si>
    <t>Unfallversicherung (Janitos)</t>
  </si>
  <si>
    <t>Gesamt</t>
  </si>
  <si>
    <t>Sonderausgaben ohne Höchstbetrag</t>
  </si>
  <si>
    <t>Steuerberatungskosten</t>
  </si>
  <si>
    <t>Kennzahl: 460</t>
  </si>
  <si>
    <t>Werbungskosten</t>
  </si>
  <si>
    <t>Fachliteratur (Grünigen Digitale Signal Verarbeitung)</t>
  </si>
  <si>
    <t>Kennzahl: 720</t>
  </si>
  <si>
    <t>Internet (mit 40% Privatanteil)</t>
  </si>
  <si>
    <t>Kennzahl: 724</t>
  </si>
  <si>
    <t>Handygrundgebühr (mit 40% Privatanteil)</t>
  </si>
  <si>
    <t>ÖH-Beitrag</t>
  </si>
  <si>
    <t>Logitech Headset</t>
  </si>
  <si>
    <t>Kennzahl: 719</t>
  </si>
  <si>
    <t>Matheplus</t>
  </si>
  <si>
    <t>Miete</t>
  </si>
  <si>
    <t>HOTdomains Internet Service</t>
  </si>
  <si>
    <t>Nebenrechnungen</t>
  </si>
  <si>
    <t>Jänner</t>
  </si>
  <si>
    <t>Februar</t>
  </si>
  <si>
    <t>März</t>
  </si>
  <si>
    <t>April</t>
  </si>
  <si>
    <t>Mai</t>
  </si>
  <si>
    <t>Juni</t>
  </si>
  <si>
    <t>Juli</t>
  </si>
  <si>
    <t>August</t>
  </si>
  <si>
    <t>September</t>
  </si>
  <si>
    <t>Oktober</t>
  </si>
  <si>
    <t>November</t>
  </si>
  <si>
    <t>Dezember</t>
  </si>
  <si>
    <t>Gesamt 2015:</t>
  </si>
  <si>
    <t>Liwest 2015 gesamt inlusive Fernsehen und Internet mit 35/6Mbit</t>
  </si>
  <si>
    <t>Nur Internet von Liwest mit 35/6 Mbit monatlich:</t>
  </si>
  <si>
    <t>Im Jahr:</t>
  </si>
  <si>
    <t>60% davon:</t>
  </si>
  <si>
    <t>Teleringrechnungen 2015</t>
  </si>
  <si>
    <t>ÖH-Beitrag:</t>
  </si>
  <si>
    <t>Sommersemester 2015</t>
  </si>
  <si>
    <t>Wintersemester 2015/2016</t>
  </si>
  <si>
    <t>Gesamt:</t>
  </si>
  <si>
    <t>BU (Continentale)</t>
  </si>
  <si>
    <t>Unfallversicherung (Allianz)</t>
  </si>
  <si>
    <t>Kennzahl: 722</t>
  </si>
  <si>
    <t>Parken (23*3.1 + 6*2.1)</t>
  </si>
  <si>
    <t>Desktop PC (968,63€*0.6=581,18)</t>
  </si>
  <si>
    <t>Kreidehalter</t>
  </si>
  <si>
    <t>Einkünfte aus selbständiger Arbeit</t>
  </si>
  <si>
    <t>Kennzahl: 320</t>
  </si>
  <si>
    <t>Gesamt 2016:</t>
  </si>
  <si>
    <t>Liwest 2016 gesamt inlusive Fernsehen und Internet mit 35/6Mbit</t>
  </si>
  <si>
    <t>493,8 (12*41,15)</t>
  </si>
  <si>
    <t>Teleringrechnungen 2016</t>
  </si>
  <si>
    <t>Sommersemester 2016</t>
  </si>
  <si>
    <t>Wintersemester 2016/2017</t>
  </si>
  <si>
    <t xml:space="preserve">PC wird auf die Nutzungsdauer von 3 Jahren abgeschrieben. Da der PC erst in der 2. Hälfte gekauft wurde ergibt sich folgend Abschreibung </t>
  </si>
  <si>
    <t>Lohnzettel 2017</t>
  </si>
  <si>
    <t>KZ</t>
  </si>
  <si>
    <t>Brutto Gehalt Intel:</t>
  </si>
  <si>
    <t>Brutto Gehalt Intel (ohne Sonderzahlung, also 13. 14.)</t>
  </si>
  <si>
    <t>Sonderzahlung, also 13. und 14. Gehalt</t>
  </si>
  <si>
    <t>SV für Brutto Gehalt Intel (ohne Sonderzahlung)</t>
  </si>
  <si>
    <t>Meine Berechnung mit 18,12%</t>
  </si>
  <si>
    <t>SV für Sonderzahlungen</t>
  </si>
  <si>
    <t>Meine Berechnung mit 17,12%</t>
  </si>
  <si>
    <t>Summer SV-Beiträge</t>
  </si>
  <si>
    <t>Summe</t>
  </si>
  <si>
    <t>Bemessungsgrundlage für Brutto Gehalt Intel (ohne Sonderzahlung)</t>
  </si>
  <si>
    <t>Steuern, die ich zahlen muss für Gehalt (ohne Sonderzahlung) siehe B34</t>
  </si>
  <si>
    <t>Bemessungsgrundlage für Sonderzahlungen</t>
  </si>
  <si>
    <t>Steuern, die ich zahlen muss für Sonderzahlungen siehe B35</t>
  </si>
  <si>
    <t>Sonstige Bezüge laut Lohnsteuertarif versteuert</t>
  </si>
  <si>
    <t>hat wahrscheinlich was mit Prämien (IDFs, SPP) zu tun</t>
  </si>
  <si>
    <t>Steuerfreie Bezüge</t>
  </si>
  <si>
    <t>eingezahlte Lohnsteuer</t>
  </si>
  <si>
    <t>Berechnungsblatt 2017</t>
  </si>
  <si>
    <t>Einkünfte selbständige Arbeit (Matheplus)</t>
  </si>
  <si>
    <t>Bemessungsgrundlage von Intel Gehalt</t>
  </si>
  <si>
    <t>Gesamte Bemessungsgrundlage</t>
  </si>
  <si>
    <t>Freibeträge (vermindern Bemessungsgrundlage)</t>
  </si>
  <si>
    <t>Topf-Sonderausgaben (ein Viertel davon)</t>
  </si>
  <si>
    <t>Außergewöhnlichen Belastungen (minus Selbsbehalt=3.457,40)</t>
  </si>
  <si>
    <t>Zu versteuendes Einkommen</t>
  </si>
  <si>
    <t>Steuer vor Abzug der Absetzbeträge</t>
  </si>
  <si>
    <t>mit Grenzsteuersatz von 35%</t>
  </si>
  <si>
    <t>Steuer für Sonderzahlungen</t>
  </si>
  <si>
    <t>620€ Freibetrag und dann 6%</t>
  </si>
  <si>
    <t>Verkehrsabsetzbetrag</t>
  </si>
  <si>
    <t>Insgesamte Einkommensteuer</t>
  </si>
  <si>
    <t>Schon einbezahlte Lohnsteuer von Intel</t>
  </si>
  <si>
    <t xml:space="preserve">Rundung gem § 39 </t>
  </si>
  <si>
    <t>Nachforderung</t>
  </si>
  <si>
    <t>Vorausbezahlt für das Jahr 2017</t>
  </si>
  <si>
    <t>Gutschrift oder Nachforderung</t>
  </si>
  <si>
    <t>Zusammenfassung für 2017</t>
  </si>
  <si>
    <t>Bruttogehalt von Intel</t>
  </si>
  <si>
    <t>Summe der Sozialversicherungsbeträge</t>
  </si>
  <si>
    <t>Nettogehalt Matheplus</t>
  </si>
  <si>
    <t>Netto</t>
  </si>
  <si>
    <t>Parken</t>
  </si>
  <si>
    <t>Desktop PC (mit 40% Privatanteil)</t>
  </si>
  <si>
    <t>Monitor (mit 40% Privatanteil)</t>
  </si>
  <si>
    <t>Smartphone (mit 40% Privatanteil)</t>
  </si>
  <si>
    <t>Außergewöhnliche Belastungen</t>
  </si>
  <si>
    <t>Kennzahl: 730</t>
  </si>
  <si>
    <t>Liwest gesamt inlusive Fernsehen und Internet mit 35/6Mbit</t>
  </si>
  <si>
    <t>Nur Internet von Liwest mit 100/10 Mbit monatlich:</t>
  </si>
  <si>
    <t>Handygrundgebühr (Telering und Spusu)</t>
  </si>
  <si>
    <t>Sommersemester 2017</t>
  </si>
  <si>
    <t>Wintersemester 2017/2018</t>
  </si>
  <si>
    <t>13.01.17</t>
  </si>
  <si>
    <t>17.01.17</t>
  </si>
  <si>
    <t>18.01.17</t>
  </si>
  <si>
    <t>19.01.17</t>
  </si>
  <si>
    <t>20.01.17</t>
  </si>
  <si>
    <t>26.01.17</t>
  </si>
  <si>
    <t>06.02.17</t>
  </si>
  <si>
    <t>08.02.17</t>
  </si>
  <si>
    <t>09.02.17</t>
  </si>
  <si>
    <t>10.02.17</t>
  </si>
  <si>
    <t>13.02.17</t>
  </si>
  <si>
    <t>15.02.17</t>
  </si>
  <si>
    <t>17.02.17</t>
  </si>
  <si>
    <t>09.03.17</t>
  </si>
  <si>
    <t>04.04.17</t>
  </si>
  <si>
    <t>06.04.17</t>
  </si>
  <si>
    <t>20.04.17</t>
  </si>
  <si>
    <t>29.04.17</t>
  </si>
  <si>
    <t>02.05.17</t>
  </si>
  <si>
    <t>05.05.17</t>
  </si>
  <si>
    <t>06.05.17</t>
  </si>
  <si>
    <t>09.05.17</t>
  </si>
  <si>
    <t>Kosten</t>
  </si>
  <si>
    <t>Gesamtkosten:</t>
  </si>
  <si>
    <t xml:space="preserve">Der Monitor (Dell U2717D 27") wird auf die Nutzungsdauer von 3 Jahren abgeschrieben. Da der Monitor erst in der 2. Hälfte gekauft wurde ergibt sich folgend Abschreibung </t>
  </si>
  <si>
    <t xml:space="preserve">Das Smartphone (Galaxy S8) wird auf die Nutzungsdauer von 3 Jahren abgeschrieben. Da das Smartphone erst in der 2. Hälfte gekauft wurde ergibt sich folgend Abschreibung </t>
  </si>
  <si>
    <t>Außergewöhnliche Belastungen:</t>
  </si>
  <si>
    <t>Fahrtkosten zum Arzt</t>
  </si>
  <si>
    <t>Datum der Rechnung</t>
  </si>
  <si>
    <t>Kosten für Medikamente</t>
  </si>
  <si>
    <t>Physiotherapie Kiesl Weisl</t>
  </si>
  <si>
    <t>Rückerstattung durch OÖGKK</t>
  </si>
  <si>
    <t>Zahnspange (Invisalign 1.Behandlungsjahr)</t>
  </si>
  <si>
    <t>Rückerstattung durch OÖGKK  (Invisalign 1.Behandlungsjahr)</t>
  </si>
  <si>
    <t>Zahnspange (Invisalign 2.Behandlungsjahr)</t>
  </si>
  <si>
    <t>Rückerstattung durch OÖGKK  (Invisalign 2.Behandlungsjahr)</t>
  </si>
  <si>
    <t>Gesamtkosten Außergewöhnliche Belastungen</t>
  </si>
  <si>
    <t>Lohnzettel 2018 Intel</t>
  </si>
  <si>
    <t>Lohnzettel 2018 JKU</t>
  </si>
  <si>
    <t>Brutto Gehalt JKU:</t>
  </si>
  <si>
    <t>Brutto Gehalt JKU (ohne Sonderzahlung, also 13. 14.)</t>
  </si>
  <si>
    <t>Bemessungsgrundlage für Brutto Gehalt JKU (ohne Sonderzahlung)</t>
  </si>
  <si>
    <t>Berechnungsblatt 2018</t>
  </si>
  <si>
    <t>Bemessungsgrundlage (ohne Sonderzahlungen)</t>
  </si>
  <si>
    <t>Außergewöhnlichen Belastungen (minus Selbsbehalt)</t>
  </si>
  <si>
    <t>mit Grenzsteuersatz von 42%</t>
  </si>
  <si>
    <t>Schon einbezahlte Lohnsteuer</t>
  </si>
  <si>
    <t>Steuer die nicht mit der Lohnsteuer beglichen wurde</t>
  </si>
  <si>
    <t>Vorausbezahlt für das Jahr 2018</t>
  </si>
  <si>
    <t>Zusammenfassung für 2018</t>
  </si>
  <si>
    <t>Bruttogehalt</t>
  </si>
  <si>
    <t>Handygrundgebühr (Spusu)</t>
  </si>
  <si>
    <t>Sommersemester 2018</t>
  </si>
  <si>
    <t>Wintersemester 2018/2019</t>
  </si>
  <si>
    <t>Kosten für Interdentalbürsten</t>
  </si>
  <si>
    <t>Roman Rieger (Hyperhidrosis) am 06.08</t>
  </si>
  <si>
    <t>eventuell noch kilometergeld checken!!! =&gt; 0,42 pro km</t>
  </si>
  <si>
    <t>Rückerstattung durch BVA</t>
  </si>
  <si>
    <t>Zahnimplantatbehandlung am 30.05</t>
  </si>
  <si>
    <t>Zahnimplantatbehandlung am 28.08</t>
  </si>
  <si>
    <t>Rückerstattung durch BVA am 14.6</t>
  </si>
  <si>
    <t>Rückerstattung durch BVA am 1.10</t>
  </si>
  <si>
    <t>Zahnspange (Invisalign 3.Behandlungsjahr)</t>
  </si>
  <si>
    <t>Lohnzettel 2019 Intel</t>
  </si>
  <si>
    <t>Lohnzettel 2019 JKU</t>
  </si>
  <si>
    <t>Lohnzettel 2019 Apple</t>
  </si>
  <si>
    <t>Brutto Gehalt Apple:</t>
  </si>
  <si>
    <t>Brutto Gehalt Apple (ohne Sonderzahlung, also 13. 14.)</t>
  </si>
  <si>
    <t>Nicht Steuerfreie Bezüge und steuerfreie Bezüge</t>
  </si>
  <si>
    <t>Berechnungsblatt 2019</t>
  </si>
  <si>
    <t>Vorausbezahlt für das Jahr 2019</t>
  </si>
  <si>
    <t>Nachforderung wurde am 28.1.2021 überwiesen und am 22.02.2021 beglichen</t>
  </si>
  <si>
    <t>Zusammenfassung für 2019</t>
  </si>
  <si>
    <t>Sum Kennzahl 719</t>
  </si>
  <si>
    <t>Sum Kennzahl 722</t>
  </si>
  <si>
    <t>Sum Kennzahl 724</t>
  </si>
  <si>
    <t>Huwai Tablet (mit 40% Privatanteil)</t>
  </si>
  <si>
    <t>IEEE Mitgliedschaft</t>
  </si>
  <si>
    <t>Firmenbuchauszug</t>
  </si>
  <si>
    <t>Sommersemester 2019</t>
  </si>
  <si>
    <t>Wintersemester 2019/2020</t>
  </si>
  <si>
    <t>Lohnzettel 2020 JKU</t>
  </si>
  <si>
    <t>Lohnzettel 2020 DMCE</t>
  </si>
  <si>
    <t>Brutto Gehalt:</t>
  </si>
  <si>
    <t>Brutto Gehalt (ohne Sonderzahlung, also 13. 14.)</t>
  </si>
  <si>
    <t>SV für Brutto Gehalt (ohne Sonderzahlung)</t>
  </si>
  <si>
    <t>Bemessungsgrundlage für Brutto Gehalt (ohne Sonderzahlung)</t>
  </si>
  <si>
    <t>Steuerfreue Bezüge</t>
  </si>
  <si>
    <t>Sonstige steuerfreie Bezüge</t>
  </si>
  <si>
    <t>Berechnungsblatt 2020</t>
  </si>
  <si>
    <t>Vorausbezahlt für das Jahr 2020</t>
  </si>
  <si>
    <t>Nachforderung wurde am 29.3.2021 überwiesen</t>
  </si>
  <si>
    <t>Zusammenfassung für 2020</t>
  </si>
  <si>
    <t>Smartphone Samsung S8 (mit 40% Privatanteil)</t>
  </si>
  <si>
    <t>iPad Pro (mit 40% Privatanteil)</t>
  </si>
  <si>
    <t>Apple Pencil (mit 40% Privatanteil)</t>
  </si>
  <si>
    <t>AirPodsPro (mit 40% Privatanteil)</t>
  </si>
  <si>
    <t>Laptopständer (mit 40% Privatanteil)</t>
  </si>
  <si>
    <t>Kabel USB-C to Displayport (mit 40% Privatanteil)</t>
  </si>
  <si>
    <t>Liwest gesamt inlusive Fernsehen und Internet mit 35/6Mbit (nur Jän. und Feb)</t>
  </si>
  <si>
    <t>Nur Jänner und Februar wegen Umzug</t>
  </si>
  <si>
    <t>Sommersemester 2020</t>
  </si>
  <si>
    <t>Wintersemester 2020/2021</t>
  </si>
  <si>
    <t>Einkommensteuer für das Jahr 2015</t>
  </si>
  <si>
    <t>Legende</t>
  </si>
  <si>
    <t>Tatsächliche Einkommensteuer für 2015</t>
  </si>
  <si>
    <t>Jahr passt, sprich Gutschrift erhalten</t>
  </si>
  <si>
    <t>Beträge die ich bezahlt habe für 2015</t>
  </si>
  <si>
    <t>Überweisung von mir ans Finanzamt</t>
  </si>
  <si>
    <t>Gutschrift</t>
  </si>
  <si>
    <t>Abbuchung vom Finanzamt</t>
  </si>
  <si>
    <t>08.09.2016</t>
  </si>
  <si>
    <t>Festsetzung</t>
  </si>
  <si>
    <t>Vorgehensweise für Zahlung ans Finanzamt</t>
  </si>
  <si>
    <t>15.09.2016</t>
  </si>
  <si>
    <t>Überweisung (für Einkommensteuer 2015)</t>
  </si>
  <si>
    <t>1) Auf Girokonto gehen und auf Finanzamtszahlung klicken</t>
  </si>
  <si>
    <t xml:space="preserve">2) Finanzamt Linz (FA46) auswählen (AT03 0100 0000 0552 4464) </t>
  </si>
  <si>
    <t>3) Steuernummer 465301182 eintragen</t>
  </si>
  <si>
    <t>4) Abgabenart wählen + Betrag eingeben</t>
  </si>
  <si>
    <t>Einkommensteuer für das Jahr 2016</t>
  </si>
  <si>
    <t>Vorauszahlung für 2016 hat ergeben (805€ um 4% erhöht)</t>
  </si>
  <si>
    <t>Tatsächliche Einkommensteuer für 2016</t>
  </si>
  <si>
    <t>Beträge die ich bezahlt habe für 2016</t>
  </si>
  <si>
    <t>Gutschrift (Vorausberechnete Steuer - Tatsächliche)</t>
  </si>
  <si>
    <t>21.09.2016</t>
  </si>
  <si>
    <t>Überweisung (für die vorausberechnete Einkommensteuer 2016)</t>
  </si>
  <si>
    <t>25.11.2016</t>
  </si>
  <si>
    <t>Buchung</t>
  </si>
  <si>
    <t>21.09.2017</t>
  </si>
  <si>
    <t>Festsetzung (Gutschrift für 2016)</t>
  </si>
  <si>
    <t>Einkommensteuer für das Jahr 2017</t>
  </si>
  <si>
    <t>Vorauszahlung für 2017 hat ergeben (740€ um 4% erhöht)</t>
  </si>
  <si>
    <t>Tatsächliche Einkommensteuer für 2017</t>
  </si>
  <si>
    <t>Beträge die ich bezahlt habe für 2017</t>
  </si>
  <si>
    <t>ich hätte gar nicht soviel überweisen müssen, weil ich ja schon 97€ Guthaben am Konto hatte</t>
  </si>
  <si>
    <t>30.01.2017</t>
  </si>
  <si>
    <t>Überweisung (vorausberechnete Einkommensteuer 2017 mit Anfangs 837€)</t>
  </si>
  <si>
    <t>01-03 2017</t>
  </si>
  <si>
    <t>Vierteljahresbuchung (Vorauszahlung 837€)</t>
  </si>
  <si>
    <t>03.05.2017</t>
  </si>
  <si>
    <t>04-06 2017</t>
  </si>
  <si>
    <t>07-09 2017</t>
  </si>
  <si>
    <t>Vierteljahresbuchung (Korrektur wegen neuer Vorauszahlung 837€ auf 769€)</t>
  </si>
  <si>
    <t>10-12 2017</t>
  </si>
  <si>
    <t>Vierteljahresbuchung (Vorauszahlung 769€)</t>
  </si>
  <si>
    <t>Festsetzung (Gutschrift für 2017)</t>
  </si>
  <si>
    <t>Einkommensteuer für das Jahr 2018</t>
  </si>
  <si>
    <t>Vorauszahlung für 2018 hat ergeben (581€ um 4% erhöht)</t>
  </si>
  <si>
    <t>Tatsächliche Einkommensteuer für 2018</t>
  </si>
  <si>
    <t>Beträge die ich bezahlt habe für 2018</t>
  </si>
  <si>
    <t>30.01.2018</t>
  </si>
  <si>
    <t>Überweisung</t>
  </si>
  <si>
    <t>01-03 2018</t>
  </si>
  <si>
    <t>04-06 2018</t>
  </si>
  <si>
    <t>Vierteljahresbuchung (Korrektur wegen neuer Vorauszahlung 769€ auf 581€)</t>
  </si>
  <si>
    <t>07-09 2018</t>
  </si>
  <si>
    <t>Vierteljahresbuchung (Vorauszahlung 581€)</t>
  </si>
  <si>
    <t>10-12 2018</t>
  </si>
  <si>
    <t>Einkommensteuer für das Jahr 2019</t>
  </si>
  <si>
    <t>Vorauszahlung für 2019 hat ergeben (581€ um 4% erhöht)</t>
  </si>
  <si>
    <t>Tatsächliche Einkommensteuer für 2019</t>
  </si>
  <si>
    <t>Beträge die ich bezahlt habe für 2019</t>
  </si>
  <si>
    <t>01-03 2019</t>
  </si>
  <si>
    <t>Vierteljahresbuchung</t>
  </si>
  <si>
    <t>Steuerrückzahlung für 2018</t>
  </si>
  <si>
    <t>Überweisung (zu diesem Zeitpunkt restliche Steuer 2019 + Rückzahlung 2018)</t>
  </si>
  <si>
    <t>04-06 2019</t>
  </si>
  <si>
    <t>Stand 30.5.2019</t>
  </si>
  <si>
    <t>Am 8.5.2019 wurden 1482€ aufs Finanzamt überwiesen wegen folgender Überlegung:</t>
  </si>
  <si>
    <t>Einkommenssteuernachzahlung für 2018</t>
  </si>
  <si>
    <t>Vorauszahlung für 2019</t>
  </si>
  <si>
    <t>2019 1.Quartal wurde schon bezahlt</t>
  </si>
  <si>
    <t>Guthaben zu diesem Zeitpunkt</t>
  </si>
  <si>
    <t>Muss bis Ende 2019 ausreichen, d.h ab 1.1.2020 muss der Kontostand auf 0 sein</t>
  </si>
  <si>
    <t>Korrekt mit 1.1.2020 ist der Kontostand auf 0€!</t>
  </si>
  <si>
    <t>Am 20.01.2020 wurden 1243€ überwiesen wegen berechneter Vorauszahlung  für das Jahr 2020</t>
  </si>
  <si>
    <t xml:space="preserve">Im Laufe des Jahres 2020 wurden genau 1243€ abgezogen </t>
  </si>
  <si>
    <t>Korrekt mit 1.1.2021 ist der Kontostand auf 0€!</t>
  </si>
  <si>
    <t>Nachforderung Einkommenssteuer für 2019 von 1202€</t>
  </si>
  <si>
    <t>Am 27.01.2021 wurden 1202€ überwiesen wegen Einkommensteuer-Nachforderung für das Jahr 2019. (fällig am 22.02.2021)</t>
  </si>
  <si>
    <t>Stand 03.02.2021</t>
  </si>
  <si>
    <t>Vorauszahlung für Einkommensteuer im Jahr 2021 beträgt 2665€ (1.Q: 310€;  2.Q: 1022€;  3.Q: 666€;  4.Q: 667€)</t>
  </si>
  <si>
    <t>Am 03.02.2021 wurden 1332€ überwiesen (Buchungstag 05.02.2021) wegen Vorauszahlung für 2021 (Grundlage 2665€) für 1.Q (310€ fällig am 15.02.2021) und 2.Q (1022€ fällig am 17.05.2021).</t>
  </si>
  <si>
    <r>
      <rPr>
        <sz val="15"/>
        <color indexed="8"/>
        <rFont val="Calibri"/>
        <family val="2"/>
      </rPr>
      <t xml:space="preserve">Bis zum nächsten 3.Q (666€ fällig am </t>
    </r>
    <r>
      <rPr>
        <b/>
        <sz val="15"/>
        <color indexed="8"/>
        <rFont val="Calibri"/>
        <family val="2"/>
      </rPr>
      <t>16.08.2021</t>
    </r>
    <r>
      <rPr>
        <sz val="15"/>
        <color indexed="8"/>
        <rFont val="Calibri"/>
        <family val="2"/>
      </rPr>
      <t>) reicht das, d.h nach dem 17.05.2021 sollte Kontostand auf 0€ sein. (eventuell ergeben sich Änderungen für die Vorauszahlungen 2021, wenn ich bis dahin die Steuererklärung für 2020 gemacht habe)</t>
    </r>
  </si>
  <si>
    <t>Stand 29.03.2021</t>
  </si>
  <si>
    <t>Die Änderungen für die Vorauszahlung 2021 ergibt 3124€ (vorher 2665) =&gt; ich habe noch keinen Bescheid über die neuen Quartalsberechnungen erhalten. 1.Q über 310€ mit dem alt berechneten 2665€ wurde am 15.02.2021 fällig</t>
  </si>
  <si>
    <t>Am 29.03.2021 wurden 1761€ überwiesen wegen Einkommensteuer-Nachforderung für das Jahr 2020. (fällig am 06.05.2021)</t>
  </si>
  <si>
    <t>Warten bis ich die neuen Quartalsberechnungen bekomme und anschließend sofort die komplette fehlende Jahressumme (310€ + 1022€= 1332€ für 2021 schon überwiesen) überweisen, damit  2021 erledigt ist</t>
  </si>
  <si>
    <t>Stand 22.04.2021</t>
  </si>
  <si>
    <t>Neuen Quartalsberechnungen für 2021 erhalten und ergeben 1.Q: 310€;  2.Q: 1252€;  3.Q: 781€;  4.Q: 781€ (Summe 3124€)</t>
  </si>
  <si>
    <t>Ergibt folgende Überweisung 1.Q: 0€ (wurde schon überwiesen);  2.Q: 1252-1022=230€ (1022 wurden schon vorher überwiesen);  3.Q: 781€;  4.Q: 781€; in Summe 1792€</t>
  </si>
  <si>
    <t>Am 22.4.2021 wurden 1792€ überwiesen und dies sollte bis Jahresende reichen, d.h. am 1.1.2022 sollte Kontostand auf 0 sein.</t>
  </si>
  <si>
    <t>Korrekt mit 1.1.2022 ist der Kontostand auf 0€!</t>
  </si>
  <si>
    <t>Stand 25.01.2022</t>
  </si>
  <si>
    <t>Bescheid bekommen über die Vorauszahlung für 2022. Diese ergibt 3124€ (1.Q: 781€;  2.Q: 781€;  3.Q: 781€;  4.Q: 781€), selber Betrag wie 2021, d.h dieser Betrag wird sich sicher noch ändern sobald die Steuererklärung für 2021 gemacht wurde.</t>
  </si>
  <si>
    <t>Sommersemester 2021</t>
  </si>
  <si>
    <t>Wintersemester 2021/2022</t>
  </si>
  <si>
    <t>Air Max (mit 40% Privatanteil)</t>
  </si>
  <si>
    <t>LastPass (mit 40% Privatanteil)</t>
  </si>
  <si>
    <t>Lohnzettel 2021 JKU</t>
  </si>
  <si>
    <t>Berechnungsblatt 2021</t>
  </si>
  <si>
    <t>Zusammenfassung für 2021</t>
  </si>
  <si>
    <t>Vorausbezahlt für das Jahr 2021</t>
  </si>
  <si>
    <t>Lohnzettel 2021 Apple</t>
  </si>
  <si>
    <t>Zu versteuendes Einkommen (ohne Sonderzahlungen)</t>
  </si>
  <si>
    <t>Nettogehalt Matheplus (Einnahmen - Miete, Hotdomain etc.)</t>
  </si>
  <si>
    <t>Kennzahl: 169</t>
  </si>
  <si>
    <t>Sum Kennzahl 169</t>
  </si>
  <si>
    <t>Kennzahl: 455 (leider ab 2021 nicht mehr abesetzbar)</t>
  </si>
  <si>
    <t>Anmerkung: Kennzahl 169: Digitale Arbeitsmittel: Ich Interpretiere es so, alles was mit Software zutun hat</t>
  </si>
  <si>
    <t>Werbungskosten für Homeoffice-Pauschale</t>
  </si>
  <si>
    <t>Nachforderung wurde am 21.4.2022 überwiesen</t>
  </si>
  <si>
    <t>Am 25.01.2022 wurden 781€ überwiesen wegen 1.Q. Der Betrag für das 2.Q ist erst am 16.05 Fällig. Bis dahin habe ich eventuell schon die aktualisierte Vorausberechnung für 2022 und dann könnte man die restliche Jahressumme überweisen.</t>
  </si>
  <si>
    <t>1) Nachforderung der Einkommensteuer für 2021 von 8€</t>
  </si>
  <si>
    <t>2) Vorauszahlung für 2.Q 2022 von 781€. Dieser Betrag entspricht noch immer ein Viertel der alten Vorauszahlung von 3124€. Am 20.04 habe ich aber schon die neue Vorauszahlung für 2022 erhalten und diese ergibt 3257€. Die jeweiligen Vierteljahresfälligkeiten wurden noch nicht zugestellt. Sobald diese eintreffen könnte man gleich die restliche Jahressumme überweisen.</t>
  </si>
  <si>
    <t>Am 21.04.2022 wurden folgende zwei Überweisungen getätigt:</t>
  </si>
  <si>
    <t>Die Kennzahl 169 fließt nur in der Berechnung ein, sprich mindert Bemessungsgrundlage, wenn sie größer als 300€ ist</t>
  </si>
  <si>
    <t>Stand 21.04.2022</t>
  </si>
  <si>
    <t>Stand 22.07.2022</t>
  </si>
  <si>
    <t>Neuen Quartalsberechnungen für 2022 erhalten und ergeben 1.Q: 781€;  2.Q: 781€;  3.Q: 880€;  4.Q: 815€ (Summe 3257€)</t>
  </si>
  <si>
    <t>Ergibt folgende Überweisung 1.Q und 2.Q wurde schon überwiesen;  3.Q + 4.Q = 880 +815 = 1695€</t>
  </si>
  <si>
    <t>Am 25.7.2022 wurden 1695€ überwiesen und dies sollte bis Jahresende reichen, d.h. am 1.1.2023 sollte Kontostand auf 0 sein.</t>
  </si>
  <si>
    <t>Korrekt mit 1.1.2023 ist der Kontostand auf 0€!</t>
  </si>
  <si>
    <t>Stand 10.02.2023</t>
  </si>
  <si>
    <t>Bescheid bekommen über die Vorauszahlung für 2023. Diese ergibt 3257€ (1.Q: 814€;  2.Q: 814€;  3.Q: 814€;  4.Q: 815€), selber Betrag wie 2022, d.h dieser Betrag wird sich noch ändern sobald die Steuererklärung für 2022 gemacht wurde.</t>
  </si>
  <si>
    <t>Lohnzettel 2022 JKU</t>
  </si>
  <si>
    <t>Berechnungsblatt 2022</t>
  </si>
  <si>
    <t>Vorausbezahlt für das Jahr 2022</t>
  </si>
  <si>
    <t>Zusammenfassung für 2022</t>
  </si>
  <si>
    <t>Sonderzahlung, sprich 13. und 14. Gehalt</t>
  </si>
  <si>
    <t>Lohnzettel 2022 Apple (Part Time 01.01 - 31.03.2022)</t>
  </si>
  <si>
    <t>Lohnzettel 2022 Apple (Full Time 09.05 - 31.12.2022)</t>
  </si>
  <si>
    <t>Steuerfreie Bezüge gemas Paragr. 68</t>
  </si>
  <si>
    <t>ARBEITSMARKTSERVICE ÖSTERREICH (01.04 - 08.05.2022)</t>
  </si>
  <si>
    <t>Tagessatz</t>
  </si>
  <si>
    <t>Anzahl der Tage</t>
  </si>
  <si>
    <t>Gesamtbetrag der Leistungen</t>
  </si>
  <si>
    <t>Logitech Mouse (mit 40% Privatanteil)</t>
  </si>
  <si>
    <t>Wintersemester 2022/2023</t>
  </si>
  <si>
    <t>Sommersemester 2022</t>
  </si>
  <si>
    <t>mit Grenzsteuersatz von 48%</t>
  </si>
  <si>
    <t>Auguts</t>
  </si>
  <si>
    <t>Septermber</t>
  </si>
  <si>
    <t>Apple Fulltime: Gross Pay (in Euro)</t>
  </si>
  <si>
    <t>RSU (in Dollar)</t>
  </si>
  <si>
    <t>Nebenrechnung um zu checken ob im Jahresbruttogehalt die RSUs enthalten sind</t>
  </si>
  <si>
    <t>Total</t>
  </si>
  <si>
    <t>Anmerkung: Die Gewinne durch ESPP werden nicht beruecksichtigt, also Netto ist noch ein bisschen mehr</t>
  </si>
  <si>
    <t>Stand 26.04.2023</t>
  </si>
  <si>
    <t>Am 10.02.2023 wurden 814€ überwiesen wegen 1.Q.</t>
  </si>
  <si>
    <t>Kennzahl: 718</t>
  </si>
  <si>
    <t>Pendlerpauschale</t>
  </si>
  <si>
    <t>Verkehrsabsetzbetrag + Pendlereuro</t>
  </si>
  <si>
    <t>Gesamt Werbungskosten</t>
  </si>
  <si>
    <t>JA RSUs sind im Jahresbruttogehalt enthalten</t>
  </si>
  <si>
    <t>Ungenauogkeit wegen Dollar zu Euro Umrechnung</t>
  </si>
  <si>
    <t>Apple Keyboard (mit 40% Privatanteil)</t>
  </si>
  <si>
    <t>Stand 10.08.2023</t>
  </si>
  <si>
    <t>Am 26.04.2023 wurden 814€ überwiesen wegen 2.Q.</t>
  </si>
  <si>
    <t>Am 10.08.2023 wurden 814€ überwiesen wegen 3.Q. Der Betrag für das 4.Q ist erst am 15.11 Fällig. Bis dahin habe ich eventuell schon die aktualisierte Vorausberechnung für 2023, weil die Steuererklaerung 2022 schon abgegeben worden ist</t>
  </si>
  <si>
    <t>Bemessungsgrundlage, fuer die der "normale" Steuersatz greift</t>
  </si>
  <si>
    <t>Stand 05.09.2023</t>
  </si>
  <si>
    <t>Habe neuen Vorauszahlungsbescheid fuer 2023 und folge Jahre bekommen. Diese Betraegt 0 euro. Somit kann ich die bis jetzt eingezahlte Steuer fuer 2023 zurueckverlangen 814 + 814 +814 = 2442 =&gt; TODO</t>
  </si>
  <si>
    <t>Stand 15.09.2023</t>
  </si>
  <si>
    <t>Es wird nur Guthaben die durch eine Arbeitnehmerveranlagung entstanden ist, zurueckueberwiesen. Es wurde der Antrag auf Rueckzahlung ueber 2442 + 3036 = 5478 eingebracht</t>
  </si>
  <si>
    <t>Stand 23.09.2023</t>
  </si>
  <si>
    <t>Es wurden die beantragten 5478Euro ueberwiesen. Kontostand somit auf 0 Euro.</t>
  </si>
  <si>
    <t>Erklaerung abgegeben am 26.6.2023. Am 30.8.2023 Antwort erhalten und es wurde bestatetigt, dass ich die Gutschrift von 3036 erhalten werde. Am 15.9.2023 Antrag gestellt auf Rueckuberweisung. Am 21.09.2023 die Gutschrift von 3036 erhalten</t>
  </si>
  <si>
    <t>Lohnzettel 2023 Apple</t>
  </si>
  <si>
    <t>Hier ist "normaler" Steuersatz gültig</t>
  </si>
  <si>
    <t>Berechnungsblatt 2023</t>
  </si>
  <si>
    <t>Apple Airpods 2.Gen (mit 40% Privatanteil)</t>
  </si>
  <si>
    <t>Lapi Tasche tomtoc (mit 0% Privatanteil)</t>
  </si>
  <si>
    <t>Pendlereuro:  2*16(=km)*(2/3) (=wegen 8-10 Fahrten) 0=&gt; 21,33€</t>
  </si>
  <si>
    <t>Kennzahl 718 wurde mit 8-10 Fahrten pro Monat berechnet (0600 Arbeitsbeginn)</t>
  </si>
  <si>
    <t>Vorausbezahlt für das Jahr 2023</t>
  </si>
  <si>
    <t>mit Grenzsteuersatz von 50%</t>
  </si>
  <si>
    <t>Erklaerung abgegeben am 16.6.2024.</t>
  </si>
  <si>
    <t>Sommersemester 2023</t>
  </si>
  <si>
    <t>Wintersemester 2023/2024</t>
  </si>
  <si>
    <t>November (mit Weihnachtsgeld)</t>
  </si>
  <si>
    <t>Oktober (mit performance bonus)</t>
  </si>
  <si>
    <t>Apple Fulltime: Gross Pay (, inkludiert Urlaubs/Weihnachtsgeld + Performance bonus, in Euro)</t>
  </si>
  <si>
    <t>Pendlereuro</t>
  </si>
  <si>
    <t>Kennzahl: 916</t>
  </si>
  <si>
    <t>weniger als 730€, somit bleibt dieser Zuverdienst steuerfrei =&gt; ich müsste keine Steuererklärung mehr abgeben</t>
  </si>
  <si>
    <t>2024</t>
  </si>
  <si>
    <t>Stand 24.06.2024</t>
  </si>
  <si>
    <t>Steuererklärung für 2023 (eingereicht am 16.6.2024) ergab eine Gutschrift von 925€ =&gt; wurde auf SteuerKonto überwiesen. Rückerstatttung von die 925€ wurde sofort beantragt.</t>
  </si>
  <si>
    <t>Stand 25.06.2024</t>
  </si>
  <si>
    <t>Rückerstatttung von 925€ wurde überwiesen =&gt; Kontostand auf 0€</t>
  </si>
  <si>
    <t>Gutschrift von 925€ erhalten am 17.6.2024 =&gt; DONE</t>
  </si>
  <si>
    <t>Juni (mit Urlaubsgeld)</t>
  </si>
  <si>
    <t>Nebenrechnung um zu checken ob im Jahresbruttogehalt die RSUs enthalten sind =&gt; JA sind enthalten, weil ca gleich mit Jahresbrutto (KZ210)</t>
  </si>
  <si>
    <t>Lohnzettel 2024 Apple</t>
  </si>
  <si>
    <t>Berechnungsblatt 2024</t>
  </si>
  <si>
    <t>Zusammenfassung</t>
  </si>
  <si>
    <t>Sommersemester 2024</t>
  </si>
  <si>
    <t>Wintersemester 2024/2025</t>
  </si>
  <si>
    <t>Kennzahl 718 wurde mit mehr als 10 Fahrten pro Monat berechnet (0600 Arbeitsbeginn)</t>
  </si>
  <si>
    <t>Pendlereuro:  2*16(=km)</t>
  </si>
  <si>
    <t>Klimabonus</t>
  </si>
  <si>
    <t>Jahres Brutto (ohne Sonderzahlungen)</t>
  </si>
  <si>
    <t>Homeoffice Pauschale</t>
  </si>
  <si>
    <t>Gesamt Freibetraege (vermindern Bemessungsgrundlage)</t>
  </si>
  <si>
    <t>Vorausbezahlt für das Jahr 2024 (Matheplus)</t>
  </si>
  <si>
    <t>kann mit matheplus nicht mehr argumentieren weil ich ja 0 euro angegeben habe und ueber firma auch nicht mehr wegen firmenhandy (brauche fuer 2025 auch nicht mehr aufheben)</t>
  </si>
  <si>
    <t xml:space="preserve"> Setze es auf 0 fuer 2025 erklaerung</t>
  </si>
  <si>
    <t>Bemessungsgrundlage (vor Freibetraege)</t>
  </si>
  <si>
    <t>Erklaerung abgegeben am 10.04.2025</t>
  </si>
  <si>
    <t>2025</t>
  </si>
  <si>
    <t>Stand 10.04.2025</t>
  </si>
  <si>
    <t>Steuererklärung für 2024 ergab eine Gutschrift von 646€ =&gt; wurde auf SteuerKonto überwiesen. Rückerstatttung von die 646€ wurde sofort beantragt.</t>
  </si>
  <si>
    <t>Gutschrift von 646€ erhalten am 22.4.2025 =&gt; DONE</t>
  </si>
  <si>
    <t>Stand 15.04.2024</t>
  </si>
  <si>
    <t>Rückerstatttung von 646€ wurde überwiesen =&gt; Kontostand auf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</si>
</sst>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quot; €&quot;"/>
    <numFmt numFmtId="165" formatCode="#,##0.00&quot;  &quot;"/>
    <numFmt numFmtId="166" formatCode="&quot;€ &quot;#,##0.00"/>
    <numFmt numFmtId="167" formatCode="#,##0.00&quot; &quot;[$SIT]"/>
    <numFmt numFmtId="168" formatCode="[$€-2]\ #,##0.0"/>
    <numFmt numFmtId="169" formatCode="#,##0.00&quot; &quot;[$€-2]"/>
    <numFmt numFmtId="170" formatCode="#,##0.00&quot; &quot;[$€-2];&quot;-&quot;#,##0.00&quot; &quot;[$€-2]"/>
    <numFmt numFmtId="171" formatCode="[$€-2]&quot; &quot;#,##0.00"/>
    <numFmt numFmtId="172" formatCode="dd/mm"/>
    <numFmt numFmtId="173" formatCode="&quot;€&quot;\ #,##0.00"/>
  </numFmts>
  <fonts count="40" x14ac:knownFonts="1">
    <font>
      <sz val="15"/>
      <color indexed="8"/>
      <name val="Helvetica Neue"/>
    </font>
    <font>
      <sz val="12"/>
      <color indexed="8"/>
      <name val="Helvetica Neue"/>
      <family val="2"/>
    </font>
    <font>
      <sz val="14"/>
      <color indexed="8"/>
      <name val="Helvetica Neue"/>
      <family val="2"/>
    </font>
    <font>
      <u/>
      <sz val="12"/>
      <color indexed="11"/>
      <name val="Helvetica Neue"/>
      <family val="2"/>
    </font>
    <font>
      <b/>
      <sz val="17"/>
      <color indexed="8"/>
      <name val="Helvetica Neue"/>
      <family val="2"/>
    </font>
    <font>
      <b/>
      <sz val="15"/>
      <color indexed="8"/>
      <name val="Helvetica Neue"/>
      <family val="2"/>
    </font>
    <font>
      <sz val="14"/>
      <color indexed="17"/>
      <name val="Helvetica Neue"/>
      <family val="2"/>
    </font>
    <font>
      <sz val="11"/>
      <color indexed="8"/>
      <name val="Calibri"/>
      <family val="2"/>
    </font>
    <font>
      <b/>
      <sz val="15"/>
      <color indexed="23"/>
      <name val="Calibri"/>
      <family val="2"/>
    </font>
    <font>
      <sz val="15"/>
      <color indexed="25"/>
      <name val="Helvetica Neue"/>
      <family val="2"/>
    </font>
    <font>
      <sz val="15"/>
      <color indexed="27"/>
      <name val="Helvetica Neue"/>
      <family val="2"/>
    </font>
    <font>
      <b/>
      <sz val="15"/>
      <color indexed="27"/>
      <name val="Calibri"/>
      <family val="2"/>
    </font>
    <font>
      <b/>
      <sz val="15"/>
      <color indexed="8"/>
      <name val="Calibri"/>
      <family val="2"/>
    </font>
    <font>
      <b/>
      <sz val="16"/>
      <color indexed="23"/>
      <name val="Calibri"/>
      <family val="2"/>
    </font>
    <font>
      <b/>
      <sz val="14"/>
      <color indexed="8"/>
      <name val="Calibri"/>
      <family val="2"/>
    </font>
    <font>
      <sz val="14"/>
      <color indexed="25"/>
      <name val="Helvetica Neue"/>
      <family val="2"/>
    </font>
    <font>
      <sz val="14"/>
      <color indexed="29"/>
      <name val="Helvetica Neue"/>
      <family val="2"/>
    </font>
    <font>
      <b/>
      <sz val="14"/>
      <color indexed="23"/>
      <name val="Calibri"/>
      <family val="2"/>
    </font>
    <font>
      <sz val="15"/>
      <color indexed="29"/>
      <name val="Helvetica Neue"/>
      <family val="2"/>
    </font>
    <font>
      <b/>
      <sz val="15"/>
      <color indexed="23"/>
      <name val="Helvetica Neue"/>
      <family val="2"/>
    </font>
    <font>
      <sz val="17"/>
      <color indexed="25"/>
      <name val="Helvetica Neue"/>
      <family val="2"/>
    </font>
    <font>
      <sz val="17"/>
      <color indexed="29"/>
      <name val="Helvetica Neue"/>
      <family val="2"/>
    </font>
    <font>
      <sz val="17"/>
      <color indexed="8"/>
      <name val="Helvetica Neue"/>
      <family val="2"/>
    </font>
    <font>
      <b/>
      <sz val="17"/>
      <color indexed="23"/>
      <name val="Calibri"/>
      <family val="2"/>
    </font>
    <font>
      <sz val="20"/>
      <color indexed="17"/>
      <name val="Helvetica Neue"/>
      <family val="2"/>
    </font>
    <font>
      <b/>
      <sz val="16"/>
      <color indexed="27"/>
      <name val="Calibri"/>
      <family val="2"/>
    </font>
    <font>
      <sz val="16"/>
      <color indexed="8"/>
      <name val="Helvetica Neue"/>
      <family val="2"/>
    </font>
    <font>
      <b/>
      <sz val="16"/>
      <color indexed="8"/>
      <name val="Calibri"/>
      <family val="2"/>
    </font>
    <font>
      <b/>
      <sz val="19"/>
      <color indexed="23"/>
      <name val="Calibri"/>
      <family val="2"/>
    </font>
    <font>
      <b/>
      <sz val="15"/>
      <color indexed="15"/>
      <name val="Calibri"/>
      <family val="2"/>
    </font>
    <font>
      <b/>
      <sz val="14"/>
      <color indexed="25"/>
      <name val="Calibri"/>
      <family val="2"/>
    </font>
    <font>
      <b/>
      <sz val="18"/>
      <color indexed="23"/>
      <name val="Calibri"/>
      <family val="2"/>
    </font>
    <font>
      <b/>
      <sz val="15"/>
      <color indexed="25"/>
      <name val="Calibri"/>
      <family val="2"/>
    </font>
    <font>
      <sz val="15"/>
      <color indexed="8"/>
      <name val="Calibri"/>
      <family val="2"/>
    </font>
    <font>
      <b/>
      <sz val="17"/>
      <color indexed="8"/>
      <name val="Helvetica Neue"/>
      <family val="2"/>
    </font>
    <font>
      <b/>
      <sz val="18"/>
      <color indexed="23"/>
      <name val="Calibri"/>
      <family val="2"/>
    </font>
    <font>
      <sz val="15"/>
      <color indexed="8"/>
      <name val="Helvetica Neue"/>
      <family val="2"/>
    </font>
    <font>
      <b/>
      <sz val="12"/>
      <color rgb="FFFA7D00"/>
      <name val="Helvetica Neue"/>
      <family val="2"/>
      <scheme val="minor"/>
    </font>
    <font>
      <b/>
      <sz val="16"/>
      <color rgb="FFFA7D00"/>
      <name val="Helvetica Neue"/>
      <family val="2"/>
      <scheme val="minor"/>
    </font>
    <font>
      <sz val="8"/>
      <name val="Helvetica Neue"/>
      <family val="2"/>
    </font>
  </fonts>
  <fills count="1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4"/>
        <bgColor auto="1"/>
      </patternFill>
    </fill>
    <fill>
      <patternFill patternType="solid">
        <fgColor indexed="26"/>
        <bgColor auto="1"/>
      </patternFill>
    </fill>
    <fill>
      <patternFill patternType="solid">
        <fgColor indexed="28"/>
        <bgColor auto="1"/>
      </patternFill>
    </fill>
    <fill>
      <patternFill patternType="solid">
        <fgColor indexed="30"/>
        <bgColor auto="1"/>
      </patternFill>
    </fill>
    <fill>
      <patternFill patternType="solid">
        <fgColor indexed="32"/>
        <bgColor auto="1"/>
      </patternFill>
    </fill>
    <fill>
      <patternFill patternType="solid">
        <fgColor indexed="33"/>
        <bgColor auto="1"/>
      </patternFill>
    </fill>
    <fill>
      <patternFill patternType="solid">
        <fgColor rgb="FFF2F2F2"/>
      </patternFill>
    </fill>
    <fill>
      <patternFill patternType="solid">
        <fgColor theme="4" tint="0.59999389629810485"/>
        <bgColor indexed="64"/>
      </patternFill>
    </fill>
    <fill>
      <patternFill patternType="solid">
        <fgColor theme="0"/>
        <bgColor indexed="64"/>
      </patternFill>
    </fill>
  </fills>
  <borders count="84">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2"/>
      </right>
      <top style="thin">
        <color indexed="12"/>
      </top>
      <bottom style="thin">
        <color indexed="12"/>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thin">
        <color indexed="15"/>
      </bottom>
      <diagonal/>
    </border>
    <border>
      <left style="thin">
        <color indexed="12"/>
      </left>
      <right style="thin">
        <color indexed="15"/>
      </right>
      <top style="thin">
        <color indexed="12"/>
      </top>
      <bottom style="thin">
        <color indexed="12"/>
      </bottom>
      <diagonal/>
    </border>
    <border>
      <left style="thin">
        <color indexed="15"/>
      </left>
      <right style="thin">
        <color indexed="15"/>
      </right>
      <top style="thin">
        <color indexed="15"/>
      </top>
      <bottom style="thin">
        <color indexed="15"/>
      </bottom>
      <diagonal/>
    </border>
    <border>
      <left style="thin">
        <color indexed="15"/>
      </left>
      <right style="thin">
        <color indexed="12"/>
      </right>
      <top style="thin">
        <color indexed="12"/>
      </top>
      <bottom style="thin">
        <color indexed="12"/>
      </bottom>
      <diagonal/>
    </border>
    <border>
      <left style="thin">
        <color indexed="12"/>
      </left>
      <right style="thin">
        <color indexed="12"/>
      </right>
      <top style="thin">
        <color indexed="15"/>
      </top>
      <bottom style="thin">
        <color indexed="12"/>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2"/>
      </right>
      <top style="thin">
        <color indexed="12"/>
      </top>
      <bottom/>
      <diagonal/>
    </border>
    <border>
      <left/>
      <right style="thin">
        <color indexed="12"/>
      </right>
      <top style="thin">
        <color indexed="12"/>
      </top>
      <bottom style="thin">
        <color indexed="12"/>
      </bottom>
      <diagonal/>
    </border>
    <border>
      <left style="thin">
        <color indexed="12"/>
      </left>
      <right style="thin">
        <color indexed="12"/>
      </right>
      <top/>
      <bottom/>
      <diagonal/>
    </border>
    <border>
      <left style="thin">
        <color indexed="12"/>
      </left>
      <right style="thin">
        <color indexed="12"/>
      </right>
      <top style="thin">
        <color indexed="12"/>
      </top>
      <bottom style="thin">
        <color indexed="22"/>
      </bottom>
      <diagonal/>
    </border>
    <border>
      <left/>
      <right style="thin">
        <color indexed="22"/>
      </right>
      <top style="thin">
        <color indexed="12"/>
      </top>
      <bottom style="thin">
        <color indexed="12"/>
      </bottom>
      <diagonal/>
    </border>
    <border>
      <left style="thin">
        <color indexed="22"/>
      </left>
      <right style="thin">
        <color indexed="22"/>
      </right>
      <top style="thin">
        <color indexed="22"/>
      </top>
      <bottom style="thin">
        <color indexed="22"/>
      </bottom>
      <diagonal/>
    </border>
    <border>
      <left style="thin">
        <color indexed="12"/>
      </left>
      <right style="thin">
        <color indexed="22"/>
      </right>
      <top style="thin">
        <color indexed="12"/>
      </top>
      <bottom style="thin">
        <color indexed="12"/>
      </bottom>
      <diagonal/>
    </border>
    <border>
      <left style="thin">
        <color indexed="12"/>
      </left>
      <right style="thin">
        <color indexed="12"/>
      </right>
      <top style="thin">
        <color indexed="22"/>
      </top>
      <bottom style="thin">
        <color indexed="12"/>
      </bottom>
      <diagonal/>
    </border>
    <border>
      <left style="thin">
        <color indexed="12"/>
      </left>
      <right/>
      <top style="thin">
        <color indexed="22"/>
      </top>
      <bottom/>
      <diagonal/>
    </border>
    <border>
      <left/>
      <right/>
      <top style="thin">
        <color indexed="22"/>
      </top>
      <bottom/>
      <diagonal/>
    </border>
    <border>
      <left/>
      <right style="thin">
        <color indexed="12"/>
      </right>
      <top style="thin">
        <color indexed="22"/>
      </top>
      <bottom style="thin">
        <color indexed="12"/>
      </bottom>
      <diagonal/>
    </border>
    <border>
      <left style="thin">
        <color indexed="12"/>
      </left>
      <right style="thin">
        <color indexed="12"/>
      </right>
      <top/>
      <bottom style="thin">
        <color indexed="22"/>
      </bottom>
      <diagonal/>
    </border>
    <border>
      <left style="thin">
        <color indexed="22"/>
      </left>
      <right style="thin">
        <color indexed="12"/>
      </right>
      <top style="thin">
        <color indexed="12"/>
      </top>
      <bottom style="thin">
        <color indexed="12"/>
      </bottom>
      <diagonal/>
    </border>
    <border>
      <left style="thin">
        <color indexed="12"/>
      </left>
      <right style="thin">
        <color indexed="12"/>
      </right>
      <top style="thin">
        <color indexed="22"/>
      </top>
      <bottom/>
      <diagonal/>
    </border>
    <border>
      <left style="thin">
        <color indexed="12"/>
      </left>
      <right/>
      <top/>
      <bottom style="thin">
        <color indexed="22"/>
      </bottom>
      <diagonal/>
    </border>
    <border>
      <left/>
      <right/>
      <top/>
      <bottom style="thin">
        <color indexed="22"/>
      </bottom>
      <diagonal/>
    </border>
    <border>
      <left/>
      <right/>
      <top style="thin">
        <color indexed="12"/>
      </top>
      <bottom style="thin">
        <color indexed="12"/>
      </bottom>
      <diagonal/>
    </border>
    <border>
      <left style="thin">
        <color indexed="12"/>
      </left>
      <right/>
      <top style="thin">
        <color indexed="12"/>
      </top>
      <bottom style="thin">
        <color indexed="12"/>
      </bottom>
      <diagonal/>
    </border>
    <border>
      <left style="thin">
        <color indexed="22"/>
      </left>
      <right/>
      <top style="thin">
        <color indexed="12"/>
      </top>
      <bottom style="thin">
        <color indexed="12"/>
      </bottom>
      <diagonal/>
    </border>
    <border>
      <left style="medium">
        <color indexed="8"/>
      </left>
      <right/>
      <top style="medium">
        <color indexed="8"/>
      </top>
      <bottom style="thin">
        <color indexed="22"/>
      </bottom>
      <diagonal/>
    </border>
    <border>
      <left/>
      <right/>
      <top style="medium">
        <color indexed="8"/>
      </top>
      <bottom style="thin">
        <color indexed="22"/>
      </bottom>
      <diagonal/>
    </border>
    <border>
      <left/>
      <right style="medium">
        <color indexed="8"/>
      </right>
      <top style="medium">
        <color indexed="8"/>
      </top>
      <bottom/>
      <diagonal/>
    </border>
    <border>
      <left style="medium">
        <color indexed="8"/>
      </left>
      <right style="thin">
        <color indexed="12"/>
      </right>
      <top style="thin">
        <color indexed="12"/>
      </top>
      <bottom style="thin">
        <color indexed="12"/>
      </bottom>
      <diagonal/>
    </border>
    <border>
      <left style="medium">
        <color indexed="8"/>
      </left>
      <right style="thin">
        <color indexed="22"/>
      </right>
      <top style="thin">
        <color indexed="22"/>
      </top>
      <bottom style="thin">
        <color indexed="22"/>
      </bottom>
      <diagonal/>
    </border>
    <border>
      <left style="thin">
        <color indexed="22"/>
      </left>
      <right style="medium">
        <color indexed="8"/>
      </right>
      <top/>
      <bottom style="thin">
        <color indexed="12"/>
      </bottom>
      <diagonal/>
    </border>
    <border>
      <left style="medium">
        <color indexed="8"/>
      </left>
      <right/>
      <top style="thin">
        <color indexed="12"/>
      </top>
      <bottom style="thin">
        <color indexed="12"/>
      </bottom>
      <diagonal/>
    </border>
    <border>
      <left style="medium">
        <color indexed="8"/>
      </left>
      <right/>
      <top style="thin">
        <color indexed="22"/>
      </top>
      <bottom/>
      <diagonal/>
    </border>
    <border>
      <left/>
      <right style="medium">
        <color indexed="8"/>
      </right>
      <top style="thin">
        <color indexed="12"/>
      </top>
      <bottom style="thin">
        <color indexed="12"/>
      </bottom>
      <diagonal/>
    </border>
    <border>
      <left style="medium">
        <color indexed="8"/>
      </left>
      <right/>
      <top/>
      <bottom/>
      <diagonal/>
    </border>
    <border>
      <left style="medium">
        <color indexed="8"/>
      </left>
      <right style="thin">
        <color indexed="12"/>
      </right>
      <top/>
      <bottom/>
      <diagonal/>
    </border>
    <border>
      <left style="thin">
        <color indexed="12"/>
      </left>
      <right style="medium">
        <color indexed="8"/>
      </right>
      <top style="thin">
        <color indexed="12"/>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thin">
        <color indexed="22"/>
      </bottom>
      <diagonal/>
    </border>
    <border>
      <left/>
      <right style="medium">
        <color indexed="8"/>
      </right>
      <top/>
      <bottom style="thin">
        <color indexed="12"/>
      </bottom>
      <diagonal/>
    </border>
    <border>
      <left style="thin">
        <color indexed="22"/>
      </left>
      <right style="medium">
        <color indexed="8"/>
      </right>
      <top style="thin">
        <color indexed="12"/>
      </top>
      <bottom style="thin">
        <color indexed="12"/>
      </bottom>
      <diagonal/>
    </border>
    <border>
      <left/>
      <right style="medium">
        <color indexed="8"/>
      </right>
      <top style="thin">
        <color indexed="12"/>
      </top>
      <bottom/>
      <diagonal/>
    </border>
    <border>
      <left style="thin">
        <color indexed="12"/>
      </left>
      <right style="medium">
        <color indexed="8"/>
      </right>
      <top/>
      <bottom/>
      <diagonal/>
    </border>
    <border>
      <left style="medium">
        <color indexed="8"/>
      </left>
      <right style="thin">
        <color indexed="12"/>
      </right>
      <top style="medium">
        <color indexed="8"/>
      </top>
      <bottom/>
      <diagonal/>
    </border>
    <border>
      <left style="thin">
        <color indexed="12"/>
      </left>
      <right style="thin">
        <color indexed="12"/>
      </right>
      <top style="medium">
        <color indexed="8"/>
      </top>
      <bottom/>
      <diagonal/>
    </border>
    <border>
      <left style="thin">
        <color indexed="12"/>
      </left>
      <right style="medium">
        <color indexed="8"/>
      </right>
      <top style="medium">
        <color indexed="8"/>
      </top>
      <bottom style="thin">
        <color indexed="12"/>
      </bottom>
      <diagonal/>
    </border>
    <border>
      <left style="thin">
        <color indexed="12"/>
      </left>
      <right style="medium">
        <color indexed="8"/>
      </right>
      <top style="thin">
        <color indexed="12"/>
      </top>
      <bottom style="thin">
        <color indexed="12"/>
      </bottom>
      <diagonal/>
    </border>
    <border>
      <left style="medium">
        <color indexed="8"/>
      </left>
      <right style="thin">
        <color indexed="12"/>
      </right>
      <top/>
      <bottom style="thin">
        <color indexed="12"/>
      </bottom>
      <diagonal/>
    </border>
    <border>
      <left style="medium">
        <color indexed="8"/>
      </left>
      <right style="thin">
        <color indexed="12"/>
      </right>
      <top style="thin">
        <color indexed="12"/>
      </top>
      <bottom/>
      <diagonal/>
    </border>
    <border>
      <left style="thin">
        <color indexed="12"/>
      </left>
      <right style="thin">
        <color indexed="12"/>
      </right>
      <top style="thin">
        <color indexed="12"/>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diagonal/>
    </border>
    <border>
      <left style="thin">
        <color indexed="12"/>
      </left>
      <right style="thin">
        <color indexed="8"/>
      </right>
      <top style="thin">
        <color indexed="12"/>
      </top>
      <bottom/>
      <diagonal/>
    </border>
    <border>
      <left style="thin">
        <color indexed="8"/>
      </left>
      <right/>
      <top/>
      <bottom/>
      <diagonal/>
    </border>
    <border>
      <left/>
      <right style="thin">
        <color indexed="8"/>
      </right>
      <top/>
      <bottom/>
      <diagonal/>
    </border>
    <border>
      <left style="thin">
        <color rgb="FF7F7F7F"/>
      </left>
      <right style="thin">
        <color rgb="FF7F7F7F"/>
      </right>
      <top style="thin">
        <color rgb="FF7F7F7F"/>
      </top>
      <bottom style="thin">
        <color rgb="FF7F7F7F"/>
      </bottom>
      <diagonal/>
    </border>
    <border>
      <left/>
      <right/>
      <top/>
      <bottom style="thin">
        <color indexed="13"/>
      </bottom>
      <diagonal/>
    </border>
    <border>
      <left style="thin">
        <color rgb="FFB2B2B2"/>
      </left>
      <right style="thin">
        <color rgb="FFB2B2B2"/>
      </right>
      <top style="thin">
        <color rgb="FFB2B2B2"/>
      </top>
      <bottom style="thin">
        <color rgb="FFB2B2B2"/>
      </bottom>
      <diagonal/>
    </border>
    <border>
      <left/>
      <right style="thin">
        <color indexed="12"/>
      </right>
      <top/>
      <bottom style="thin">
        <color indexed="12"/>
      </bottom>
      <diagonal/>
    </border>
  </borders>
  <cellStyleXfs count="2">
    <xf numFmtId="0" fontId="0" fillId="0" borderId="0" applyNumberFormat="0" applyFill="0" applyBorder="0" applyProtection="0"/>
    <xf numFmtId="0" fontId="37" fillId="16" borderId="80" applyNumberFormat="0" applyAlignment="0" applyProtection="0"/>
  </cellStyleXfs>
  <cellXfs count="328">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49" fontId="4" fillId="0" borderId="1" xfId="0" applyNumberFormat="1" applyFont="1" applyBorder="1" applyAlignment="1">
      <alignment horizontal="left" vertical="center"/>
    </xf>
    <xf numFmtId="164" fontId="0" fillId="0" borderId="1" xfId="0" applyNumberFormat="1" applyBorder="1" applyAlignment="1">
      <alignment vertical="center"/>
    </xf>
    <xf numFmtId="0" fontId="0" fillId="0" borderId="1" xfId="0" applyBorder="1" applyAlignment="1">
      <alignment vertical="center"/>
    </xf>
    <xf numFmtId="49" fontId="0" fillId="0" borderId="1" xfId="0" applyNumberFormat="1" applyBorder="1"/>
    <xf numFmtId="164" fontId="0" fillId="0" borderId="1" xfId="0" applyNumberFormat="1" applyBorder="1"/>
    <xf numFmtId="0" fontId="0" fillId="0" borderId="1" xfId="0" applyBorder="1"/>
    <xf numFmtId="49" fontId="0" fillId="0" borderId="2" xfId="0" applyNumberFormat="1" applyBorder="1"/>
    <xf numFmtId="164" fontId="0" fillId="0" borderId="2" xfId="0" applyNumberFormat="1" applyBorder="1"/>
    <xf numFmtId="49" fontId="0" fillId="4" borderId="3" xfId="0" applyNumberFormat="1" applyFill="1" applyBorder="1"/>
    <xf numFmtId="164" fontId="0" fillId="4" borderId="3" xfId="0" applyNumberFormat="1" applyFill="1" applyBorder="1"/>
    <xf numFmtId="0" fontId="0" fillId="0" borderId="4" xfId="0" applyBorder="1"/>
    <xf numFmtId="0" fontId="0" fillId="0" borderId="5" xfId="0" applyBorder="1"/>
    <xf numFmtId="164" fontId="0" fillId="0" borderId="5" xfId="0" applyNumberFormat="1" applyBorder="1"/>
    <xf numFmtId="49" fontId="4" fillId="0" borderId="1" xfId="0" applyNumberFormat="1" applyFont="1" applyBorder="1" applyAlignment="1">
      <alignment horizontal="left"/>
    </xf>
    <xf numFmtId="0" fontId="0" fillId="0" borderId="1" xfId="0" applyNumberFormat="1" applyBorder="1"/>
    <xf numFmtId="164" fontId="5" fillId="4" borderId="3" xfId="0" applyNumberFormat="1" applyFont="1" applyFill="1" applyBorder="1"/>
    <xf numFmtId="49" fontId="0" fillId="0" borderId="4" xfId="0" applyNumberFormat="1" applyBorder="1"/>
    <xf numFmtId="0" fontId="0" fillId="0" borderId="6" xfId="0" applyBorder="1"/>
    <xf numFmtId="164" fontId="0" fillId="0" borderId="6" xfId="0" applyNumberFormat="1" applyBorder="1"/>
    <xf numFmtId="49" fontId="0" fillId="0" borderId="7" xfId="0" applyNumberFormat="1" applyBorder="1"/>
    <xf numFmtId="0" fontId="0" fillId="4" borderId="3" xfId="0" applyNumberFormat="1" applyFill="1" applyBorder="1"/>
    <xf numFmtId="164" fontId="0" fillId="0" borderId="8" xfId="0" applyNumberFormat="1" applyBorder="1"/>
    <xf numFmtId="49" fontId="0" fillId="0" borderId="9" xfId="0" applyNumberFormat="1" applyBorder="1"/>
    <xf numFmtId="164" fontId="5" fillId="5" borderId="10" xfId="0" applyNumberFormat="1" applyFont="1" applyFill="1" applyBorder="1"/>
    <xf numFmtId="164" fontId="0" fillId="0" borderId="11" xfId="0" applyNumberFormat="1" applyBorder="1"/>
    <xf numFmtId="49" fontId="0" fillId="0" borderId="12" xfId="0" applyNumberFormat="1" applyBorder="1"/>
    <xf numFmtId="164" fontId="0" fillId="0" borderId="12" xfId="0" applyNumberFormat="1" applyBorder="1"/>
    <xf numFmtId="0" fontId="0" fillId="0" borderId="11" xfId="0" applyBorder="1"/>
    <xf numFmtId="165" fontId="0" fillId="0" borderId="12" xfId="0" applyNumberFormat="1" applyBorder="1"/>
    <xf numFmtId="165" fontId="0" fillId="0" borderId="8" xfId="0" applyNumberFormat="1" applyBorder="1"/>
    <xf numFmtId="0" fontId="0" fillId="0" borderId="9" xfId="0" applyNumberFormat="1" applyBorder="1"/>
    <xf numFmtId="165" fontId="5" fillId="5" borderId="10" xfId="0" applyNumberFormat="1" applyFont="1" applyFill="1" applyBorder="1"/>
    <xf numFmtId="165" fontId="0" fillId="0" borderId="1" xfId="0" applyNumberFormat="1" applyBorder="1"/>
    <xf numFmtId="0" fontId="0" fillId="0" borderId="19" xfId="0" applyBorder="1"/>
    <xf numFmtId="49" fontId="0" fillId="0" borderId="19" xfId="0" applyNumberFormat="1" applyBorder="1" applyAlignment="1">
      <alignment horizontal="center"/>
    </xf>
    <xf numFmtId="49" fontId="0" fillId="0" borderId="20" xfId="0" applyNumberFormat="1" applyBorder="1"/>
    <xf numFmtId="164" fontId="0" fillId="0" borderId="20" xfId="0" applyNumberFormat="1" applyBorder="1"/>
    <xf numFmtId="0" fontId="0" fillId="0" borderId="1" xfId="0" applyNumberFormat="1" applyBorder="1" applyAlignment="1">
      <alignment horizontal="center"/>
    </xf>
    <xf numFmtId="49" fontId="0" fillId="8" borderId="16" xfId="0" applyNumberFormat="1" applyFill="1" applyBorder="1"/>
    <xf numFmtId="164" fontId="0" fillId="8" borderId="17" xfId="0" applyNumberFormat="1" applyFill="1" applyBorder="1"/>
    <xf numFmtId="0" fontId="0" fillId="0" borderId="21" xfId="0" applyBorder="1" applyAlignment="1">
      <alignment horizontal="center"/>
    </xf>
    <xf numFmtId="49" fontId="0" fillId="9" borderId="16" xfId="0" applyNumberFormat="1" applyFill="1" applyBorder="1"/>
    <xf numFmtId="164" fontId="0" fillId="9" borderId="17" xfId="0" applyNumberFormat="1" applyFill="1" applyBorder="1"/>
    <xf numFmtId="0" fontId="0" fillId="0" borderId="21" xfId="0" applyNumberFormat="1" applyBorder="1" applyAlignment="1">
      <alignment horizontal="center"/>
    </xf>
    <xf numFmtId="0" fontId="0" fillId="0" borderId="22" xfId="0" applyBorder="1"/>
    <xf numFmtId="164" fontId="0" fillId="0" borderId="22" xfId="0" applyNumberFormat="1" applyBorder="1"/>
    <xf numFmtId="0" fontId="0" fillId="0" borderId="1" xfId="0" applyBorder="1" applyAlignment="1">
      <alignment horizontal="center"/>
    </xf>
    <xf numFmtId="0" fontId="0" fillId="0" borderId="23" xfId="0" applyBorder="1"/>
    <xf numFmtId="0" fontId="0" fillId="0" borderId="24" xfId="0" applyNumberFormat="1" applyBorder="1" applyAlignment="1">
      <alignment horizontal="center"/>
    </xf>
    <xf numFmtId="166" fontId="8" fillId="5" borderId="25" xfId="0" applyNumberFormat="1" applyFont="1" applyFill="1" applyBorder="1"/>
    <xf numFmtId="49" fontId="8" fillId="5" borderId="25" xfId="0" applyNumberFormat="1" applyFont="1" applyFill="1" applyBorder="1"/>
    <xf numFmtId="49" fontId="0" fillId="0" borderId="19" xfId="0" applyNumberFormat="1" applyBorder="1"/>
    <xf numFmtId="164" fontId="0" fillId="0" borderId="19" xfId="0" applyNumberFormat="1" applyBorder="1"/>
    <xf numFmtId="0" fontId="0" fillId="0" borderId="26" xfId="0" applyBorder="1" applyAlignment="1">
      <alignment horizontal="center"/>
    </xf>
    <xf numFmtId="0" fontId="0" fillId="0" borderId="20" xfId="0" applyBorder="1"/>
    <xf numFmtId="0" fontId="0" fillId="0" borderId="27" xfId="0" applyBorder="1"/>
    <xf numFmtId="49" fontId="0" fillId="10" borderId="16" xfId="0" applyNumberFormat="1" applyFill="1" applyBorder="1"/>
    <xf numFmtId="164" fontId="0" fillId="10" borderId="17" xfId="0" applyNumberFormat="1" applyFill="1" applyBorder="1"/>
    <xf numFmtId="0" fontId="0" fillId="0" borderId="21" xfId="0" applyBorder="1"/>
    <xf numFmtId="49" fontId="9" fillId="11" borderId="16" xfId="0" applyNumberFormat="1" applyFont="1" applyFill="1" applyBorder="1"/>
    <xf numFmtId="164" fontId="9" fillId="11" borderId="17" xfId="0" applyNumberFormat="1" applyFont="1" applyFill="1" applyBorder="1"/>
    <xf numFmtId="49" fontId="0" fillId="8" borderId="28" xfId="0" applyNumberFormat="1" applyFill="1" applyBorder="1"/>
    <xf numFmtId="164" fontId="0" fillId="8" borderId="29" xfId="0" applyNumberFormat="1" applyFill="1" applyBorder="1"/>
    <xf numFmtId="0" fontId="0" fillId="0" borderId="30" xfId="0" applyBorder="1"/>
    <xf numFmtId="49" fontId="5" fillId="8" borderId="16" xfId="0" applyNumberFormat="1" applyFont="1" applyFill="1" applyBorder="1"/>
    <xf numFmtId="164" fontId="5" fillId="8" borderId="17" xfId="0" applyNumberFormat="1" applyFont="1" applyFill="1" applyBorder="1"/>
    <xf numFmtId="0" fontId="0" fillId="0" borderId="31" xfId="0" applyBorder="1"/>
    <xf numFmtId="167" fontId="0" fillId="0" borderId="31" xfId="0" applyNumberFormat="1" applyBorder="1"/>
    <xf numFmtId="49" fontId="10" fillId="12" borderId="25" xfId="0" applyNumberFormat="1" applyFont="1" applyFill="1" applyBorder="1"/>
    <xf numFmtId="167" fontId="10" fillId="12" borderId="25" xfId="0" applyNumberFormat="1" applyFont="1" applyFill="1" applyBorder="1"/>
    <xf numFmtId="0" fontId="0" fillId="0" borderId="32" xfId="0" applyBorder="1"/>
    <xf numFmtId="164" fontId="10" fillId="12" borderId="25" xfId="0" applyNumberFormat="1" applyFont="1" applyFill="1" applyBorder="1"/>
    <xf numFmtId="167" fontId="0" fillId="0" borderId="32" xfId="0" applyNumberFormat="1" applyBorder="1"/>
    <xf numFmtId="49" fontId="11" fillId="12" borderId="25" xfId="0" applyNumberFormat="1" applyFont="1" applyFill="1" applyBorder="1"/>
    <xf numFmtId="164" fontId="11" fillId="12" borderId="25" xfId="0" applyNumberFormat="1" applyFont="1" applyFill="1" applyBorder="1"/>
    <xf numFmtId="0" fontId="0" fillId="0" borderId="33" xfId="0" applyBorder="1"/>
    <xf numFmtId="164" fontId="0" fillId="0" borderId="33" xfId="0" applyNumberFormat="1" applyBorder="1"/>
    <xf numFmtId="49" fontId="12" fillId="8" borderId="34" xfId="0" applyNumberFormat="1" applyFont="1" applyFill="1" applyBorder="1"/>
    <xf numFmtId="164" fontId="12" fillId="8" borderId="35" xfId="0" applyNumberFormat="1" applyFont="1" applyFill="1" applyBorder="1"/>
    <xf numFmtId="164" fontId="8" fillId="5" borderId="25" xfId="0" applyNumberFormat="1" applyFont="1" applyFill="1" applyBorder="1"/>
    <xf numFmtId="49" fontId="9" fillId="11" borderId="28" xfId="0" applyNumberFormat="1" applyFont="1" applyFill="1" applyBorder="1"/>
    <xf numFmtId="164" fontId="9" fillId="11" borderId="29" xfId="0" applyNumberFormat="1" applyFont="1" applyFill="1" applyBorder="1"/>
    <xf numFmtId="164" fontId="0" fillId="0" borderId="31" xfId="0" applyNumberFormat="1" applyBorder="1"/>
    <xf numFmtId="164" fontId="0" fillId="0" borderId="23" xfId="0" applyNumberFormat="1" applyBorder="1"/>
    <xf numFmtId="49" fontId="13" fillId="5" borderId="25" xfId="0" applyNumberFormat="1" applyFont="1" applyFill="1" applyBorder="1"/>
    <xf numFmtId="164" fontId="13" fillId="5" borderId="25" xfId="0" applyNumberFormat="1" applyFont="1" applyFill="1" applyBorder="1"/>
    <xf numFmtId="49" fontId="15" fillId="11" borderId="16" xfId="0" applyNumberFormat="1" applyFont="1" applyFill="1" applyBorder="1"/>
    <xf numFmtId="164" fontId="15" fillId="11" borderId="17" xfId="0" applyNumberFormat="1" applyFont="1" applyFill="1" applyBorder="1"/>
    <xf numFmtId="49" fontId="16" fillId="13" borderId="16" xfId="0" applyNumberFormat="1" applyFont="1" applyFill="1" applyBorder="1"/>
    <xf numFmtId="164" fontId="16" fillId="13" borderId="17" xfId="0" applyNumberFormat="1" applyFont="1" applyFill="1" applyBorder="1"/>
    <xf numFmtId="0" fontId="2" fillId="0" borderId="31" xfId="0" applyFont="1" applyBorder="1"/>
    <xf numFmtId="164" fontId="2" fillId="0" borderId="31" xfId="0" applyNumberFormat="1" applyFont="1" applyBorder="1"/>
    <xf numFmtId="49" fontId="17" fillId="5" borderId="25" xfId="0" applyNumberFormat="1" applyFont="1" applyFill="1" applyBorder="1"/>
    <xf numFmtId="164" fontId="17" fillId="5" borderId="25" xfId="0" applyNumberFormat="1" applyFont="1" applyFill="1" applyBorder="1"/>
    <xf numFmtId="166" fontId="0" fillId="0" borderId="1" xfId="0" applyNumberFormat="1" applyBorder="1"/>
    <xf numFmtId="166" fontId="0" fillId="0" borderId="2" xfId="0" applyNumberFormat="1" applyBorder="1"/>
    <xf numFmtId="166" fontId="5" fillId="4" borderId="3" xfId="0" applyNumberFormat="1" applyFont="1" applyFill="1" applyBorder="1"/>
    <xf numFmtId="168" fontId="0" fillId="0" borderId="1" xfId="0" applyNumberFormat="1" applyBorder="1"/>
    <xf numFmtId="49" fontId="4" fillId="0" borderId="2" xfId="0" applyNumberFormat="1" applyFont="1" applyBorder="1" applyAlignment="1">
      <alignment horizontal="left"/>
    </xf>
    <xf numFmtId="0" fontId="0" fillId="0" borderId="2" xfId="0" applyBorder="1"/>
    <xf numFmtId="169" fontId="5" fillId="4" borderId="3" xfId="0" applyNumberFormat="1" applyFont="1" applyFill="1" applyBorder="1"/>
    <xf numFmtId="166" fontId="0" fillId="0" borderId="6" xfId="0" applyNumberFormat="1" applyBorder="1"/>
    <xf numFmtId="166" fontId="0" fillId="0" borderId="5" xfId="0" applyNumberFormat="1" applyBorder="1"/>
    <xf numFmtId="166" fontId="0" fillId="4" borderId="3" xfId="0" applyNumberFormat="1" applyFill="1" applyBorder="1"/>
    <xf numFmtId="166" fontId="0" fillId="0" borderId="8" xfId="0" applyNumberFormat="1" applyBorder="1"/>
    <xf numFmtId="166" fontId="5" fillId="5" borderId="10" xfId="0" applyNumberFormat="1" applyFont="1" applyFill="1" applyBorder="1"/>
    <xf numFmtId="166" fontId="0" fillId="0" borderId="11" xfId="0" applyNumberFormat="1" applyBorder="1"/>
    <xf numFmtId="0" fontId="0" fillId="0" borderId="12" xfId="0" applyBorder="1"/>
    <xf numFmtId="166" fontId="0" fillId="0" borderId="12" xfId="0" applyNumberFormat="1" applyBorder="1"/>
    <xf numFmtId="168" fontId="0" fillId="0" borderId="8" xfId="0" applyNumberFormat="1" applyBorder="1"/>
    <xf numFmtId="168" fontId="5" fillId="5" borderId="10" xfId="0" applyNumberFormat="1" applyFont="1" applyFill="1" applyBorder="1"/>
    <xf numFmtId="170" fontId="0" fillId="0" borderId="1" xfId="0" applyNumberFormat="1" applyBorder="1"/>
    <xf numFmtId="0" fontId="0" fillId="0" borderId="8" xfId="0" applyBorder="1"/>
    <xf numFmtId="169" fontId="0" fillId="0" borderId="1" xfId="0" applyNumberFormat="1" applyBorder="1"/>
    <xf numFmtId="171" fontId="0" fillId="0" borderId="1" xfId="0" applyNumberFormat="1" applyBorder="1"/>
    <xf numFmtId="169" fontId="5" fillId="5" borderId="10" xfId="0" applyNumberFormat="1" applyFont="1" applyFill="1" applyBorder="1"/>
    <xf numFmtId="0" fontId="0" fillId="0" borderId="36" xfId="0" applyBorder="1"/>
    <xf numFmtId="0" fontId="0" fillId="0" borderId="37" xfId="0" applyBorder="1"/>
    <xf numFmtId="49" fontId="0" fillId="8" borderId="17" xfId="0" applyNumberFormat="1" applyFill="1" applyBorder="1"/>
    <xf numFmtId="49" fontId="0" fillId="9" borderId="17" xfId="0" applyNumberFormat="1" applyFill="1" applyBorder="1"/>
    <xf numFmtId="0" fontId="0" fillId="0" borderId="38" xfId="0" applyBorder="1"/>
    <xf numFmtId="49" fontId="0" fillId="10" borderId="17" xfId="0" applyNumberFormat="1" applyFill="1" applyBorder="1"/>
    <xf numFmtId="49" fontId="9" fillId="11" borderId="17" xfId="0" applyNumberFormat="1" applyFont="1" applyFill="1" applyBorder="1"/>
    <xf numFmtId="49" fontId="12" fillId="8" borderId="16" xfId="0" applyNumberFormat="1" applyFont="1" applyFill="1" applyBorder="1"/>
    <xf numFmtId="164" fontId="12" fillId="8" borderId="17" xfId="0" applyNumberFormat="1" applyFont="1" applyFill="1" applyBorder="1"/>
    <xf numFmtId="167" fontId="0" fillId="0" borderId="1" xfId="0" applyNumberFormat="1" applyBorder="1"/>
    <xf numFmtId="49" fontId="18" fillId="13" borderId="16" xfId="0" applyNumberFormat="1" applyFont="1" applyFill="1" applyBorder="1"/>
    <xf numFmtId="164" fontId="18" fillId="13" borderId="17" xfId="0" applyNumberFormat="1" applyFont="1" applyFill="1" applyBorder="1"/>
    <xf numFmtId="49" fontId="19" fillId="5" borderId="25" xfId="0" applyNumberFormat="1" applyFont="1" applyFill="1" applyBorder="1"/>
    <xf numFmtId="164" fontId="19" fillId="5" borderId="25" xfId="0" applyNumberFormat="1" applyFont="1" applyFill="1" applyBorder="1"/>
    <xf numFmtId="16" fontId="0" fillId="0" borderId="1" xfId="0" applyNumberFormat="1" applyBorder="1"/>
    <xf numFmtId="172" fontId="0" fillId="0" borderId="1" xfId="0" applyNumberFormat="1" applyBorder="1"/>
    <xf numFmtId="49" fontId="0" fillId="0" borderId="32" xfId="0" applyNumberFormat="1" applyBorder="1"/>
    <xf numFmtId="49" fontId="20" fillId="11" borderId="16" xfId="0" applyNumberFormat="1" applyFont="1" applyFill="1" applyBorder="1"/>
    <xf numFmtId="164" fontId="20" fillId="11" borderId="17" xfId="0" applyNumberFormat="1" applyFont="1" applyFill="1" applyBorder="1"/>
    <xf numFmtId="49" fontId="21" fillId="13" borderId="16" xfId="0" applyNumberFormat="1" applyFont="1" applyFill="1" applyBorder="1"/>
    <xf numFmtId="164" fontId="21" fillId="13" borderId="17" xfId="0" applyNumberFormat="1" applyFont="1" applyFill="1" applyBorder="1"/>
    <xf numFmtId="0" fontId="22" fillId="0" borderId="31" xfId="0" applyFont="1" applyBorder="1"/>
    <xf numFmtId="164" fontId="22" fillId="0" borderId="31" xfId="0" applyNumberFormat="1" applyFont="1" applyBorder="1"/>
    <xf numFmtId="49" fontId="23" fillId="5" borderId="25" xfId="0" applyNumberFormat="1" applyFont="1" applyFill="1" applyBorder="1"/>
    <xf numFmtId="164" fontId="23" fillId="5" borderId="25" xfId="0" applyNumberFormat="1" applyFont="1" applyFill="1" applyBorder="1"/>
    <xf numFmtId="49" fontId="5" fillId="4" borderId="3" xfId="0" applyNumberFormat="1" applyFont="1" applyFill="1" applyBorder="1"/>
    <xf numFmtId="0" fontId="0" fillId="0" borderId="8" xfId="0" applyNumberFormat="1" applyBorder="1"/>
    <xf numFmtId="0" fontId="0" fillId="10" borderId="16" xfId="0" applyFill="1" applyBorder="1"/>
    <xf numFmtId="164" fontId="25" fillId="12" borderId="25" xfId="0" applyNumberFormat="1" applyFont="1" applyFill="1" applyBorder="1"/>
    <xf numFmtId="164" fontId="26" fillId="0" borderId="33" xfId="0" applyNumberFormat="1" applyFont="1" applyBorder="1"/>
    <xf numFmtId="164" fontId="27" fillId="8" borderId="35" xfId="0" applyNumberFormat="1" applyFont="1" applyFill="1" applyBorder="1"/>
    <xf numFmtId="164" fontId="26" fillId="0" borderId="31" xfId="0" applyNumberFormat="1" applyFont="1" applyBorder="1"/>
    <xf numFmtId="164" fontId="26" fillId="0" borderId="19" xfId="0" applyNumberFormat="1" applyFont="1" applyBorder="1"/>
    <xf numFmtId="164" fontId="26" fillId="0" borderId="23" xfId="0" applyNumberFormat="1" applyFont="1" applyBorder="1"/>
    <xf numFmtId="49" fontId="28" fillId="5" borderId="25" xfId="0" applyNumberFormat="1" applyFont="1" applyFill="1" applyBorder="1"/>
    <xf numFmtId="164" fontId="28" fillId="5" borderId="25" xfId="0" applyNumberFormat="1" applyFont="1" applyFill="1" applyBorder="1"/>
    <xf numFmtId="49" fontId="0" fillId="0" borderId="1" xfId="0" applyNumberFormat="1" applyBorder="1" applyAlignment="1">
      <alignment horizontal="center"/>
    </xf>
    <xf numFmtId="166" fontId="0" fillId="0" borderId="1" xfId="0" applyNumberFormat="1" applyBorder="1" applyAlignment="1">
      <alignment horizontal="center"/>
    </xf>
    <xf numFmtId="164" fontId="0" fillId="0" borderId="1" xfId="0" applyNumberFormat="1" applyBorder="1" applyAlignment="1">
      <alignment horizontal="center"/>
    </xf>
    <xf numFmtId="166" fontId="29" fillId="5" borderId="10" xfId="0" applyNumberFormat="1" applyFont="1" applyFill="1" applyBorder="1"/>
    <xf numFmtId="49" fontId="0" fillId="0" borderId="12" xfId="0" applyNumberFormat="1" applyBorder="1" applyAlignment="1">
      <alignment horizontal="center"/>
    </xf>
    <xf numFmtId="168" fontId="29" fillId="5" borderId="10" xfId="0" applyNumberFormat="1" applyFont="1" applyFill="1" applyBorder="1"/>
    <xf numFmtId="0" fontId="0" fillId="0" borderId="42" xfId="0" applyBorder="1"/>
    <xf numFmtId="49" fontId="23" fillId="5" borderId="43" xfId="0" applyNumberFormat="1" applyFont="1" applyFill="1" applyBorder="1"/>
    <xf numFmtId="169" fontId="23" fillId="5" borderId="25" xfId="0" applyNumberFormat="1" applyFont="1" applyFill="1" applyBorder="1"/>
    <xf numFmtId="0" fontId="0" fillId="0" borderId="44" xfId="0" applyBorder="1"/>
    <xf numFmtId="0" fontId="0" fillId="0" borderId="45" xfId="0" applyBorder="1"/>
    <xf numFmtId="0" fontId="9" fillId="11" borderId="17" xfId="0" applyFont="1" applyFill="1" applyBorder="1"/>
    <xf numFmtId="49" fontId="0" fillId="0" borderId="21" xfId="0" applyNumberFormat="1" applyBorder="1"/>
    <xf numFmtId="49" fontId="0" fillId="8" borderId="46" xfId="0" applyNumberFormat="1" applyFill="1" applyBorder="1"/>
    <xf numFmtId="169" fontId="0" fillId="8" borderId="29" xfId="0" applyNumberFormat="1" applyFill="1" applyBorder="1"/>
    <xf numFmtId="0" fontId="0" fillId="0" borderId="47" xfId="0" applyBorder="1"/>
    <xf numFmtId="0" fontId="0" fillId="8" borderId="17" xfId="0" applyFill="1" applyBorder="1"/>
    <xf numFmtId="49" fontId="9" fillId="11" borderId="48" xfId="0" applyNumberFormat="1" applyFont="1" applyFill="1" applyBorder="1"/>
    <xf numFmtId="169" fontId="9" fillId="11" borderId="17" xfId="0" applyNumberFormat="1" applyFont="1" applyFill="1" applyBorder="1"/>
    <xf numFmtId="0" fontId="0" fillId="9" borderId="17" xfId="0" applyFill="1" applyBorder="1"/>
    <xf numFmtId="0" fontId="0" fillId="0" borderId="49" xfId="0" applyBorder="1"/>
    <xf numFmtId="0" fontId="0" fillId="0" borderId="50" xfId="0" applyBorder="1"/>
    <xf numFmtId="49" fontId="0" fillId="9" borderId="48" xfId="0" applyNumberFormat="1" applyFill="1" applyBorder="1"/>
    <xf numFmtId="171" fontId="0" fillId="9" borderId="51" xfId="0" applyNumberFormat="1" applyFill="1" applyBorder="1"/>
    <xf numFmtId="49" fontId="0" fillId="8" borderId="48" xfId="0" applyNumberFormat="1" applyFill="1" applyBorder="1"/>
    <xf numFmtId="171" fontId="0" fillId="8" borderId="51" xfId="0" applyNumberFormat="1" applyFill="1" applyBorder="1"/>
    <xf numFmtId="0" fontId="0" fillId="0" borderId="52" xfId="0" applyBorder="1"/>
    <xf numFmtId="49" fontId="9" fillId="11" borderId="53" xfId="0" applyNumberFormat="1" applyFont="1" applyFill="1" applyBorder="1"/>
    <xf numFmtId="171" fontId="9" fillId="11" borderId="54" xfId="0" applyNumberFormat="1" applyFont="1" applyFill="1" applyBorder="1"/>
    <xf numFmtId="0" fontId="0" fillId="0" borderId="55" xfId="0" applyBorder="1"/>
    <xf numFmtId="0" fontId="0" fillId="0" borderId="56" xfId="0" applyBorder="1"/>
    <xf numFmtId="49" fontId="0" fillId="9" borderId="59" xfId="0" applyNumberFormat="1" applyFill="1" applyBorder="1"/>
    <xf numFmtId="164" fontId="0" fillId="9" borderId="35" xfId="0" applyNumberFormat="1" applyFill="1" applyBorder="1"/>
    <xf numFmtId="0" fontId="0" fillId="0" borderId="60" xfId="0" applyBorder="1"/>
    <xf numFmtId="0" fontId="0" fillId="0" borderId="61" xfId="0" applyBorder="1"/>
    <xf numFmtId="0" fontId="0" fillId="0" borderId="62" xfId="0" applyBorder="1"/>
    <xf numFmtId="0" fontId="9" fillId="11" borderId="51" xfId="0" applyFont="1" applyFill="1" applyBorder="1"/>
    <xf numFmtId="0" fontId="0" fillId="0" borderId="63" xfId="0" applyBorder="1"/>
    <xf numFmtId="169" fontId="0" fillId="8" borderId="51" xfId="0" applyNumberFormat="1" applyFill="1" applyBorder="1"/>
    <xf numFmtId="169" fontId="0" fillId="9" borderId="51" xfId="0" applyNumberFormat="1" applyFill="1" applyBorder="1"/>
    <xf numFmtId="169" fontId="9" fillId="11" borderId="54" xfId="0" applyNumberFormat="1" applyFont="1" applyFill="1" applyBorder="1"/>
    <xf numFmtId="49" fontId="0" fillId="9" borderId="59" xfId="0" applyNumberFormat="1" applyFill="1" applyBorder="1" applyAlignment="1">
      <alignment wrapText="1"/>
    </xf>
    <xf numFmtId="171" fontId="0" fillId="9" borderId="35" xfId="0" applyNumberFormat="1" applyFill="1" applyBorder="1"/>
    <xf numFmtId="49" fontId="8" fillId="5" borderId="43" xfId="0" applyNumberFormat="1" applyFont="1" applyFill="1" applyBorder="1"/>
    <xf numFmtId="171" fontId="8" fillId="5" borderId="25" xfId="0" applyNumberFormat="1" applyFont="1" applyFill="1" applyBorder="1"/>
    <xf numFmtId="171" fontId="0" fillId="8" borderId="29" xfId="0" applyNumberFormat="1" applyFill="1" applyBorder="1"/>
    <xf numFmtId="49" fontId="0" fillId="0" borderId="47" xfId="0" applyNumberFormat="1" applyBorder="1"/>
    <xf numFmtId="171" fontId="9" fillId="11" borderId="17" xfId="0" applyNumberFormat="1" applyFont="1" applyFill="1" applyBorder="1"/>
    <xf numFmtId="0" fontId="0" fillId="9" borderId="48" xfId="0" applyNumberFormat="1" applyFill="1" applyBorder="1" applyAlignment="1">
      <alignment horizontal="left"/>
    </xf>
    <xf numFmtId="171" fontId="9" fillId="11" borderId="51" xfId="0" applyNumberFormat="1" applyFont="1" applyFill="1" applyBorder="1"/>
    <xf numFmtId="49" fontId="0" fillId="9" borderId="48" xfId="0" applyNumberFormat="1" applyFill="1" applyBorder="1" applyAlignment="1">
      <alignment wrapText="1"/>
    </xf>
    <xf numFmtId="171" fontId="0" fillId="9" borderId="17" xfId="0" applyNumberFormat="1" applyFill="1" applyBorder="1"/>
    <xf numFmtId="49" fontId="0" fillId="0" borderId="49" xfId="0" applyNumberFormat="1" applyBorder="1"/>
    <xf numFmtId="171" fontId="0" fillId="0" borderId="22" xfId="0" applyNumberFormat="1" applyBorder="1"/>
    <xf numFmtId="0" fontId="0" fillId="0" borderId="67" xfId="0" applyBorder="1"/>
    <xf numFmtId="49" fontId="0" fillId="14" borderId="48" xfId="0" applyNumberFormat="1" applyFill="1" applyBorder="1"/>
    <xf numFmtId="171" fontId="0" fillId="14" borderId="17" xfId="0" applyNumberFormat="1" applyFill="1" applyBorder="1"/>
    <xf numFmtId="49" fontId="0" fillId="0" borderId="68" xfId="0" applyNumberFormat="1" applyBorder="1"/>
    <xf numFmtId="0" fontId="0" fillId="0" borderId="69" xfId="0" applyBorder="1"/>
    <xf numFmtId="164" fontId="0" fillId="8" borderId="51" xfId="0" applyNumberFormat="1" applyFill="1" applyBorder="1"/>
    <xf numFmtId="164" fontId="0" fillId="9" borderId="51" xfId="0" applyNumberFormat="1" applyFill="1" applyBorder="1"/>
    <xf numFmtId="0" fontId="0" fillId="0" borderId="70" xfId="0" applyBorder="1"/>
    <xf numFmtId="0" fontId="0" fillId="0" borderId="74" xfId="0" applyBorder="1"/>
    <xf numFmtId="49" fontId="0" fillId="15" borderId="74" xfId="0" applyNumberFormat="1" applyFill="1" applyBorder="1" applyAlignment="1">
      <alignment wrapText="1"/>
    </xf>
    <xf numFmtId="0" fontId="0" fillId="0" borderId="75" xfId="0" applyBorder="1"/>
    <xf numFmtId="49" fontId="0" fillId="0" borderId="74" xfId="0" applyNumberFormat="1" applyBorder="1"/>
    <xf numFmtId="0" fontId="0" fillId="0" borderId="76" xfId="0" applyBorder="1"/>
    <xf numFmtId="0" fontId="0" fillId="0" borderId="77" xfId="0" applyBorder="1"/>
    <xf numFmtId="49" fontId="0" fillId="9" borderId="78" xfId="0" applyNumberFormat="1" applyFill="1" applyBorder="1"/>
    <xf numFmtId="164" fontId="0" fillId="9" borderId="79" xfId="0" applyNumberFormat="1" applyFill="1" applyBorder="1"/>
    <xf numFmtId="0" fontId="0" fillId="9" borderId="78" xfId="0" applyNumberFormat="1" applyFill="1" applyBorder="1" applyAlignment="1">
      <alignment horizontal="left"/>
    </xf>
    <xf numFmtId="0" fontId="0" fillId="8" borderId="48" xfId="0" applyNumberFormat="1" applyFill="1" applyBorder="1" applyAlignment="1">
      <alignment horizontal="left"/>
    </xf>
    <xf numFmtId="49" fontId="31" fillId="5" borderId="25" xfId="0" applyNumberFormat="1" applyFont="1" applyFill="1" applyBorder="1"/>
    <xf numFmtId="171" fontId="31" fillId="5" borderId="25" xfId="0" applyNumberFormat="1" applyFont="1" applyFill="1" applyBorder="1"/>
    <xf numFmtId="166" fontId="0" fillId="0" borderId="23" xfId="0" applyNumberFormat="1" applyBorder="1"/>
    <xf numFmtId="0" fontId="0" fillId="0" borderId="26" xfId="0" applyBorder="1"/>
    <xf numFmtId="166" fontId="31" fillId="5" borderId="25" xfId="0" applyNumberFormat="1" applyFont="1" applyFill="1" applyBorder="1"/>
    <xf numFmtId="49" fontId="0" fillId="0" borderId="23" xfId="0" applyNumberFormat="1" applyBorder="1"/>
    <xf numFmtId="49" fontId="0" fillId="0" borderId="27" xfId="0" applyNumberFormat="1" applyBorder="1"/>
    <xf numFmtId="0" fontId="0" fillId="0" borderId="1" xfId="0" applyBorder="1" applyAlignment="1">
      <alignment horizontal="left"/>
    </xf>
    <xf numFmtId="0" fontId="0" fillId="0" borderId="21" xfId="0" applyBorder="1" applyAlignment="1">
      <alignment horizontal="left"/>
    </xf>
    <xf numFmtId="168" fontId="0" fillId="0" borderId="22" xfId="0" applyNumberFormat="1" applyFill="1" applyBorder="1"/>
    <xf numFmtId="4" fontId="0" fillId="0" borderId="1" xfId="0" applyNumberFormat="1" applyBorder="1"/>
    <xf numFmtId="49" fontId="35" fillId="5" borderId="25" xfId="0" applyNumberFormat="1" applyFont="1" applyFill="1" applyBorder="1"/>
    <xf numFmtId="49" fontId="36" fillId="0" borderId="27" xfId="0" applyNumberFormat="1" applyFont="1" applyBorder="1"/>
    <xf numFmtId="49" fontId="36" fillId="0" borderId="1" xfId="0" applyNumberFormat="1" applyFont="1" applyBorder="1"/>
    <xf numFmtId="49" fontId="36" fillId="9" borderId="17" xfId="0" applyNumberFormat="1" applyFont="1" applyFill="1" applyBorder="1"/>
    <xf numFmtId="49" fontId="36" fillId="10" borderId="17" xfId="0" applyNumberFormat="1" applyFont="1" applyFill="1" applyBorder="1"/>
    <xf numFmtId="49" fontId="36" fillId="0" borderId="20" xfId="0" applyNumberFormat="1" applyFont="1" applyBorder="1"/>
    <xf numFmtId="0" fontId="36" fillId="0" borderId="30" xfId="0" applyFont="1" applyBorder="1"/>
    <xf numFmtId="49" fontId="36" fillId="0" borderId="2" xfId="0" applyNumberFormat="1" applyFont="1" applyBorder="1"/>
    <xf numFmtId="49" fontId="36" fillId="17" borderId="17" xfId="0" applyNumberFormat="1" applyFont="1" applyFill="1" applyBorder="1"/>
    <xf numFmtId="164" fontId="0" fillId="17" borderId="17" xfId="0" applyNumberFormat="1" applyFill="1" applyBorder="1"/>
    <xf numFmtId="49" fontId="0" fillId="18" borderId="17" xfId="0" applyNumberFormat="1" applyFill="1" applyBorder="1"/>
    <xf numFmtId="164" fontId="0" fillId="18" borderId="17" xfId="0" applyNumberFormat="1" applyFill="1" applyBorder="1"/>
    <xf numFmtId="0" fontId="36" fillId="0" borderId="1" xfId="0" applyFont="1" applyBorder="1"/>
    <xf numFmtId="0" fontId="36" fillId="0" borderId="22" xfId="0" applyNumberFormat="1" applyFont="1" applyFill="1" applyBorder="1"/>
    <xf numFmtId="0" fontId="38" fillId="16" borderId="80" xfId="1" applyNumberFormat="1" applyFont="1"/>
    <xf numFmtId="49" fontId="36" fillId="0" borderId="32" xfId="0" applyNumberFormat="1" applyFont="1" applyBorder="1"/>
    <xf numFmtId="0" fontId="0" fillId="0" borderId="17" xfId="0" applyBorder="1"/>
    <xf numFmtId="173" fontId="0" fillId="0" borderId="1" xfId="0" applyNumberFormat="1" applyBorder="1"/>
    <xf numFmtId="173" fontId="38" fillId="16" borderId="80" xfId="1" applyNumberFormat="1" applyFont="1"/>
    <xf numFmtId="4" fontId="0" fillId="0" borderId="21" xfId="0" applyNumberFormat="1" applyBorder="1"/>
    <xf numFmtId="49" fontId="5" fillId="0" borderId="81" xfId="0" applyNumberFormat="1" applyFont="1" applyFill="1" applyBorder="1"/>
    <xf numFmtId="166" fontId="5" fillId="0" borderId="81" xfId="0" applyNumberFormat="1" applyFont="1" applyFill="1" applyBorder="1"/>
    <xf numFmtId="0" fontId="36" fillId="0" borderId="0" xfId="0" applyNumberFormat="1" applyFont="1"/>
    <xf numFmtId="166" fontId="36" fillId="0" borderId="11" xfId="0" applyNumberFormat="1" applyFont="1" applyBorder="1"/>
    <xf numFmtId="0" fontId="36" fillId="0" borderId="83" xfId="0" applyFont="1" applyBorder="1"/>
    <xf numFmtId="49" fontId="36" fillId="8" borderId="16" xfId="0" applyNumberFormat="1" applyFont="1" applyFill="1" applyBorder="1"/>
    <xf numFmtId="49" fontId="0" fillId="0" borderId="82" xfId="0" applyNumberFormat="1" applyFill="1" applyBorder="1"/>
    <xf numFmtId="166" fontId="0" fillId="0" borderId="82" xfId="0" applyNumberFormat="1" applyFill="1" applyBorder="1"/>
    <xf numFmtId="0" fontId="0" fillId="0" borderId="21" xfId="0" applyFill="1" applyBorder="1"/>
    <xf numFmtId="0" fontId="36" fillId="0" borderId="32" xfId="0" applyFont="1" applyBorder="1"/>
    <xf numFmtId="0" fontId="36" fillId="0" borderId="37" xfId="0" applyFont="1" applyBorder="1"/>
    <xf numFmtId="0" fontId="1" fillId="0" borderId="0" xfId="0" applyFont="1" applyAlignment="1">
      <alignment horizontal="left" wrapText="1"/>
    </xf>
    <xf numFmtId="0" fontId="0" fillId="0" borderId="0" xfId="0"/>
    <xf numFmtId="49" fontId="6" fillId="6" borderId="13" xfId="0" applyNumberFormat="1" applyFont="1" applyFill="1" applyBorder="1" applyAlignment="1">
      <alignment horizontal="center"/>
    </xf>
    <xf numFmtId="0" fontId="7" fillId="7" borderId="14" xfId="0" applyFont="1" applyFill="1" applyBorder="1"/>
    <xf numFmtId="0" fontId="7" fillId="7" borderId="15" xfId="0" applyFont="1" applyFill="1" applyBorder="1"/>
    <xf numFmtId="49" fontId="6" fillId="6" borderId="25" xfId="0" applyNumberFormat="1" applyFont="1" applyFill="1" applyBorder="1" applyAlignment="1">
      <alignment horizontal="center" vertical="center"/>
    </xf>
    <xf numFmtId="0" fontId="0" fillId="0" borderId="25" xfId="0" applyBorder="1"/>
    <xf numFmtId="49" fontId="4" fillId="0" borderId="20" xfId="0" applyNumberFormat="1" applyFont="1" applyBorder="1" applyAlignment="1">
      <alignment horizontal="center"/>
    </xf>
    <xf numFmtId="0" fontId="14" fillId="0" borderId="20" xfId="0" applyFont="1" applyBorder="1" applyAlignment="1">
      <alignment horizontal="center"/>
    </xf>
    <xf numFmtId="49" fontId="0" fillId="0" borderId="21" xfId="0" applyNumberFormat="1" applyBorder="1" applyAlignment="1">
      <alignment horizontal="left"/>
    </xf>
    <xf numFmtId="0" fontId="0" fillId="0" borderId="1" xfId="0" applyBorder="1" applyAlignment="1">
      <alignment horizontal="left"/>
    </xf>
    <xf numFmtId="49" fontId="0" fillId="0" borderId="32" xfId="0" applyNumberFormat="1" applyBorder="1" applyAlignment="1">
      <alignment horizontal="center"/>
    </xf>
    <xf numFmtId="0" fontId="0" fillId="0" borderId="1" xfId="0" applyBorder="1" applyAlignment="1">
      <alignment horizontal="center"/>
    </xf>
    <xf numFmtId="0" fontId="6" fillId="6" borderId="16" xfId="0" applyFont="1" applyFill="1" applyBorder="1" applyAlignment="1">
      <alignment horizontal="center" vertical="center"/>
    </xf>
    <xf numFmtId="0" fontId="0" fillId="0" borderId="17" xfId="0" applyBorder="1"/>
    <xf numFmtId="0" fontId="0" fillId="0" borderId="18" xfId="0" applyBorder="1"/>
    <xf numFmtId="49" fontId="6" fillId="6" borderId="14" xfId="0" applyNumberFormat="1" applyFont="1" applyFill="1" applyBorder="1" applyAlignment="1">
      <alignment horizontal="center" vertical="center"/>
    </xf>
    <xf numFmtId="0" fontId="6" fillId="6" borderId="14" xfId="0" applyFont="1" applyFill="1" applyBorder="1" applyAlignment="1">
      <alignment horizontal="center" vertical="center"/>
    </xf>
    <xf numFmtId="0" fontId="6" fillId="6" borderId="15" xfId="0" applyFont="1" applyFill="1" applyBorder="1" applyAlignment="1">
      <alignment horizontal="center" vertical="center"/>
    </xf>
    <xf numFmtId="0" fontId="6" fillId="6" borderId="17" xfId="0" applyFont="1" applyFill="1" applyBorder="1" applyAlignment="1">
      <alignment horizontal="center" vertical="center"/>
    </xf>
    <xf numFmtId="0" fontId="6" fillId="6" borderId="18" xfId="0" applyFont="1" applyFill="1" applyBorder="1" applyAlignment="1">
      <alignment horizontal="center" vertical="center"/>
    </xf>
    <xf numFmtId="49" fontId="6" fillId="6" borderId="13" xfId="0" applyNumberFormat="1" applyFont="1" applyFill="1" applyBorder="1" applyAlignment="1">
      <alignment horizontal="center" vertical="center"/>
    </xf>
    <xf numFmtId="0" fontId="6" fillId="6" borderId="25" xfId="0" applyFont="1" applyFill="1" applyBorder="1" applyAlignment="1">
      <alignment horizontal="center" vertical="center"/>
    </xf>
    <xf numFmtId="0" fontId="0" fillId="0" borderId="1" xfId="0" applyBorder="1"/>
    <xf numFmtId="49" fontId="24" fillId="6" borderId="13" xfId="0" applyNumberFormat="1" applyFont="1" applyFill="1" applyBorder="1" applyAlignment="1">
      <alignment horizontal="center" vertical="center"/>
    </xf>
    <xf numFmtId="49" fontId="24" fillId="6" borderId="14" xfId="0" applyNumberFormat="1" applyFont="1" applyFill="1" applyBorder="1" applyAlignment="1">
      <alignment horizontal="center" vertical="center"/>
    </xf>
    <xf numFmtId="0" fontId="0" fillId="0" borderId="21" xfId="0" applyBorder="1" applyAlignment="1">
      <alignment horizontal="left"/>
    </xf>
    <xf numFmtId="49" fontId="24" fillId="6" borderId="25" xfId="0" applyNumberFormat="1" applyFont="1" applyFill="1" applyBorder="1" applyAlignment="1">
      <alignment horizontal="center" vertical="center"/>
    </xf>
    <xf numFmtId="49" fontId="24" fillId="6" borderId="17" xfId="0" applyNumberFormat="1" applyFont="1" applyFill="1" applyBorder="1" applyAlignment="1">
      <alignment horizontal="center" vertical="center"/>
    </xf>
    <xf numFmtId="0" fontId="5" fillId="0" borderId="37" xfId="0" applyFont="1" applyBorder="1" applyAlignment="1">
      <alignment horizontal="center"/>
    </xf>
    <xf numFmtId="0" fontId="5" fillId="0" borderId="36" xfId="0" applyFont="1" applyBorder="1" applyAlignment="1">
      <alignment horizontal="center"/>
    </xf>
    <xf numFmtId="0" fontId="5" fillId="0" borderId="21" xfId="0" applyFont="1" applyBorder="1" applyAlignment="1">
      <alignment horizontal="center"/>
    </xf>
    <xf numFmtId="49" fontId="36" fillId="0" borderId="32" xfId="0" applyNumberFormat="1" applyFont="1" applyBorder="1" applyAlignment="1">
      <alignment horizontal="center"/>
    </xf>
    <xf numFmtId="49" fontId="36" fillId="0" borderId="38" xfId="0" applyNumberFormat="1" applyFont="1" applyBorder="1" applyAlignment="1">
      <alignment horizontal="left"/>
    </xf>
    <xf numFmtId="49" fontId="36" fillId="0" borderId="21" xfId="0" applyNumberFormat="1" applyFont="1" applyBorder="1" applyAlignment="1">
      <alignment horizontal="left"/>
    </xf>
    <xf numFmtId="0" fontId="36" fillId="0" borderId="37" xfId="0" applyFont="1" applyBorder="1" applyAlignment="1">
      <alignment horizontal="left"/>
    </xf>
    <xf numFmtId="49" fontId="4" fillId="11" borderId="39" xfId="0" applyNumberFormat="1" applyFont="1" applyFill="1" applyBorder="1" applyAlignment="1">
      <alignment horizontal="center"/>
    </xf>
    <xf numFmtId="0" fontId="30" fillId="11" borderId="40" xfId="0" applyFont="1" applyFill="1" applyBorder="1" applyAlignment="1">
      <alignment horizontal="center"/>
    </xf>
    <xf numFmtId="0" fontId="30" fillId="11" borderId="41" xfId="0" applyFont="1" applyFill="1" applyBorder="1" applyAlignment="1">
      <alignment horizontal="center"/>
    </xf>
    <xf numFmtId="49" fontId="4" fillId="11" borderId="57" xfId="0" applyNumberFormat="1" applyFont="1" applyFill="1" applyBorder="1" applyAlignment="1">
      <alignment horizontal="center"/>
    </xf>
    <xf numFmtId="0" fontId="30" fillId="11" borderId="58" xfId="0" applyFont="1" applyFill="1" applyBorder="1" applyAlignment="1">
      <alignment horizontal="center"/>
    </xf>
    <xf numFmtId="49" fontId="4" fillId="0" borderId="64" xfId="0" applyNumberFormat="1" applyFont="1" applyBorder="1" applyAlignment="1">
      <alignment horizontal="center"/>
    </xf>
    <xf numFmtId="0" fontId="14" fillId="0" borderId="65" xfId="0" applyFont="1" applyBorder="1" applyAlignment="1">
      <alignment horizontal="center"/>
    </xf>
    <xf numFmtId="0" fontId="14" fillId="0" borderId="66" xfId="0" applyFont="1" applyBorder="1" applyAlignment="1">
      <alignment horizontal="center"/>
    </xf>
    <xf numFmtId="49" fontId="4" fillId="11" borderId="28" xfId="0" applyNumberFormat="1" applyFont="1" applyFill="1" applyBorder="1" applyAlignment="1">
      <alignment horizontal="center" vertical="center"/>
    </xf>
    <xf numFmtId="0" fontId="0" fillId="0" borderId="21" xfId="0" applyBorder="1"/>
    <xf numFmtId="0" fontId="0" fillId="0" borderId="31" xfId="0" applyBorder="1"/>
    <xf numFmtId="49" fontId="34" fillId="11" borderId="28" xfId="0" applyNumberFormat="1" applyFont="1" applyFill="1" applyBorder="1" applyAlignment="1">
      <alignment horizontal="center" vertical="center"/>
    </xf>
    <xf numFmtId="0" fontId="0" fillId="0" borderId="42" xfId="0" applyBorder="1" applyAlignment="1">
      <alignment horizontal="center"/>
    </xf>
    <xf numFmtId="49" fontId="4" fillId="0" borderId="71" xfId="0" applyNumberFormat="1" applyFont="1" applyBorder="1" applyAlignment="1">
      <alignment horizontal="center"/>
    </xf>
    <xf numFmtId="0" fontId="14" fillId="0" borderId="72" xfId="0" applyFont="1" applyBorder="1" applyAlignment="1">
      <alignment horizontal="center"/>
    </xf>
    <xf numFmtId="0" fontId="14" fillId="0" borderId="73" xfId="0" applyFont="1" applyBorder="1" applyAlignment="1">
      <alignment horizontal="center"/>
    </xf>
    <xf numFmtId="49" fontId="4" fillId="11" borderId="16" xfId="0" applyNumberFormat="1" applyFont="1" applyFill="1" applyBorder="1" applyAlignment="1">
      <alignment horizontal="center" vertical="center"/>
    </xf>
    <xf numFmtId="0" fontId="32" fillId="11" borderId="17" xfId="0" applyFont="1" applyFill="1" applyBorder="1" applyAlignment="1">
      <alignment horizontal="center" vertical="center"/>
    </xf>
    <xf numFmtId="0" fontId="32" fillId="11" borderId="16" xfId="0" applyFont="1" applyFill="1" applyBorder="1" applyAlignment="1">
      <alignment horizontal="center" vertical="center"/>
    </xf>
    <xf numFmtId="0" fontId="32" fillId="11" borderId="29" xfId="0" applyFont="1" applyFill="1" applyBorder="1" applyAlignment="1">
      <alignment horizontal="center" vertical="center"/>
    </xf>
  </cellXfs>
  <cellStyles count="2">
    <cellStyle name="Calculation" xfId="1" builtinId="22"/>
    <cellStyle name="Normal" xfId="0" builtinId="0"/>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B2B2B2"/>
      <rgbColor rgb="FFFFFFCC"/>
      <rgbColor rgb="FF3F3F3F"/>
      <rgbColor rgb="FFF2F2F2"/>
      <rgbColor rgb="FF9C6500"/>
      <rgbColor rgb="FFFFEB9C"/>
      <rgbColor rgb="FFBDC0BF"/>
      <rgbColor rgb="FFDEEAF6"/>
      <rgbColor rgb="FFFBE4D5"/>
      <rgbColor rgb="FF7F7F7F"/>
      <rgbColor rgb="FFFA7D00"/>
      <rgbColor rgb="FFFFF2CB"/>
      <rgbColor rgb="FF006100"/>
      <rgbColor rgb="FFC6EFCE"/>
      <rgbColor rgb="FF3F3F76"/>
      <rgbColor rgb="FFFFCC99"/>
      <rgbColor rgb="FF9C0006"/>
      <rgbColor rgb="FFFFC7CE"/>
      <rgbColor rgb="FFFF0000"/>
      <rgbColor rgb="FFD9E2F3"/>
      <rgbColor rgb="FFFFFF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30"/>
  <sheetViews>
    <sheetView showGridLines="0" workbookViewId="0"/>
  </sheetViews>
  <sheetFormatPr baseColWidth="10" defaultColWidth="10" defaultRowHeight="13" customHeight="1" x14ac:dyDescent="0.2"/>
  <cols>
    <col min="1" max="1" width="2" customWidth="1"/>
    <col min="2" max="4" width="22.5" customWidth="1"/>
  </cols>
  <sheetData>
    <row r="3" spans="2:4" ht="0" hidden="1" customHeight="1" x14ac:dyDescent="0.2">
      <c r="B3" s="272" t="s">
        <v>0</v>
      </c>
      <c r="C3" s="273"/>
      <c r="D3" s="273"/>
    </row>
    <row r="7" spans="2:4" ht="19" x14ac:dyDescent="0.2">
      <c r="B7" s="1" t="s">
        <v>1</v>
      </c>
      <c r="C7" s="1" t="s">
        <v>2</v>
      </c>
      <c r="D7" s="1" t="s">
        <v>3</v>
      </c>
    </row>
    <row r="9" spans="2:4" ht="19" x14ac:dyDescent="0.2">
      <c r="B9" s="2" t="s">
        <v>4</v>
      </c>
      <c r="C9" s="2"/>
      <c r="D9" s="2"/>
    </row>
    <row r="10" spans="2:4" ht="19" x14ac:dyDescent="0.2">
      <c r="B10" s="3"/>
      <c r="C10" s="3" t="s">
        <v>5</v>
      </c>
      <c r="D10" s="4" t="s">
        <v>4</v>
      </c>
    </row>
    <row r="11" spans="2:4" ht="19" x14ac:dyDescent="0.2">
      <c r="B11" s="2" t="s">
        <v>6</v>
      </c>
      <c r="C11" s="2"/>
      <c r="D11" s="2"/>
    </row>
    <row r="12" spans="2:4" ht="19" x14ac:dyDescent="0.2">
      <c r="B12" s="3"/>
      <c r="C12" s="3" t="s">
        <v>5</v>
      </c>
      <c r="D12" s="4" t="s">
        <v>6</v>
      </c>
    </row>
    <row r="13" spans="2:4" ht="19" x14ac:dyDescent="0.2">
      <c r="B13" s="2" t="s">
        <v>7</v>
      </c>
      <c r="C13" s="2"/>
      <c r="D13" s="2"/>
    </row>
    <row r="14" spans="2:4" ht="19" x14ac:dyDescent="0.2">
      <c r="B14" s="3"/>
      <c r="C14" s="3" t="s">
        <v>5</v>
      </c>
      <c r="D14" s="4" t="s">
        <v>7</v>
      </c>
    </row>
    <row r="15" spans="2:4" ht="19" x14ac:dyDescent="0.2">
      <c r="B15" s="2" t="s">
        <v>8</v>
      </c>
      <c r="C15" s="2"/>
      <c r="D15" s="2"/>
    </row>
    <row r="16" spans="2:4" ht="19" x14ac:dyDescent="0.2">
      <c r="B16" s="3"/>
      <c r="C16" s="3" t="s">
        <v>5</v>
      </c>
      <c r="D16" s="4" t="s">
        <v>8</v>
      </c>
    </row>
    <row r="17" spans="2:4" ht="19" x14ac:dyDescent="0.2">
      <c r="B17" s="2" t="s">
        <v>9</v>
      </c>
      <c r="C17" s="2"/>
      <c r="D17" s="2"/>
    </row>
    <row r="18" spans="2:4" ht="19" x14ac:dyDescent="0.2">
      <c r="B18" s="3"/>
      <c r="C18" s="3" t="s">
        <v>5</v>
      </c>
      <c r="D18" s="4" t="s">
        <v>9</v>
      </c>
    </row>
    <row r="19" spans="2:4" ht="19" x14ac:dyDescent="0.2">
      <c r="B19" s="2" t="s">
        <v>10</v>
      </c>
      <c r="C19" s="2"/>
      <c r="D19" s="2"/>
    </row>
    <row r="20" spans="2:4" ht="19" x14ac:dyDescent="0.2">
      <c r="B20" s="3"/>
      <c r="C20" s="3" t="s">
        <v>5</v>
      </c>
      <c r="D20" s="4" t="s">
        <v>10</v>
      </c>
    </row>
    <row r="21" spans="2:4" ht="19" x14ac:dyDescent="0.2">
      <c r="B21" s="2" t="s">
        <v>11</v>
      </c>
      <c r="C21" s="2"/>
      <c r="D21" s="2"/>
    </row>
    <row r="22" spans="2:4" ht="19" x14ac:dyDescent="0.2">
      <c r="B22" s="3"/>
      <c r="C22" s="3" t="s">
        <v>5</v>
      </c>
      <c r="D22" s="4" t="s">
        <v>11</v>
      </c>
    </row>
    <row r="23" spans="2:4" ht="19" x14ac:dyDescent="0.2">
      <c r="B23" s="2" t="s">
        <v>12</v>
      </c>
      <c r="C23" s="2"/>
      <c r="D23" s="2"/>
    </row>
    <row r="24" spans="2:4" ht="19" x14ac:dyDescent="0.2">
      <c r="B24" s="3"/>
      <c r="C24" s="3" t="s">
        <v>5</v>
      </c>
      <c r="D24" s="4" t="s">
        <v>12</v>
      </c>
    </row>
    <row r="25" spans="2:4" ht="19" x14ac:dyDescent="0.2">
      <c r="B25" s="2" t="s">
        <v>13</v>
      </c>
      <c r="C25" s="2"/>
      <c r="D25" s="2"/>
    </row>
    <row r="26" spans="2:4" ht="19" x14ac:dyDescent="0.2">
      <c r="B26" s="3"/>
      <c r="C26" s="3" t="s">
        <v>5</v>
      </c>
      <c r="D26" s="4" t="s">
        <v>13</v>
      </c>
    </row>
    <row r="27" spans="2:4" ht="19" x14ac:dyDescent="0.2">
      <c r="B27" s="2" t="s">
        <v>14</v>
      </c>
      <c r="C27" s="2"/>
      <c r="D27" s="2"/>
    </row>
    <row r="28" spans="2:4" ht="19" x14ac:dyDescent="0.2">
      <c r="B28" s="3"/>
      <c r="C28" s="3" t="s">
        <v>5</v>
      </c>
      <c r="D28" s="4" t="s">
        <v>14</v>
      </c>
    </row>
    <row r="29" spans="2:4" ht="19" x14ac:dyDescent="0.2">
      <c r="B29" s="2" t="s">
        <v>15</v>
      </c>
      <c r="C29" s="2"/>
      <c r="D29" s="2"/>
    </row>
    <row r="30" spans="2:4" ht="19" x14ac:dyDescent="0.2">
      <c r="B30" s="3"/>
      <c r="C30" s="3" t="s">
        <v>5</v>
      </c>
      <c r="D30" s="4" t="s">
        <v>15</v>
      </c>
    </row>
  </sheetData>
  <mergeCells count="1">
    <mergeCell ref="B3:D3"/>
  </mergeCells>
  <hyperlinks>
    <hyperlink ref="D10" location="'2015'!R1C1" display="2015" xr:uid="{00000000-0004-0000-0000-000000000000}"/>
    <hyperlink ref="D12" location="'2016'!R1C1" display="2016" xr:uid="{00000000-0004-0000-0000-000001000000}"/>
    <hyperlink ref="D14" location="'Berechnung 2017'!R1C1" display="Berechnung 2017" xr:uid="{00000000-0004-0000-0000-000002000000}"/>
    <hyperlink ref="D16" location="'2017'!R1C1" display="2017" xr:uid="{00000000-0004-0000-0000-000003000000}"/>
    <hyperlink ref="D18" location="'Berechnung 2018'!R1C1" display="Berechnung 2018" xr:uid="{00000000-0004-0000-0000-000004000000}"/>
    <hyperlink ref="D20" location="'2018'!R1C1" display="2018" xr:uid="{00000000-0004-0000-0000-000005000000}"/>
    <hyperlink ref="D22" location="'Berechnung 2019'!R1C1" display="Berechnung 2019" xr:uid="{00000000-0004-0000-0000-000006000000}"/>
    <hyperlink ref="D24" location="'2019'!R1C1" display="2019" xr:uid="{00000000-0004-0000-0000-000007000000}"/>
    <hyperlink ref="D26" location="'Berechnung 2020'!R1C1" display="Berechnung 2020" xr:uid="{00000000-0004-0000-0000-000008000000}"/>
    <hyperlink ref="D28" location="'2020'!R1C1" display="2020" xr:uid="{00000000-0004-0000-0000-000009000000}"/>
    <hyperlink ref="D30" location="'Steuerkonto'!R1C1" display="Steuerkonto" xr:uid="{00000000-0004-0000-0000-00000A000000}"/>
  </hyperlink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Q54"/>
  <sheetViews>
    <sheetView showGridLines="0" topLeftCell="A22" workbookViewId="0">
      <selection activeCell="B52" sqref="B52"/>
    </sheetView>
  </sheetViews>
  <sheetFormatPr baseColWidth="10" defaultColWidth="12.25" defaultRowHeight="20" customHeight="1" x14ac:dyDescent="0.2"/>
  <cols>
    <col min="1" max="1" width="53.375" style="5" customWidth="1"/>
    <col min="2" max="2" width="13.1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6384" width="12.25" style="5"/>
  </cols>
  <sheetData>
    <row r="1" spans="1:17" ht="22" customHeight="1" x14ac:dyDescent="0.2">
      <c r="A1" s="296"/>
      <c r="B1" s="289"/>
      <c r="C1" s="289"/>
      <c r="D1" s="289"/>
      <c r="E1" s="289"/>
      <c r="F1" s="122"/>
      <c r="G1" s="297" t="s">
        <v>210</v>
      </c>
      <c r="H1" s="289"/>
      <c r="I1" s="289"/>
      <c r="J1" s="289"/>
      <c r="K1" s="289"/>
      <c r="L1" s="122"/>
      <c r="M1" s="297" t="s">
        <v>211</v>
      </c>
      <c r="N1" s="289"/>
      <c r="O1" s="289"/>
      <c r="P1" s="289"/>
      <c r="Q1" s="290"/>
    </row>
    <row r="2" spans="1:17" ht="22" customHeight="1" x14ac:dyDescent="0.2">
      <c r="A2" s="285"/>
      <c r="B2" s="291"/>
      <c r="C2" s="291"/>
      <c r="D2" s="291"/>
      <c r="E2" s="291"/>
      <c r="F2" s="122"/>
      <c r="G2" s="291"/>
      <c r="H2" s="291"/>
      <c r="I2" s="291"/>
      <c r="J2" s="291"/>
      <c r="K2" s="291"/>
      <c r="L2" s="122"/>
      <c r="M2" s="291"/>
      <c r="N2" s="291"/>
      <c r="O2" s="291"/>
      <c r="P2" s="291"/>
      <c r="Q2" s="292"/>
    </row>
    <row r="3" spans="1:17" ht="22" customHeight="1" x14ac:dyDescent="0.2">
      <c r="A3" s="39"/>
      <c r="B3" s="39"/>
      <c r="C3" s="40" t="s">
        <v>76</v>
      </c>
      <c r="D3" s="39"/>
      <c r="E3" s="39"/>
      <c r="F3" s="11"/>
      <c r="G3" s="39"/>
      <c r="H3" s="39"/>
      <c r="I3" s="40" t="s">
        <v>76</v>
      </c>
      <c r="J3" s="39"/>
      <c r="K3" s="39"/>
      <c r="L3" s="11"/>
      <c r="M3" s="39"/>
      <c r="N3" s="39"/>
      <c r="O3" s="40" t="s">
        <v>76</v>
      </c>
      <c r="P3" s="39"/>
      <c r="Q3" s="39"/>
    </row>
    <row r="4" spans="1:17" ht="22" customHeight="1" x14ac:dyDescent="0.2">
      <c r="A4" s="41" t="s">
        <v>212</v>
      </c>
      <c r="B4" s="42">
        <v>5821.89</v>
      </c>
      <c r="C4" s="43">
        <v>210</v>
      </c>
      <c r="D4" s="11"/>
      <c r="E4" s="11"/>
      <c r="F4" s="11"/>
      <c r="G4" s="41" t="s">
        <v>168</v>
      </c>
      <c r="H4" s="42">
        <v>44996.93</v>
      </c>
      <c r="I4" s="43">
        <v>210</v>
      </c>
      <c r="J4" s="11"/>
      <c r="K4" s="11"/>
      <c r="L4" s="11"/>
      <c r="M4" s="41" t="s">
        <v>212</v>
      </c>
      <c r="N4" s="42">
        <v>2000</v>
      </c>
      <c r="O4" s="43">
        <v>210</v>
      </c>
      <c r="P4" s="11"/>
      <c r="Q4" s="11"/>
    </row>
    <row r="5" spans="1:17" ht="22" customHeight="1" x14ac:dyDescent="0.2">
      <c r="A5" s="44" t="s">
        <v>213</v>
      </c>
      <c r="B5" s="45">
        <f>B4-B6</f>
        <v>5166.83</v>
      </c>
      <c r="C5" s="46"/>
      <c r="D5" s="11"/>
      <c r="E5" s="11"/>
      <c r="F5" s="123"/>
      <c r="G5" s="124" t="s">
        <v>169</v>
      </c>
      <c r="H5" s="45">
        <f>H4-H6</f>
        <v>38585.839999999997</v>
      </c>
      <c r="I5" s="46"/>
      <c r="J5" s="11"/>
      <c r="K5" s="11"/>
      <c r="L5" s="123"/>
      <c r="M5" s="124" t="s">
        <v>213</v>
      </c>
      <c r="N5" s="45">
        <f>N4-N6</f>
        <v>1929.6</v>
      </c>
      <c r="O5" s="46"/>
      <c r="P5" s="11"/>
      <c r="Q5" s="11"/>
    </row>
    <row r="6" spans="1:17" ht="22" customHeight="1" x14ac:dyDescent="0.2">
      <c r="A6" s="47" t="s">
        <v>79</v>
      </c>
      <c r="B6" s="48">
        <v>655.05999999999995</v>
      </c>
      <c r="C6" s="49">
        <v>220</v>
      </c>
      <c r="D6" s="11"/>
      <c r="E6" s="11"/>
      <c r="F6" s="123"/>
      <c r="G6" s="125" t="s">
        <v>79</v>
      </c>
      <c r="H6" s="48">
        <v>6411.09</v>
      </c>
      <c r="I6" s="49">
        <v>220</v>
      </c>
      <c r="J6" s="11"/>
      <c r="K6" s="11"/>
      <c r="L6" s="123"/>
      <c r="M6" s="125" t="s">
        <v>79</v>
      </c>
      <c r="N6" s="48">
        <v>70.400000000000006</v>
      </c>
      <c r="O6" s="49">
        <v>220</v>
      </c>
      <c r="P6" s="11"/>
      <c r="Q6" s="11"/>
    </row>
    <row r="7" spans="1:17" ht="22" customHeight="1" x14ac:dyDescent="0.2">
      <c r="A7" s="50"/>
      <c r="B7" s="51"/>
      <c r="C7" s="52"/>
      <c r="D7" s="53"/>
      <c r="E7" s="53"/>
      <c r="F7" s="11"/>
      <c r="G7" s="50"/>
      <c r="H7" s="51"/>
      <c r="I7" s="52"/>
      <c r="J7" s="53"/>
      <c r="K7" s="53"/>
      <c r="L7" s="11"/>
      <c r="M7" s="50"/>
      <c r="N7" s="51"/>
      <c r="O7" s="52"/>
      <c r="P7" s="53"/>
      <c r="Q7" s="53"/>
    </row>
    <row r="8" spans="1:17" ht="22" customHeight="1" x14ac:dyDescent="0.25">
      <c r="A8" s="44" t="s">
        <v>214</v>
      </c>
      <c r="B8" s="45">
        <v>290.45999999999998</v>
      </c>
      <c r="C8" s="54">
        <v>230</v>
      </c>
      <c r="D8" s="55">
        <f>ROUND(B5*0.1812,2)</f>
        <v>936.23</v>
      </c>
      <c r="E8" s="56" t="s">
        <v>81</v>
      </c>
      <c r="F8" s="126"/>
      <c r="G8" s="124" t="s">
        <v>214</v>
      </c>
      <c r="H8" s="45">
        <v>7061.68</v>
      </c>
      <c r="I8" s="54">
        <v>230</v>
      </c>
      <c r="J8" s="55">
        <f>ROUND(H5*0.1812,2)</f>
        <v>6991.75</v>
      </c>
      <c r="K8" s="56" t="s">
        <v>81</v>
      </c>
      <c r="L8" s="126"/>
      <c r="M8" s="124" t="s">
        <v>214</v>
      </c>
      <c r="N8" s="45">
        <v>281.60000000000002</v>
      </c>
      <c r="O8" s="54">
        <v>230</v>
      </c>
      <c r="P8" s="55">
        <f>ROUND(N5*0.1812,2)</f>
        <v>349.64</v>
      </c>
      <c r="Q8" s="56" t="s">
        <v>81</v>
      </c>
    </row>
    <row r="9" spans="1:17" ht="22" customHeight="1" x14ac:dyDescent="0.25">
      <c r="A9" s="47" t="s">
        <v>82</v>
      </c>
      <c r="B9" s="48">
        <v>0</v>
      </c>
      <c r="C9" s="54">
        <v>225</v>
      </c>
      <c r="D9" s="55">
        <f>ROUND(B6*0.1712,2)</f>
        <v>112.15</v>
      </c>
      <c r="E9" s="56" t="s">
        <v>83</v>
      </c>
      <c r="F9" s="126"/>
      <c r="G9" s="125" t="s">
        <v>82</v>
      </c>
      <c r="H9" s="48">
        <v>919.99</v>
      </c>
      <c r="I9" s="54">
        <v>225</v>
      </c>
      <c r="J9" s="55">
        <f>ROUND(H6*0.1712,2)</f>
        <v>1097.58</v>
      </c>
      <c r="K9" s="56" t="s">
        <v>83</v>
      </c>
      <c r="L9" s="126"/>
      <c r="M9" s="125" t="s">
        <v>82</v>
      </c>
      <c r="N9" s="48">
        <v>70.400000000000006</v>
      </c>
      <c r="O9" s="54">
        <v>225</v>
      </c>
      <c r="P9" s="55">
        <f>ROUND(N6*0.1712,2)</f>
        <v>12.05</v>
      </c>
      <c r="Q9" s="56" t="s">
        <v>83</v>
      </c>
    </row>
    <row r="10" spans="1:17" ht="22" customHeight="1" x14ac:dyDescent="0.25">
      <c r="A10" s="57" t="s">
        <v>84</v>
      </c>
      <c r="B10" s="58">
        <f>B8+B9</f>
        <v>290.45999999999998</v>
      </c>
      <c r="C10" s="59"/>
      <c r="D10" s="55">
        <f>D8+D9</f>
        <v>1048.3800000000001</v>
      </c>
      <c r="E10" s="56" t="s">
        <v>85</v>
      </c>
      <c r="F10" s="76"/>
      <c r="G10" s="57" t="s">
        <v>84</v>
      </c>
      <c r="H10" s="58">
        <f>H8+H9</f>
        <v>7981.67</v>
      </c>
      <c r="I10" s="59"/>
      <c r="J10" s="55">
        <f>J8+J9</f>
        <v>8089.33</v>
      </c>
      <c r="K10" s="56" t="s">
        <v>85</v>
      </c>
      <c r="L10" s="76"/>
      <c r="M10" s="57" t="s">
        <v>84</v>
      </c>
      <c r="N10" s="58">
        <f>N8+N9</f>
        <v>352</v>
      </c>
      <c r="O10" s="59"/>
      <c r="P10" s="55">
        <f>P8+P9</f>
        <v>361.69</v>
      </c>
      <c r="Q10" s="56" t="s">
        <v>85</v>
      </c>
    </row>
    <row r="11" spans="1:17" ht="22" customHeight="1" x14ac:dyDescent="0.2">
      <c r="A11" s="60"/>
      <c r="B11" s="42"/>
      <c r="C11" s="52"/>
      <c r="D11" s="61"/>
      <c r="E11" s="61"/>
      <c r="F11" s="11"/>
      <c r="G11" s="60"/>
      <c r="H11" s="42"/>
      <c r="I11" s="52"/>
      <c r="J11" s="61"/>
      <c r="K11" s="61"/>
      <c r="L11" s="11"/>
      <c r="M11" s="60"/>
      <c r="N11" s="42"/>
      <c r="O11" s="52"/>
      <c r="P11" s="61"/>
      <c r="Q11" s="61"/>
    </row>
    <row r="12" spans="1:17" ht="22" customHeight="1" x14ac:dyDescent="0.2">
      <c r="A12" s="44" t="s">
        <v>215</v>
      </c>
      <c r="B12" s="45">
        <f>B5-B8-B15</f>
        <v>4868.99</v>
      </c>
      <c r="C12" s="49">
        <v>245</v>
      </c>
      <c r="D12" s="9" t="s">
        <v>87</v>
      </c>
      <c r="E12" s="11"/>
      <c r="F12" s="123"/>
      <c r="G12" s="124" t="s">
        <v>170</v>
      </c>
      <c r="H12" s="45">
        <f>H5-H8-H16</f>
        <v>31424.159999999996</v>
      </c>
      <c r="I12" s="49">
        <v>245</v>
      </c>
      <c r="J12" s="9" t="s">
        <v>87</v>
      </c>
      <c r="K12" s="11"/>
      <c r="L12" s="123"/>
      <c r="M12" s="124" t="s">
        <v>215</v>
      </c>
      <c r="N12" s="45">
        <f>N5-N8</f>
        <v>1648</v>
      </c>
      <c r="O12" s="49">
        <v>245</v>
      </c>
      <c r="P12" s="9" t="s">
        <v>87</v>
      </c>
      <c r="Q12" s="11"/>
    </row>
    <row r="13" spans="1:17" ht="22" customHeight="1" x14ac:dyDescent="0.2">
      <c r="A13" s="47" t="s">
        <v>88</v>
      </c>
      <c r="B13" s="48">
        <f>B6-B9</f>
        <v>655.05999999999995</v>
      </c>
      <c r="C13" s="46"/>
      <c r="D13" s="9" t="s">
        <v>89</v>
      </c>
      <c r="E13" s="11"/>
      <c r="F13" s="123"/>
      <c r="G13" s="125" t="s">
        <v>88</v>
      </c>
      <c r="H13" s="48">
        <f>H6-H9</f>
        <v>5491.1</v>
      </c>
      <c r="I13" s="46"/>
      <c r="J13" s="9" t="s">
        <v>89</v>
      </c>
      <c r="K13" s="11"/>
      <c r="L13" s="123"/>
      <c r="M13" s="125" t="s">
        <v>88</v>
      </c>
      <c r="N13" s="48">
        <f>N6-N9</f>
        <v>0</v>
      </c>
      <c r="O13" s="46"/>
      <c r="P13" s="9" t="s">
        <v>89</v>
      </c>
      <c r="Q13" s="11"/>
    </row>
    <row r="14" spans="1:17" ht="22" customHeight="1" x14ac:dyDescent="0.2">
      <c r="A14" s="50"/>
      <c r="B14" s="51"/>
      <c r="C14" s="11"/>
      <c r="D14" s="11"/>
      <c r="E14" s="11"/>
      <c r="F14" s="11"/>
      <c r="G14" s="50"/>
      <c r="H14" s="51"/>
      <c r="I14" s="11"/>
      <c r="J14" s="11"/>
      <c r="K14" s="11"/>
      <c r="L14" s="11"/>
      <c r="M14" s="39"/>
      <c r="N14" s="58"/>
      <c r="O14" s="11"/>
      <c r="P14" s="11"/>
      <c r="Q14" s="11"/>
    </row>
    <row r="15" spans="1:17" ht="22" customHeight="1" x14ac:dyDescent="0.2">
      <c r="A15" s="62" t="s">
        <v>216</v>
      </c>
      <c r="B15" s="63">
        <v>7.38</v>
      </c>
      <c r="C15" s="49">
        <v>215</v>
      </c>
      <c r="D15" s="11"/>
      <c r="E15" s="11"/>
      <c r="F15" s="123"/>
      <c r="G15" s="127" t="s">
        <v>90</v>
      </c>
      <c r="H15" s="63">
        <v>12.87</v>
      </c>
      <c r="I15" s="298"/>
      <c r="J15" s="282"/>
      <c r="K15" s="282"/>
      <c r="L15" s="11"/>
      <c r="M15" s="11"/>
      <c r="N15" s="11"/>
      <c r="O15" s="295"/>
      <c r="P15" s="295"/>
      <c r="Q15" s="295"/>
    </row>
    <row r="16" spans="1:17" ht="22" customHeight="1" x14ac:dyDescent="0.2">
      <c r="A16" s="149"/>
      <c r="B16" s="63"/>
      <c r="C16" s="64"/>
      <c r="D16" s="11"/>
      <c r="E16" s="11"/>
      <c r="F16" s="123"/>
      <c r="G16" s="127" t="s">
        <v>217</v>
      </c>
      <c r="H16" s="63">
        <v>100</v>
      </c>
      <c r="I16" s="49">
        <v>243</v>
      </c>
      <c r="J16" s="11"/>
      <c r="K16" s="11"/>
      <c r="L16" s="11"/>
      <c r="M16" s="11"/>
      <c r="N16" s="11"/>
      <c r="O16" s="11"/>
      <c r="P16" s="11"/>
      <c r="Q16" s="11"/>
    </row>
    <row r="17" spans="1:17" ht="22" customHeight="1" x14ac:dyDescent="0.2">
      <c r="A17" s="50"/>
      <c r="B17" s="51"/>
      <c r="C17" s="11"/>
      <c r="D17" s="11"/>
      <c r="E17" s="11"/>
      <c r="F17" s="11"/>
      <c r="G17" s="50"/>
      <c r="H17" s="51"/>
      <c r="I17" s="11"/>
      <c r="J17" s="11"/>
      <c r="K17" s="11"/>
      <c r="L17" s="11"/>
      <c r="M17" s="60"/>
      <c r="N17" s="42"/>
      <c r="O17" s="11"/>
      <c r="P17" s="11"/>
      <c r="Q17" s="11"/>
    </row>
    <row r="18" spans="1:17" ht="22" customHeight="1" x14ac:dyDescent="0.2">
      <c r="A18" s="65" t="s">
        <v>93</v>
      </c>
      <c r="B18" s="66">
        <v>0</v>
      </c>
      <c r="C18" s="49">
        <v>260</v>
      </c>
      <c r="D18" s="11"/>
      <c r="E18" s="11"/>
      <c r="F18" s="123"/>
      <c r="G18" s="128" t="s">
        <v>93</v>
      </c>
      <c r="H18" s="66">
        <v>5942.19</v>
      </c>
      <c r="I18" s="49">
        <v>260</v>
      </c>
      <c r="J18" s="11"/>
      <c r="K18" s="11"/>
      <c r="L18" s="123"/>
      <c r="M18" s="128" t="s">
        <v>93</v>
      </c>
      <c r="N18" s="66">
        <v>129.53</v>
      </c>
      <c r="O18" s="49">
        <v>260</v>
      </c>
      <c r="P18" s="11"/>
      <c r="Q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99" t="s">
        <v>218</v>
      </c>
      <c r="B21" s="294"/>
      <c r="C21" s="294"/>
      <c r="D21" s="294"/>
      <c r="E21" s="294"/>
      <c r="F21" s="76"/>
      <c r="G21" s="11"/>
      <c r="H21" s="11"/>
      <c r="I21" s="11"/>
      <c r="J21" s="11"/>
      <c r="K21" s="11"/>
      <c r="L21" s="11"/>
      <c r="M21" s="11"/>
      <c r="N21" s="11"/>
      <c r="O21" s="11"/>
      <c r="P21" s="11"/>
      <c r="Q21" s="11"/>
    </row>
    <row r="22" spans="1:17" ht="22" customHeight="1" x14ac:dyDescent="0.2">
      <c r="A22" s="294"/>
      <c r="B22" s="294"/>
      <c r="C22" s="294"/>
      <c r="D22" s="294"/>
      <c r="E22" s="294"/>
      <c r="F22" s="76"/>
      <c r="G22" s="11"/>
      <c r="H22" s="11"/>
      <c r="I22" s="11"/>
      <c r="J22" s="11"/>
      <c r="K22" s="11"/>
      <c r="L22" s="11"/>
      <c r="M22" s="11"/>
      <c r="N22" s="11"/>
      <c r="O22" s="11"/>
      <c r="P22" s="11"/>
      <c r="Q22" s="11"/>
    </row>
    <row r="23" spans="1:17" ht="22" customHeight="1" x14ac:dyDescent="0.2">
      <c r="A23" s="67" t="s">
        <v>95</v>
      </c>
      <c r="B23" s="68">
        <f>'2020'!B25</f>
        <v>3087.52</v>
      </c>
      <c r="C23" s="69"/>
      <c r="D23" s="61"/>
      <c r="E23" s="61"/>
      <c r="F23" s="11"/>
      <c r="G23" s="11"/>
      <c r="H23" s="11"/>
      <c r="I23" s="11"/>
      <c r="J23" s="11"/>
      <c r="K23" s="11"/>
      <c r="L23" s="11"/>
      <c r="M23" s="11"/>
      <c r="N23" s="11"/>
      <c r="O23" s="11"/>
      <c r="P23" s="11"/>
      <c r="Q23" s="11"/>
    </row>
    <row r="24" spans="1:17" ht="22" customHeight="1" x14ac:dyDescent="0.2">
      <c r="A24" s="44" t="s">
        <v>172</v>
      </c>
      <c r="B24" s="45">
        <f>B12+H12+N12</f>
        <v>37941.149999999994</v>
      </c>
      <c r="C24" s="64"/>
      <c r="D24" s="11"/>
      <c r="E24" s="11"/>
      <c r="F24" s="11"/>
      <c r="G24" s="11"/>
      <c r="H24" s="11"/>
      <c r="I24" s="11"/>
      <c r="J24" s="11"/>
      <c r="K24" s="11"/>
      <c r="L24" s="11"/>
      <c r="M24" s="11"/>
      <c r="N24" s="11"/>
      <c r="O24" s="11"/>
      <c r="P24" s="11"/>
      <c r="Q24" s="11"/>
    </row>
    <row r="25" spans="1:17" ht="22" customHeight="1" x14ac:dyDescent="0.25">
      <c r="A25" s="129" t="s">
        <v>97</v>
      </c>
      <c r="B25" s="130">
        <f>B23+B24</f>
        <v>41028.669999999991</v>
      </c>
      <c r="C25" s="64"/>
      <c r="D25" s="11"/>
      <c r="E25" s="11"/>
      <c r="F25" s="11"/>
      <c r="G25" s="11"/>
      <c r="H25" s="11"/>
      <c r="I25" s="11"/>
      <c r="J25" s="11"/>
      <c r="K25" s="11"/>
      <c r="L25" s="11"/>
      <c r="M25" s="11"/>
      <c r="N25" s="11"/>
      <c r="O25" s="11"/>
      <c r="P25" s="11"/>
      <c r="Q25" s="11"/>
    </row>
    <row r="26" spans="1:17" ht="22" customHeight="1" x14ac:dyDescent="0.2">
      <c r="A26" s="72"/>
      <c r="B26" s="88"/>
      <c r="C26" s="11"/>
      <c r="D26" s="11"/>
      <c r="E26" s="11"/>
      <c r="F26" s="11"/>
      <c r="G26" s="11"/>
      <c r="H26" s="11"/>
      <c r="I26" s="11"/>
      <c r="J26" s="11"/>
      <c r="K26" s="11"/>
      <c r="L26" s="11"/>
      <c r="M26" s="11"/>
      <c r="N26" s="11"/>
      <c r="O26" s="11"/>
      <c r="P26" s="11"/>
      <c r="Q26" s="11"/>
    </row>
    <row r="27" spans="1:17" ht="22" customHeight="1" x14ac:dyDescent="0.2">
      <c r="A27" s="74" t="s">
        <v>98</v>
      </c>
      <c r="B27" s="77"/>
      <c r="C27" s="76"/>
      <c r="D27" s="11"/>
      <c r="E27" s="11"/>
      <c r="F27" s="11"/>
      <c r="G27" s="11"/>
      <c r="H27" s="11"/>
      <c r="I27" s="11"/>
      <c r="J27" s="11"/>
      <c r="K27" s="11"/>
      <c r="L27" s="11"/>
      <c r="M27" s="11"/>
      <c r="N27" s="11"/>
      <c r="O27" s="11"/>
      <c r="P27" s="11"/>
      <c r="Q27" s="11"/>
    </row>
    <row r="28" spans="1:17" ht="22" customHeight="1" x14ac:dyDescent="0.2">
      <c r="A28" s="74" t="s">
        <v>25</v>
      </c>
      <c r="B28" s="77">
        <f>'2020'!B22</f>
        <v>1951.4720000000002</v>
      </c>
      <c r="C28" s="76"/>
      <c r="D28" s="11"/>
      <c r="E28" s="11"/>
      <c r="F28" s="11"/>
      <c r="G28" s="11"/>
      <c r="H28" s="11"/>
      <c r="I28" s="11"/>
      <c r="J28" s="11"/>
      <c r="K28" s="11"/>
      <c r="L28" s="11"/>
      <c r="M28" s="11"/>
      <c r="N28" s="11"/>
      <c r="O28" s="11"/>
      <c r="P28" s="11"/>
      <c r="Q28" s="11"/>
    </row>
    <row r="29" spans="1:17" ht="22" customHeight="1" x14ac:dyDescent="0.2">
      <c r="A29" s="74" t="s">
        <v>99</v>
      </c>
      <c r="B29" s="77">
        <f>(60000-(B25-B28))*('2020'!B5/4-60)/23600+60</f>
        <v>471.02888856970355</v>
      </c>
      <c r="C29" s="78"/>
      <c r="D29" s="131"/>
      <c r="E29" s="11"/>
      <c r="F29" s="11"/>
      <c r="G29" s="11"/>
      <c r="H29" s="11"/>
      <c r="I29" s="11"/>
      <c r="J29" s="11"/>
      <c r="K29" s="11"/>
      <c r="L29" s="11"/>
      <c r="M29" s="11"/>
      <c r="N29" s="11"/>
      <c r="O29" s="11"/>
      <c r="P29" s="11"/>
      <c r="Q29" s="11"/>
    </row>
    <row r="30" spans="1:17" ht="22" customHeight="1" x14ac:dyDescent="0.25">
      <c r="A30" s="79" t="s">
        <v>21</v>
      </c>
      <c r="B30" s="150">
        <f>SUM(B28:B29)</f>
        <v>2422.5008885697039</v>
      </c>
      <c r="C30" s="76"/>
      <c r="D30" s="11"/>
      <c r="E30" s="11"/>
      <c r="F30" s="11"/>
      <c r="G30" s="11"/>
      <c r="H30" s="11"/>
      <c r="I30" s="11"/>
      <c r="J30" s="11"/>
      <c r="K30" s="11"/>
      <c r="L30" s="11"/>
      <c r="M30" s="11"/>
      <c r="N30" s="11"/>
      <c r="O30" s="11"/>
      <c r="P30" s="11"/>
      <c r="Q30" s="11"/>
    </row>
    <row r="31" spans="1:17" ht="22" customHeight="1" x14ac:dyDescent="0.2">
      <c r="A31" s="81"/>
      <c r="B31" s="151"/>
      <c r="C31" s="11"/>
      <c r="D31" s="11"/>
      <c r="E31" s="11"/>
      <c r="F31" s="11"/>
      <c r="G31" s="11"/>
      <c r="H31" s="11"/>
      <c r="I31" s="11"/>
      <c r="J31" s="11"/>
      <c r="K31" s="11"/>
      <c r="L31" s="11"/>
      <c r="M31" s="11"/>
      <c r="N31" s="11"/>
      <c r="O31" s="11"/>
      <c r="P31" s="11"/>
      <c r="Q31" s="11"/>
    </row>
    <row r="32" spans="1:17" ht="22" customHeight="1" x14ac:dyDescent="0.25">
      <c r="A32" s="83" t="s">
        <v>101</v>
      </c>
      <c r="B32" s="152">
        <f>B25-B30</f>
        <v>38606.169111430288</v>
      </c>
      <c r="C32" s="64"/>
      <c r="D32" s="11"/>
      <c r="E32" s="11"/>
      <c r="F32" s="11"/>
      <c r="G32" s="11"/>
      <c r="H32" s="11"/>
      <c r="I32" s="11"/>
      <c r="J32" s="11"/>
      <c r="K32" s="11"/>
      <c r="L32" s="11"/>
      <c r="M32" s="11"/>
      <c r="N32" s="11"/>
      <c r="O32" s="11"/>
      <c r="P32" s="11"/>
      <c r="Q32" s="11"/>
    </row>
    <row r="33" spans="1:17" ht="22" customHeight="1" x14ac:dyDescent="0.25">
      <c r="A33" s="56" t="s">
        <v>102</v>
      </c>
      <c r="B33" s="91">
        <f>ROUND((B32-31000)*0.42+5950,2)</f>
        <v>9144.59</v>
      </c>
      <c r="C33" s="283" t="s">
        <v>174</v>
      </c>
      <c r="D33" s="284"/>
      <c r="E33" s="11"/>
      <c r="F33" s="11"/>
      <c r="G33" s="11"/>
      <c r="H33" s="11"/>
      <c r="I33" s="11"/>
      <c r="J33" s="11"/>
      <c r="K33" s="11"/>
      <c r="L33" s="11"/>
      <c r="M33" s="11"/>
      <c r="N33" s="11"/>
      <c r="O33" s="11"/>
      <c r="P33" s="11"/>
      <c r="Q33" s="11"/>
    </row>
    <row r="34" spans="1:17" ht="22" customHeight="1" x14ac:dyDescent="0.25">
      <c r="A34" s="56" t="s">
        <v>104</v>
      </c>
      <c r="B34" s="91">
        <f>ROUND((B13+H13+N13-620)*0.06,2)</f>
        <v>331.57</v>
      </c>
      <c r="C34" s="283" t="s">
        <v>105</v>
      </c>
      <c r="D34" s="284"/>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9076.16</v>
      </c>
      <c r="C37" s="76"/>
      <c r="D37" s="11"/>
      <c r="E37" s="11"/>
      <c r="F37" s="11"/>
      <c r="G37" s="11"/>
      <c r="H37" s="11"/>
      <c r="I37" s="11"/>
      <c r="J37" s="11"/>
      <c r="K37" s="11"/>
      <c r="L37" s="11"/>
      <c r="M37" s="11"/>
      <c r="N37" s="11"/>
      <c r="O37" s="11"/>
      <c r="P37" s="11"/>
      <c r="Q37" s="11"/>
    </row>
    <row r="38" spans="1:17" ht="22" customHeight="1" x14ac:dyDescent="0.2">
      <c r="A38" s="86" t="s">
        <v>175</v>
      </c>
      <c r="B38" s="87">
        <f>B18+H18+N18</f>
        <v>6071.7199999999993</v>
      </c>
      <c r="C38" s="64"/>
      <c r="D38" s="11"/>
      <c r="E38" s="11"/>
      <c r="F38" s="11"/>
      <c r="G38" s="11"/>
      <c r="H38" s="11"/>
      <c r="I38" s="11"/>
      <c r="J38" s="11"/>
      <c r="K38" s="11"/>
      <c r="L38" s="11"/>
      <c r="M38" s="11"/>
      <c r="N38" s="11"/>
      <c r="O38" s="11"/>
      <c r="P38" s="11"/>
      <c r="Q38" s="11"/>
    </row>
    <row r="39" spans="1:17" ht="22" customHeight="1" x14ac:dyDescent="0.2">
      <c r="A39" s="57" t="s">
        <v>109</v>
      </c>
      <c r="B39" s="154">
        <v>-0.44</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3004.0000000000005</v>
      </c>
      <c r="C41" s="76"/>
      <c r="D41" s="11"/>
      <c r="E41" s="11"/>
      <c r="F41" s="11"/>
      <c r="G41" s="11"/>
      <c r="H41" s="11"/>
      <c r="I41" s="11"/>
      <c r="J41" s="11"/>
      <c r="K41" s="11"/>
      <c r="L41" s="11"/>
      <c r="M41" s="11"/>
      <c r="N41" s="11"/>
      <c r="O41" s="11"/>
      <c r="P41" s="11"/>
      <c r="Q41" s="11"/>
    </row>
    <row r="42" spans="1:17" ht="22" customHeight="1" x14ac:dyDescent="0.2">
      <c r="A42" s="86" t="s">
        <v>219</v>
      </c>
      <c r="B42" s="87">
        <v>1243</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1761.0000000000005</v>
      </c>
      <c r="C44" s="138" t="s">
        <v>220</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
      <c r="A47" s="11"/>
      <c r="B47" s="11"/>
      <c r="C47" s="11"/>
      <c r="D47" s="11"/>
      <c r="E47" s="11"/>
      <c r="F47" s="11"/>
      <c r="G47" s="11"/>
      <c r="H47" s="11"/>
      <c r="I47" s="11"/>
      <c r="J47" s="11"/>
      <c r="K47" s="11"/>
      <c r="L47" s="11"/>
      <c r="M47" s="11"/>
      <c r="N47" s="11"/>
      <c r="O47" s="11"/>
      <c r="P47" s="11"/>
      <c r="Q47" s="11"/>
    </row>
    <row r="48" spans="1:17" ht="22" customHeight="1" x14ac:dyDescent="0.25">
      <c r="A48" s="279" t="s">
        <v>221</v>
      </c>
      <c r="B48" s="280"/>
      <c r="C48" s="11"/>
      <c r="D48" s="11"/>
      <c r="E48" s="11"/>
      <c r="F48" s="11"/>
      <c r="G48" s="11"/>
      <c r="H48" s="11"/>
      <c r="I48" s="11"/>
      <c r="J48" s="11"/>
      <c r="K48" s="11"/>
      <c r="L48" s="11"/>
      <c r="M48" s="11"/>
      <c r="N48" s="11"/>
      <c r="O48" s="11"/>
      <c r="P48" s="11"/>
      <c r="Q48" s="11"/>
    </row>
    <row r="49" spans="1:17" ht="22" customHeight="1" x14ac:dyDescent="0.2">
      <c r="A49" s="92" t="s">
        <v>179</v>
      </c>
      <c r="B49" s="66">
        <f>B4+H4+N4</f>
        <v>52818.82</v>
      </c>
      <c r="C49" s="64"/>
      <c r="D49" s="11"/>
      <c r="E49" s="11"/>
      <c r="F49" s="11"/>
      <c r="G49" s="11"/>
      <c r="H49" s="11"/>
      <c r="I49" s="11"/>
      <c r="J49" s="11"/>
      <c r="K49" s="11"/>
      <c r="L49" s="11"/>
      <c r="M49" s="11"/>
      <c r="N49" s="11"/>
      <c r="O49" s="11"/>
      <c r="P49" s="11"/>
      <c r="Q49" s="11"/>
    </row>
    <row r="50" spans="1:17" ht="22" customHeight="1" x14ac:dyDescent="0.2">
      <c r="A50" s="94" t="s">
        <v>115</v>
      </c>
      <c r="B50" s="133">
        <f>B10+H10+N10</f>
        <v>8624.1299999999992</v>
      </c>
      <c r="C50" s="64"/>
      <c r="D50" s="11"/>
      <c r="E50" s="11"/>
      <c r="F50" s="11"/>
      <c r="G50" s="11"/>
      <c r="H50" s="11"/>
      <c r="I50" s="11"/>
      <c r="J50" s="11"/>
      <c r="K50" s="11"/>
      <c r="L50" s="11"/>
      <c r="M50" s="11"/>
      <c r="N50" s="11"/>
      <c r="O50" s="11"/>
      <c r="P50" s="11"/>
      <c r="Q50" s="11"/>
    </row>
    <row r="51" spans="1:17" ht="22" customHeight="1" x14ac:dyDescent="0.2">
      <c r="A51" s="94" t="s">
        <v>107</v>
      </c>
      <c r="B51" s="133">
        <f>B37</f>
        <v>9076.16</v>
      </c>
      <c r="C51" s="64"/>
      <c r="D51" s="11"/>
      <c r="E51" s="11"/>
      <c r="F51" s="11"/>
      <c r="G51" s="11"/>
      <c r="H51" s="11"/>
      <c r="I51" s="11"/>
      <c r="J51" s="11"/>
      <c r="K51" s="11"/>
      <c r="L51" s="11"/>
      <c r="M51" s="11"/>
      <c r="N51" s="11"/>
      <c r="O51" s="11"/>
      <c r="P51" s="11"/>
      <c r="Q51" s="11"/>
    </row>
    <row r="52" spans="1:17" ht="22" customHeight="1" x14ac:dyDescent="0.2">
      <c r="A52" s="92" t="s">
        <v>116</v>
      </c>
      <c r="B52" s="66">
        <f>14820-1089.48</f>
        <v>13730.52</v>
      </c>
      <c r="C52" s="64"/>
      <c r="D52" s="11"/>
      <c r="E52" s="11"/>
      <c r="F52" s="11"/>
      <c r="G52" s="11"/>
      <c r="H52" s="11"/>
      <c r="I52" s="11"/>
      <c r="J52" s="11"/>
      <c r="K52" s="11"/>
      <c r="L52" s="11"/>
      <c r="M52" s="11"/>
      <c r="N52" s="11"/>
      <c r="O52" s="11"/>
      <c r="P52" s="11"/>
      <c r="Q52" s="11"/>
    </row>
    <row r="53" spans="1:17" ht="22" customHeight="1" x14ac:dyDescent="0.2">
      <c r="A53" s="96"/>
      <c r="B53" s="88"/>
      <c r="C53" s="11"/>
      <c r="D53" s="11"/>
      <c r="E53" s="11"/>
      <c r="F53" s="11"/>
      <c r="G53" s="11"/>
      <c r="H53" s="11"/>
      <c r="I53" s="11"/>
      <c r="J53" s="11"/>
      <c r="K53" s="11"/>
      <c r="L53" s="11"/>
      <c r="M53" s="11"/>
      <c r="N53" s="11"/>
      <c r="O53" s="11"/>
      <c r="P53" s="11"/>
      <c r="Q53" s="11"/>
    </row>
    <row r="54" spans="1:17" ht="22" customHeight="1" x14ac:dyDescent="0.3">
      <c r="A54" s="156" t="s">
        <v>117</v>
      </c>
      <c r="B54" s="157">
        <f>B49-B50-B51+B52</f>
        <v>48849.05</v>
      </c>
      <c r="C54" s="76"/>
      <c r="D54" s="11"/>
      <c r="E54" s="11"/>
      <c r="F54" s="11"/>
      <c r="G54" s="11"/>
      <c r="H54" s="11"/>
      <c r="I54" s="11"/>
      <c r="J54" s="11"/>
      <c r="K54" s="11"/>
      <c r="L54" s="11"/>
      <c r="M54" s="11"/>
      <c r="N54" s="11"/>
      <c r="O54" s="11"/>
      <c r="P54" s="11"/>
      <c r="Q54" s="11"/>
    </row>
  </sheetData>
  <mergeCells count="9">
    <mergeCell ref="C34:D34"/>
    <mergeCell ref="A48:B48"/>
    <mergeCell ref="A1:E2"/>
    <mergeCell ref="G1:K2"/>
    <mergeCell ref="M1:Q2"/>
    <mergeCell ref="I15:K15"/>
    <mergeCell ref="O15:Q15"/>
    <mergeCell ref="A21:E22"/>
    <mergeCell ref="C33:D33"/>
  </mergeCells>
  <pageMargins left="1" right="1" top="1" bottom="1" header="0.25" footer="0.25"/>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79"/>
  <sheetViews>
    <sheetView showGridLines="0" topLeftCell="A5" workbookViewId="0">
      <selection activeCell="D24" sqref="D24"/>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7" width="16.5" style="5" customWidth="1"/>
    <col min="8" max="18" width="12.25" style="5" customWidth="1"/>
    <col min="19" max="16384" width="12.25" style="5"/>
  </cols>
  <sheetData>
    <row r="1" spans="1:17" ht="22.25" customHeight="1" x14ac:dyDescent="0.25">
      <c r="A1" s="19" t="s">
        <v>16</v>
      </c>
      <c r="B1" s="10"/>
      <c r="C1" s="11"/>
      <c r="D1" s="11"/>
      <c r="E1" s="11"/>
      <c r="F1" s="11"/>
      <c r="G1" s="11"/>
      <c r="H1" s="11"/>
      <c r="I1" s="11"/>
      <c r="J1" s="11"/>
      <c r="K1" s="11"/>
      <c r="L1" s="11"/>
      <c r="M1" s="11"/>
      <c r="N1" s="11"/>
      <c r="O1" s="11"/>
      <c r="P1" s="11"/>
      <c r="Q1" s="11"/>
    </row>
    <row r="2" spans="1:17" ht="22.25" customHeight="1" x14ac:dyDescent="0.2">
      <c r="A2" s="9" t="s">
        <v>17</v>
      </c>
      <c r="B2" s="100">
        <f>B35</f>
        <v>208.92</v>
      </c>
      <c r="C2" s="11"/>
      <c r="D2" s="11"/>
      <c r="E2" s="11"/>
      <c r="F2" s="11"/>
      <c r="G2" s="11"/>
      <c r="H2" s="11"/>
      <c r="I2" s="11"/>
      <c r="J2" s="11"/>
      <c r="K2" s="11"/>
      <c r="L2" s="11"/>
      <c r="M2" s="11"/>
      <c r="N2" s="11"/>
      <c r="O2" s="11"/>
      <c r="P2" s="11"/>
      <c r="Q2" s="11"/>
    </row>
    <row r="3" spans="1:17" ht="22.25" customHeight="1" x14ac:dyDescent="0.2">
      <c r="A3" s="9" t="s">
        <v>19</v>
      </c>
      <c r="B3" s="100">
        <f>B38</f>
        <v>1553.8999999999996</v>
      </c>
      <c r="C3" s="11"/>
      <c r="D3" s="11"/>
      <c r="E3" s="11"/>
      <c r="F3" s="11"/>
      <c r="G3" s="11"/>
      <c r="H3" s="11"/>
      <c r="I3" s="11"/>
      <c r="J3" s="11"/>
      <c r="K3" s="11"/>
      <c r="L3" s="11"/>
      <c r="M3" s="11"/>
      <c r="N3" s="11"/>
      <c r="O3" s="11"/>
      <c r="P3" s="11"/>
      <c r="Q3" s="11"/>
    </row>
    <row r="4" spans="1:17" ht="22.25" customHeight="1" x14ac:dyDescent="0.2">
      <c r="A4" s="12" t="s">
        <v>60</v>
      </c>
      <c r="B4" s="101">
        <v>331.67</v>
      </c>
      <c r="C4" s="11"/>
      <c r="D4" s="11"/>
      <c r="E4" s="11"/>
      <c r="F4" s="11"/>
      <c r="G4" s="11"/>
      <c r="H4" s="11"/>
      <c r="I4" s="11"/>
      <c r="J4" s="11"/>
      <c r="K4" s="11"/>
      <c r="L4" s="11"/>
      <c r="M4" s="11"/>
      <c r="N4" s="11"/>
      <c r="O4" s="11"/>
      <c r="P4" s="11"/>
      <c r="Q4" s="11"/>
    </row>
    <row r="5" spans="1:17" ht="22.25" customHeight="1" x14ac:dyDescent="0.2">
      <c r="A5" s="147" t="s">
        <v>21</v>
      </c>
      <c r="B5" s="102">
        <f>SUM(B2:B4)</f>
        <v>2094.4899999999998</v>
      </c>
      <c r="C5" s="22" t="s">
        <v>18</v>
      </c>
      <c r="D5" s="11"/>
      <c r="E5" s="11"/>
      <c r="F5" s="11"/>
      <c r="G5" s="11"/>
      <c r="H5" s="11"/>
      <c r="I5" s="11"/>
      <c r="J5" s="11"/>
      <c r="K5" s="11"/>
      <c r="L5" s="11"/>
      <c r="M5" s="11"/>
      <c r="N5" s="11"/>
      <c r="O5" s="11"/>
      <c r="P5" s="11"/>
      <c r="Q5" s="11"/>
    </row>
    <row r="6" spans="1:17" ht="22.25" customHeight="1" x14ac:dyDescent="0.2">
      <c r="A6" s="17"/>
      <c r="B6" s="18"/>
      <c r="C6" s="11"/>
      <c r="D6" s="11"/>
      <c r="E6" s="11"/>
      <c r="F6" s="11"/>
      <c r="G6" s="11"/>
      <c r="H6" s="11"/>
      <c r="I6" s="11"/>
      <c r="J6" s="11"/>
      <c r="K6" s="11"/>
      <c r="L6" s="11"/>
      <c r="M6" s="11"/>
      <c r="N6" s="11"/>
      <c r="O6" s="11"/>
      <c r="P6" s="11"/>
      <c r="Q6" s="11"/>
    </row>
    <row r="7" spans="1:17" ht="22.25" customHeight="1" x14ac:dyDescent="0.2">
      <c r="A7" s="11"/>
      <c r="B7" s="10"/>
      <c r="C7" s="11"/>
      <c r="D7" s="11"/>
      <c r="E7" s="11"/>
      <c r="F7" s="11"/>
      <c r="G7" s="11"/>
      <c r="H7" s="11"/>
      <c r="I7" s="11"/>
      <c r="J7" s="11"/>
      <c r="K7" s="11"/>
      <c r="L7" s="11"/>
      <c r="M7" s="11"/>
      <c r="N7" s="11"/>
      <c r="O7" s="11"/>
      <c r="P7" s="11"/>
      <c r="Q7" s="11"/>
    </row>
    <row r="8" spans="1:17" ht="22.25" customHeight="1" x14ac:dyDescent="0.25">
      <c r="A8" s="19" t="s">
        <v>25</v>
      </c>
      <c r="B8" s="10"/>
      <c r="C8" s="11"/>
      <c r="D8" s="11"/>
      <c r="E8" s="158" t="s">
        <v>202</v>
      </c>
      <c r="F8" s="158" t="s">
        <v>203</v>
      </c>
      <c r="G8" s="158" t="s">
        <v>204</v>
      </c>
      <c r="H8" s="11"/>
      <c r="I8" s="11"/>
      <c r="J8" s="11"/>
      <c r="K8" s="11"/>
      <c r="L8" s="11"/>
      <c r="M8" s="11"/>
      <c r="N8" s="11"/>
      <c r="O8" s="11"/>
      <c r="P8" s="11"/>
      <c r="Q8" s="11"/>
    </row>
    <row r="9" spans="1:17" ht="22.25" customHeight="1" x14ac:dyDescent="0.2">
      <c r="A9" s="9" t="s">
        <v>28</v>
      </c>
      <c r="B9" s="100">
        <f>B43</f>
        <v>41.58</v>
      </c>
      <c r="C9" s="9" t="s">
        <v>29</v>
      </c>
      <c r="D9" s="11"/>
      <c r="E9" s="159">
        <f>SUM(B13:B20)</f>
        <v>1007.8579999999998</v>
      </c>
      <c r="F9" s="160">
        <f>B11+B21</f>
        <v>790.2</v>
      </c>
      <c r="G9" s="160">
        <f>B9+B10+B12</f>
        <v>153.41399999999999</v>
      </c>
      <c r="H9" s="11"/>
      <c r="I9" s="11"/>
      <c r="J9" s="11"/>
      <c r="K9" s="11"/>
      <c r="L9" s="11"/>
      <c r="M9" s="11"/>
      <c r="N9" s="11"/>
      <c r="O9" s="11"/>
      <c r="P9" s="11"/>
      <c r="Q9" s="11"/>
    </row>
    <row r="10" spans="1:17" ht="22.25" customHeight="1" x14ac:dyDescent="0.2">
      <c r="A10" s="9" t="s">
        <v>30</v>
      </c>
      <c r="B10" s="100">
        <f>B48</f>
        <v>60.234000000000009</v>
      </c>
      <c r="C10" s="9" t="s">
        <v>29</v>
      </c>
      <c r="D10" s="11"/>
      <c r="E10" s="11"/>
      <c r="F10" s="11"/>
      <c r="G10" s="11"/>
      <c r="H10" s="11"/>
      <c r="I10" s="11"/>
      <c r="J10" s="11"/>
      <c r="K10" s="11"/>
      <c r="L10" s="11"/>
      <c r="M10" s="11"/>
      <c r="N10" s="11"/>
      <c r="O10" s="11"/>
      <c r="P10" s="11"/>
      <c r="Q10" s="11"/>
    </row>
    <row r="11" spans="1:17" ht="22.25" customHeight="1" x14ac:dyDescent="0.2">
      <c r="A11" s="9" t="s">
        <v>31</v>
      </c>
      <c r="B11" s="100">
        <f>B53</f>
        <v>767.12</v>
      </c>
      <c r="C11" s="9" t="s">
        <v>62</v>
      </c>
      <c r="D11" s="11"/>
      <c r="E11" s="11"/>
      <c r="F11" s="11"/>
      <c r="G11" s="11"/>
      <c r="H11" s="11"/>
      <c r="I11" s="11"/>
      <c r="J11" s="11"/>
      <c r="K11" s="11"/>
      <c r="L11" s="11"/>
      <c r="M11" s="11"/>
      <c r="N11" s="11"/>
      <c r="O11" s="11"/>
      <c r="P11" s="11"/>
      <c r="Q11" s="11"/>
    </row>
    <row r="12" spans="1:17" ht="22.25" customHeight="1" x14ac:dyDescent="0.2">
      <c r="A12" s="9" t="s">
        <v>118</v>
      </c>
      <c r="B12" s="103">
        <f>B57</f>
        <v>51.599999999999994</v>
      </c>
      <c r="C12" s="9" t="s">
        <v>29</v>
      </c>
      <c r="D12" s="11"/>
      <c r="E12" s="100"/>
      <c r="F12" s="11"/>
      <c r="G12" s="11"/>
      <c r="H12" s="11"/>
      <c r="I12" s="11"/>
      <c r="J12" s="11"/>
      <c r="K12" s="11"/>
      <c r="L12" s="11"/>
      <c r="M12" s="11"/>
      <c r="N12" s="11"/>
      <c r="O12" s="11"/>
      <c r="P12" s="11"/>
      <c r="Q12" s="11"/>
    </row>
    <row r="13" spans="1:17" ht="22.25" customHeight="1" x14ac:dyDescent="0.2">
      <c r="A13" s="9" t="s">
        <v>120</v>
      </c>
      <c r="B13" s="100">
        <f>B67</f>
        <v>45.09</v>
      </c>
      <c r="C13" s="9" t="s">
        <v>33</v>
      </c>
      <c r="D13" s="11"/>
      <c r="E13" s="11"/>
      <c r="F13" s="11"/>
      <c r="G13" s="11"/>
      <c r="H13" s="11"/>
      <c r="I13" s="11"/>
      <c r="J13" s="11"/>
      <c r="K13" s="11"/>
      <c r="L13" s="11"/>
      <c r="M13" s="11"/>
      <c r="N13" s="11"/>
      <c r="O13" s="11"/>
      <c r="P13" s="11"/>
      <c r="Q13" s="11"/>
    </row>
    <row r="14" spans="1:17" ht="22.25" customHeight="1" x14ac:dyDescent="0.2">
      <c r="A14" s="9" t="s">
        <v>222</v>
      </c>
      <c r="B14" s="100">
        <f>B77</f>
        <v>63.92</v>
      </c>
      <c r="C14" s="9" t="s">
        <v>33</v>
      </c>
      <c r="D14" s="11"/>
      <c r="E14" s="100"/>
      <c r="F14" s="11"/>
      <c r="G14" s="11"/>
      <c r="H14" s="11"/>
      <c r="I14" s="11"/>
      <c r="J14" s="11"/>
      <c r="K14" s="11"/>
      <c r="L14" s="11"/>
      <c r="M14" s="11"/>
      <c r="N14" s="11"/>
      <c r="O14" s="11"/>
      <c r="P14" s="11"/>
      <c r="Q14" s="11"/>
    </row>
    <row r="15" spans="1:17" ht="22.25" customHeight="1" x14ac:dyDescent="0.2">
      <c r="A15" s="9" t="s">
        <v>121</v>
      </c>
      <c r="B15" s="100">
        <f>419.4*0.6</f>
        <v>251.64</v>
      </c>
      <c r="C15" s="9" t="s">
        <v>33</v>
      </c>
      <c r="D15" s="11"/>
      <c r="E15" s="11"/>
      <c r="F15" s="11"/>
      <c r="G15" s="11"/>
      <c r="H15" s="11"/>
      <c r="I15" s="11"/>
      <c r="J15" s="11"/>
      <c r="K15" s="11"/>
      <c r="L15" s="11"/>
      <c r="M15" s="11"/>
      <c r="N15" s="11"/>
      <c r="O15" s="11"/>
      <c r="P15" s="11"/>
      <c r="Q15" s="11"/>
    </row>
    <row r="16" spans="1:17" ht="22.25" customHeight="1" x14ac:dyDescent="0.2">
      <c r="A16" s="9" t="s">
        <v>223</v>
      </c>
      <c r="B16" s="100">
        <f>723.3*0.6</f>
        <v>433.97999999999996</v>
      </c>
      <c r="C16" s="9" t="s">
        <v>33</v>
      </c>
      <c r="D16" s="11"/>
      <c r="E16" s="11"/>
      <c r="F16" s="11"/>
      <c r="G16" s="11"/>
      <c r="H16" s="11"/>
      <c r="I16" s="11"/>
      <c r="J16" s="11"/>
      <c r="K16" s="11"/>
      <c r="L16" s="11"/>
      <c r="M16" s="11"/>
      <c r="N16" s="11"/>
      <c r="O16" s="11"/>
      <c r="P16" s="11"/>
      <c r="Q16" s="11"/>
    </row>
    <row r="17" spans="1:17" ht="22.25" customHeight="1" x14ac:dyDescent="0.2">
      <c r="A17" s="9" t="s">
        <v>224</v>
      </c>
      <c r="B17" s="100">
        <f>98.4*0.6</f>
        <v>59.04</v>
      </c>
      <c r="C17" s="9" t="s">
        <v>33</v>
      </c>
      <c r="D17" s="11"/>
      <c r="E17" s="11"/>
      <c r="F17" s="11"/>
      <c r="G17" s="11"/>
      <c r="H17" s="11"/>
      <c r="I17" s="11"/>
      <c r="J17" s="11"/>
      <c r="K17" s="11"/>
      <c r="L17" s="11"/>
      <c r="M17" s="11"/>
      <c r="N17" s="11"/>
      <c r="O17" s="11"/>
      <c r="P17" s="11"/>
      <c r="Q17" s="11"/>
    </row>
    <row r="18" spans="1:17" ht="22.25" customHeight="1" x14ac:dyDescent="0.2">
      <c r="A18" s="9" t="s">
        <v>225</v>
      </c>
      <c r="B18" s="100">
        <f>204*0.6</f>
        <v>122.39999999999999</v>
      </c>
      <c r="C18" s="9" t="s">
        <v>33</v>
      </c>
      <c r="D18" s="11"/>
      <c r="E18" s="11"/>
      <c r="F18" s="11"/>
      <c r="G18" s="11"/>
      <c r="H18" s="11"/>
      <c r="I18" s="11"/>
      <c r="J18" s="11"/>
      <c r="K18" s="11"/>
      <c r="L18" s="11"/>
      <c r="M18" s="11"/>
      <c r="N18" s="11"/>
      <c r="O18" s="11"/>
      <c r="P18" s="11"/>
      <c r="Q18" s="11"/>
    </row>
    <row r="19" spans="1:17" ht="22.25" customHeight="1" x14ac:dyDescent="0.2">
      <c r="A19" s="9" t="s">
        <v>226</v>
      </c>
      <c r="B19" s="100">
        <f>39.99*0.6</f>
        <v>23.994</v>
      </c>
      <c r="C19" s="9" t="s">
        <v>33</v>
      </c>
      <c r="D19" s="11"/>
      <c r="E19" s="11"/>
      <c r="F19" s="11"/>
      <c r="G19" s="11"/>
      <c r="H19" s="11"/>
      <c r="I19" s="11"/>
      <c r="J19" s="11"/>
      <c r="K19" s="11"/>
      <c r="L19" s="11"/>
      <c r="M19" s="11"/>
      <c r="N19" s="11"/>
      <c r="O19" s="11"/>
      <c r="P19" s="11"/>
      <c r="Q19" s="11"/>
    </row>
    <row r="20" spans="1:17" ht="22.25" customHeight="1" x14ac:dyDescent="0.2">
      <c r="A20" s="9" t="s">
        <v>227</v>
      </c>
      <c r="B20" s="100">
        <f>12.99*0.6</f>
        <v>7.7939999999999996</v>
      </c>
      <c r="C20" s="9" t="s">
        <v>33</v>
      </c>
      <c r="D20" s="11"/>
      <c r="E20" s="11"/>
      <c r="F20" s="11"/>
      <c r="G20" s="11"/>
      <c r="H20" s="11"/>
      <c r="I20" s="11"/>
      <c r="J20" s="11"/>
      <c r="K20" s="11"/>
      <c r="L20" s="11"/>
      <c r="M20" s="11"/>
      <c r="N20" s="11"/>
      <c r="O20" s="11"/>
      <c r="P20" s="11"/>
      <c r="Q20" s="11"/>
    </row>
    <row r="21" spans="1:17" ht="22.25" customHeight="1" x14ac:dyDescent="0.2">
      <c r="A21" s="12" t="s">
        <v>206</v>
      </c>
      <c r="B21" s="101">
        <v>23.08</v>
      </c>
      <c r="C21" s="9" t="s">
        <v>62</v>
      </c>
      <c r="D21" s="11"/>
      <c r="E21" s="11"/>
      <c r="F21" s="11"/>
      <c r="G21" s="11"/>
      <c r="H21" s="11"/>
      <c r="I21" s="11"/>
      <c r="J21" s="11"/>
      <c r="K21" s="11"/>
      <c r="L21" s="11"/>
      <c r="M21" s="11"/>
      <c r="N21" s="11"/>
      <c r="O21" s="11"/>
      <c r="P21" s="11"/>
      <c r="Q21" s="11"/>
    </row>
    <row r="22" spans="1:17" ht="22.25" customHeight="1" x14ac:dyDescent="0.2">
      <c r="A22" s="147" t="s">
        <v>21</v>
      </c>
      <c r="B22" s="102">
        <f>SUM(B9:B21)</f>
        <v>1951.4720000000002</v>
      </c>
      <c r="C22" s="16"/>
      <c r="D22" s="11"/>
      <c r="E22" s="11"/>
      <c r="F22" s="11"/>
      <c r="G22" s="11"/>
      <c r="H22" s="11"/>
      <c r="I22" s="11"/>
      <c r="J22" s="11"/>
      <c r="K22" s="11"/>
      <c r="L22" s="11"/>
      <c r="M22" s="11"/>
      <c r="N22" s="11"/>
      <c r="O22" s="11"/>
      <c r="P22" s="11"/>
      <c r="Q22" s="11"/>
    </row>
    <row r="23" spans="1:17" ht="22.25" customHeight="1" x14ac:dyDescent="0.2">
      <c r="A23" s="17"/>
      <c r="B23" s="17"/>
      <c r="C23" s="11"/>
      <c r="D23" s="11"/>
      <c r="E23" s="11"/>
      <c r="F23" s="11"/>
      <c r="G23" s="11"/>
      <c r="H23" s="11"/>
      <c r="I23" s="11"/>
      <c r="J23" s="11"/>
      <c r="K23" s="11"/>
      <c r="L23" s="11"/>
      <c r="M23" s="11"/>
      <c r="N23" s="11"/>
      <c r="O23" s="11"/>
      <c r="P23" s="11"/>
      <c r="Q23" s="11"/>
    </row>
    <row r="24" spans="1:17" ht="22.25" customHeight="1" x14ac:dyDescent="0.2">
      <c r="A24" s="105"/>
      <c r="B24" s="101"/>
      <c r="C24" s="11"/>
      <c r="D24" s="11"/>
      <c r="E24" s="11"/>
      <c r="F24" s="11"/>
      <c r="G24" s="11"/>
      <c r="H24" s="11"/>
      <c r="I24" s="11"/>
      <c r="J24" s="11"/>
      <c r="K24" s="11"/>
      <c r="L24" s="11"/>
      <c r="M24" s="11"/>
      <c r="N24" s="11"/>
      <c r="O24" s="11"/>
      <c r="P24" s="11"/>
      <c r="Q24" s="11"/>
    </row>
    <row r="25" spans="1:17" ht="22.25" customHeight="1" x14ac:dyDescent="0.2">
      <c r="A25" s="147" t="s">
        <v>66</v>
      </c>
      <c r="B25" s="21">
        <v>3087.52</v>
      </c>
      <c r="C25" s="22" t="s">
        <v>67</v>
      </c>
      <c r="D25" s="11"/>
      <c r="E25" s="11"/>
      <c r="F25" s="11"/>
      <c r="G25" s="11"/>
      <c r="H25" s="11"/>
      <c r="I25" s="11"/>
      <c r="J25" s="11"/>
      <c r="K25" s="11"/>
      <c r="L25" s="11"/>
      <c r="M25" s="11"/>
      <c r="N25" s="11"/>
      <c r="O25" s="11"/>
      <c r="P25" s="11"/>
      <c r="Q25" s="11"/>
    </row>
    <row r="26" spans="1:17" ht="22.25" customHeight="1" x14ac:dyDescent="0.2">
      <c r="A26" s="17"/>
      <c r="B26" s="108"/>
      <c r="C26" s="11"/>
      <c r="D26" s="11"/>
      <c r="E26" s="11"/>
      <c r="F26" s="11"/>
      <c r="G26" s="11"/>
      <c r="H26" s="11"/>
      <c r="I26" s="11"/>
      <c r="J26" s="11"/>
      <c r="K26" s="11"/>
      <c r="L26" s="11"/>
      <c r="M26" s="11"/>
      <c r="N26" s="11"/>
      <c r="O26" s="11"/>
      <c r="P26" s="11"/>
      <c r="Q26" s="11"/>
    </row>
    <row r="27" spans="1:17" ht="22.25" customHeight="1" x14ac:dyDescent="0.25">
      <c r="A27" s="19" t="s">
        <v>34</v>
      </c>
      <c r="B27" s="101"/>
      <c r="C27" s="11"/>
      <c r="D27" s="11"/>
      <c r="E27" s="11"/>
      <c r="F27" s="11"/>
      <c r="G27" s="11"/>
      <c r="H27" s="11"/>
      <c r="I27" s="11"/>
      <c r="J27" s="11"/>
      <c r="K27" s="11"/>
      <c r="L27" s="11"/>
      <c r="M27" s="11"/>
      <c r="N27" s="11"/>
      <c r="O27" s="11"/>
      <c r="P27" s="11"/>
      <c r="Q27" s="11"/>
    </row>
    <row r="28" spans="1:17" ht="22.25" customHeight="1" x14ac:dyDescent="0.2">
      <c r="A28" s="25" t="s">
        <v>35</v>
      </c>
      <c r="B28" s="109">
        <f>225+450+375</f>
        <v>1050</v>
      </c>
      <c r="C28" s="16"/>
      <c r="D28" s="11"/>
      <c r="E28" s="11"/>
      <c r="F28" s="11"/>
      <c r="G28" s="11"/>
      <c r="H28" s="11"/>
      <c r="I28" s="11"/>
      <c r="J28" s="11"/>
      <c r="K28" s="11"/>
      <c r="L28" s="11"/>
      <c r="M28" s="11"/>
      <c r="N28" s="11"/>
      <c r="O28" s="11"/>
      <c r="P28" s="11"/>
      <c r="Q28" s="11"/>
    </row>
    <row r="29" spans="1:17" ht="22.25" customHeight="1" x14ac:dyDescent="0.2">
      <c r="A29" s="25" t="s">
        <v>36</v>
      </c>
      <c r="B29" s="109">
        <v>39.479999999999997</v>
      </c>
      <c r="C29" s="16"/>
      <c r="D29" s="11"/>
      <c r="E29" s="11"/>
      <c r="F29" s="11"/>
      <c r="G29" s="11"/>
      <c r="H29" s="11"/>
      <c r="I29" s="11"/>
      <c r="J29" s="11"/>
      <c r="K29" s="11"/>
      <c r="L29" s="11"/>
      <c r="M29" s="11"/>
      <c r="N29" s="11"/>
      <c r="O29" s="11"/>
      <c r="P29" s="11"/>
      <c r="Q29" s="11"/>
    </row>
    <row r="30" spans="1:17" ht="22.25" customHeight="1" x14ac:dyDescent="0.2">
      <c r="A30" s="11"/>
      <c r="B30" s="17"/>
      <c r="C30" s="11"/>
      <c r="D30" s="11"/>
      <c r="E30" s="11"/>
      <c r="F30" s="11"/>
      <c r="G30" s="11"/>
      <c r="H30" s="11"/>
      <c r="I30" s="11"/>
      <c r="J30" s="11"/>
      <c r="K30" s="11"/>
      <c r="L30" s="11"/>
      <c r="M30" s="11"/>
      <c r="N30" s="11"/>
      <c r="O30" s="11"/>
      <c r="P30" s="11"/>
      <c r="Q30" s="11"/>
    </row>
    <row r="31" spans="1:17" ht="22.25" customHeight="1" x14ac:dyDescent="0.2">
      <c r="A31" s="11"/>
      <c r="B31" s="10"/>
      <c r="C31" s="11"/>
      <c r="D31" s="11"/>
      <c r="E31" s="11"/>
      <c r="F31" s="11"/>
      <c r="G31" s="11"/>
      <c r="H31" s="11"/>
      <c r="I31" s="11"/>
      <c r="J31" s="11"/>
      <c r="K31" s="11"/>
      <c r="L31" s="11"/>
      <c r="M31" s="11"/>
      <c r="N31" s="11"/>
      <c r="O31" s="11"/>
      <c r="P31" s="11"/>
      <c r="Q31" s="11"/>
    </row>
    <row r="32" spans="1:17" ht="22.25" customHeight="1" x14ac:dyDescent="0.25">
      <c r="A32" s="19" t="s">
        <v>37</v>
      </c>
      <c r="B32" s="10"/>
      <c r="C32" s="11"/>
      <c r="D32" s="11"/>
      <c r="E32" s="11"/>
      <c r="F32" s="11"/>
      <c r="G32" s="11"/>
      <c r="H32" s="11"/>
      <c r="I32" s="11"/>
      <c r="J32" s="11"/>
      <c r="K32" s="11"/>
      <c r="L32" s="11"/>
      <c r="M32" s="11"/>
      <c r="N32" s="11"/>
      <c r="O32" s="11"/>
      <c r="P32" s="11"/>
      <c r="Q32" s="11"/>
    </row>
    <row r="33" spans="1:17" ht="22.25" customHeight="1" x14ac:dyDescent="0.2">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row>
    <row r="34" spans="1:17" ht="22.25" customHeight="1" x14ac:dyDescent="0.2">
      <c r="A34" s="9" t="s">
        <v>17</v>
      </c>
      <c r="B34" s="110">
        <v>17.41</v>
      </c>
      <c r="C34" s="100">
        <v>17.41</v>
      </c>
      <c r="D34" s="100">
        <v>17.41</v>
      </c>
      <c r="E34" s="100">
        <v>17.41</v>
      </c>
      <c r="F34" s="100">
        <v>17.41</v>
      </c>
      <c r="G34" s="100">
        <v>17.41</v>
      </c>
      <c r="H34" s="100">
        <v>17.41</v>
      </c>
      <c r="I34" s="100">
        <v>17.41</v>
      </c>
      <c r="J34" s="100">
        <v>17.41</v>
      </c>
      <c r="K34" s="100">
        <v>17.41</v>
      </c>
      <c r="L34" s="100">
        <v>17.41</v>
      </c>
      <c r="M34" s="100">
        <v>17.41</v>
      </c>
      <c r="N34" s="11"/>
      <c r="O34" s="11"/>
      <c r="P34" s="11"/>
      <c r="Q34" s="11"/>
    </row>
    <row r="35" spans="1:17" ht="22.25" customHeight="1" x14ac:dyDescent="0.25">
      <c r="A35" s="28" t="s">
        <v>59</v>
      </c>
      <c r="B35" s="161">
        <f>SUM(B34:M34)</f>
        <v>208.92</v>
      </c>
      <c r="C35" s="112"/>
      <c r="D35" s="100"/>
      <c r="E35" s="100"/>
      <c r="F35" s="100"/>
      <c r="G35" s="100"/>
      <c r="H35" s="100"/>
      <c r="I35" s="100"/>
      <c r="J35" s="100"/>
      <c r="K35" s="100"/>
      <c r="L35" s="100"/>
      <c r="M35" s="100"/>
      <c r="N35" s="11"/>
      <c r="O35" s="11"/>
      <c r="P35" s="11"/>
      <c r="Q35" s="11"/>
    </row>
    <row r="36" spans="1:17" ht="22.25" customHeight="1" x14ac:dyDescent="0.2">
      <c r="A36" s="11"/>
      <c r="B36" s="162" t="s">
        <v>38</v>
      </c>
      <c r="C36" s="158" t="s">
        <v>39</v>
      </c>
      <c r="D36" s="158" t="s">
        <v>40</v>
      </c>
      <c r="E36" s="158" t="s">
        <v>41</v>
      </c>
      <c r="F36" s="158" t="s">
        <v>42</v>
      </c>
      <c r="G36" s="158" t="s">
        <v>43</v>
      </c>
      <c r="H36" s="158" t="s">
        <v>44</v>
      </c>
      <c r="I36" s="158" t="s">
        <v>45</v>
      </c>
      <c r="J36" s="158" t="s">
        <v>46</v>
      </c>
      <c r="K36" s="158" t="s">
        <v>47</v>
      </c>
      <c r="L36" s="158" t="s">
        <v>48</v>
      </c>
      <c r="M36" s="158" t="s">
        <v>49</v>
      </c>
      <c r="N36" s="11"/>
      <c r="O36" s="11"/>
      <c r="P36" s="11"/>
      <c r="Q36" s="11"/>
    </row>
    <row r="37" spans="1:17" ht="22.25" customHeight="1" x14ac:dyDescent="0.2">
      <c r="A37" s="9" t="s">
        <v>19</v>
      </c>
      <c r="B37" s="110">
        <v>126.54</v>
      </c>
      <c r="C37" s="100">
        <v>126.54</v>
      </c>
      <c r="D37" s="100">
        <v>126.54</v>
      </c>
      <c r="E37" s="100">
        <v>126.54</v>
      </c>
      <c r="F37" s="100">
        <v>126.54</v>
      </c>
      <c r="G37" s="100">
        <v>131.6</v>
      </c>
      <c r="H37" s="100">
        <v>131.6</v>
      </c>
      <c r="I37" s="100">
        <v>131.6</v>
      </c>
      <c r="J37" s="100">
        <v>131.6</v>
      </c>
      <c r="K37" s="100">
        <v>131.6</v>
      </c>
      <c r="L37" s="100">
        <v>131.6</v>
      </c>
      <c r="M37" s="100">
        <v>131.6</v>
      </c>
      <c r="N37" s="11"/>
      <c r="O37" s="11"/>
      <c r="P37" s="11"/>
      <c r="Q37" s="11"/>
    </row>
    <row r="38" spans="1:17" ht="22.25" customHeight="1" x14ac:dyDescent="0.25">
      <c r="A38" s="28" t="s">
        <v>59</v>
      </c>
      <c r="B38" s="161">
        <f>SUM(B37:M37)</f>
        <v>1553.8999999999996</v>
      </c>
      <c r="C38" s="112"/>
      <c r="D38" s="100"/>
      <c r="E38" s="100"/>
      <c r="F38" s="100"/>
      <c r="G38" s="100"/>
      <c r="H38" s="100"/>
      <c r="I38" s="100"/>
      <c r="J38" s="100"/>
      <c r="K38" s="100"/>
      <c r="L38" s="100"/>
      <c r="M38" s="100"/>
      <c r="N38" s="11"/>
      <c r="O38" s="11"/>
      <c r="P38" s="11"/>
      <c r="Q38" s="11"/>
    </row>
    <row r="39" spans="1:17" ht="22.25" customHeight="1" x14ac:dyDescent="0.2">
      <c r="A39" s="11"/>
      <c r="B39" s="32"/>
      <c r="C39" s="10"/>
      <c r="D39" s="10"/>
      <c r="E39" s="10"/>
      <c r="F39" s="10"/>
      <c r="G39" s="10"/>
      <c r="H39" s="10"/>
      <c r="I39" s="10"/>
      <c r="J39" s="10"/>
      <c r="K39" s="10"/>
      <c r="L39" s="10"/>
      <c r="M39" s="10"/>
      <c r="N39" s="11"/>
      <c r="O39" s="11"/>
      <c r="P39" s="11"/>
      <c r="Q39" s="11"/>
    </row>
    <row r="40" spans="1:17" ht="22.25" customHeight="1" x14ac:dyDescent="0.2">
      <c r="A40" s="9" t="s">
        <v>228</v>
      </c>
      <c r="B40" s="20">
        <f>2*44.65</f>
        <v>89.3</v>
      </c>
      <c r="C40" s="11"/>
      <c r="D40" s="11"/>
      <c r="E40" s="11"/>
      <c r="F40" s="11"/>
      <c r="G40" s="11"/>
      <c r="H40" s="11"/>
      <c r="I40" s="11"/>
      <c r="J40" s="11"/>
      <c r="K40" s="11"/>
      <c r="L40" s="11"/>
      <c r="M40" s="11"/>
      <c r="N40" s="11"/>
      <c r="O40" s="11"/>
      <c r="P40" s="11"/>
      <c r="Q40" s="11"/>
    </row>
    <row r="41" spans="1:17" ht="22.25" customHeight="1" x14ac:dyDescent="0.2">
      <c r="A41" s="9" t="s">
        <v>125</v>
      </c>
      <c r="B41" s="100">
        <f>32.9+1.75</f>
        <v>34.65</v>
      </c>
      <c r="C41" s="11"/>
      <c r="D41" s="11"/>
      <c r="E41" s="11"/>
      <c r="F41" s="11"/>
      <c r="G41" s="11"/>
      <c r="H41" s="11"/>
      <c r="I41" s="11"/>
      <c r="J41" s="11"/>
      <c r="K41" s="11"/>
      <c r="L41" s="11"/>
      <c r="M41" s="11"/>
      <c r="N41" s="11"/>
      <c r="O41" s="11"/>
      <c r="P41" s="11"/>
      <c r="Q41" s="11"/>
    </row>
    <row r="42" spans="1:17" ht="22.25" customHeight="1" x14ac:dyDescent="0.2">
      <c r="A42" s="9" t="s">
        <v>229</v>
      </c>
      <c r="B42" s="110">
        <f>2*B41</f>
        <v>69.3</v>
      </c>
      <c r="C42" s="11"/>
      <c r="D42" s="11"/>
      <c r="E42" s="11"/>
      <c r="F42" s="11"/>
      <c r="G42" s="11"/>
      <c r="H42" s="11"/>
      <c r="I42" s="11"/>
      <c r="J42" s="11"/>
      <c r="K42" s="11"/>
      <c r="L42" s="11"/>
      <c r="M42" s="11"/>
      <c r="N42" s="11"/>
      <c r="O42" s="11"/>
      <c r="P42" s="11"/>
      <c r="Q42" s="11"/>
    </row>
    <row r="43" spans="1:17" ht="22.25" customHeight="1" x14ac:dyDescent="0.25">
      <c r="A43" s="28" t="s">
        <v>54</v>
      </c>
      <c r="B43" s="161">
        <f>0.6*B42</f>
        <v>41.58</v>
      </c>
      <c r="C43" s="33"/>
      <c r="D43" s="11"/>
      <c r="E43" s="11"/>
      <c r="F43" s="11"/>
      <c r="G43" s="11"/>
      <c r="H43" s="11"/>
      <c r="I43" s="11"/>
      <c r="J43" s="11"/>
      <c r="K43" s="11"/>
      <c r="L43" s="11"/>
      <c r="M43" s="11"/>
      <c r="N43" s="11"/>
      <c r="O43" s="11"/>
      <c r="P43" s="11"/>
      <c r="Q43" s="11"/>
    </row>
    <row r="44" spans="1:17" ht="22.25" customHeight="1" x14ac:dyDescent="0.2">
      <c r="A44" s="11"/>
      <c r="B44" s="113"/>
      <c r="C44" s="11"/>
      <c r="D44" s="11"/>
      <c r="E44" s="11"/>
      <c r="F44" s="11"/>
      <c r="G44" s="11"/>
      <c r="H44" s="11"/>
      <c r="I44" s="11"/>
      <c r="J44" s="11"/>
      <c r="K44" s="11"/>
      <c r="L44" s="11"/>
      <c r="M44" s="11"/>
      <c r="N44" s="11"/>
      <c r="O44" s="11"/>
      <c r="P44" s="11"/>
      <c r="Q44" s="11"/>
    </row>
    <row r="45" spans="1:17" ht="22.25" customHeight="1" x14ac:dyDescent="0.2">
      <c r="A45" s="11"/>
      <c r="B45" s="158" t="s">
        <v>38</v>
      </c>
      <c r="C45" s="158" t="s">
        <v>39</v>
      </c>
      <c r="D45" s="158" t="s">
        <v>40</v>
      </c>
      <c r="E45" s="158" t="s">
        <v>41</v>
      </c>
      <c r="F45" s="158" t="s">
        <v>42</v>
      </c>
      <c r="G45" s="158" t="s">
        <v>43</v>
      </c>
      <c r="H45" s="158" t="s">
        <v>44</v>
      </c>
      <c r="I45" s="158" t="s">
        <v>45</v>
      </c>
      <c r="J45" s="158" t="s">
        <v>46</v>
      </c>
      <c r="K45" s="158" t="s">
        <v>47</v>
      </c>
      <c r="L45" s="158" t="s">
        <v>48</v>
      </c>
      <c r="M45" s="158" t="s">
        <v>49</v>
      </c>
      <c r="N45" s="11"/>
      <c r="O45" s="11"/>
      <c r="P45" s="11"/>
      <c r="Q45" s="11"/>
    </row>
    <row r="46" spans="1:17" ht="22.25" customHeight="1" x14ac:dyDescent="0.2">
      <c r="A46" s="9" t="s">
        <v>180</v>
      </c>
      <c r="B46" s="100">
        <v>7.9</v>
      </c>
      <c r="C46" s="100">
        <v>9.49</v>
      </c>
      <c r="D46" s="100">
        <v>7.9</v>
      </c>
      <c r="E46" s="100">
        <v>7.9</v>
      </c>
      <c r="F46" s="100">
        <v>7.9</v>
      </c>
      <c r="G46" s="100">
        <v>7.9</v>
      </c>
      <c r="H46" s="100">
        <v>7.9</v>
      </c>
      <c r="I46" s="100">
        <v>8.9</v>
      </c>
      <c r="J46" s="100">
        <v>7.9</v>
      </c>
      <c r="K46" s="100">
        <v>7.9</v>
      </c>
      <c r="L46" s="100">
        <v>7.9</v>
      </c>
      <c r="M46" s="100">
        <v>10.9</v>
      </c>
      <c r="N46" s="11"/>
      <c r="O46" s="11"/>
      <c r="P46" s="11"/>
      <c r="Q46" s="11"/>
    </row>
    <row r="47" spans="1:17" ht="22.25" customHeight="1" x14ac:dyDescent="0.2">
      <c r="A47" s="9" t="s">
        <v>59</v>
      </c>
      <c r="B47" s="110">
        <f>SUM(B46:M46)</f>
        <v>100.39000000000001</v>
      </c>
      <c r="C47" s="100"/>
      <c r="D47" s="100"/>
      <c r="E47" s="100"/>
      <c r="F47" s="100"/>
      <c r="G47" s="100"/>
      <c r="H47" s="100"/>
      <c r="I47" s="100"/>
      <c r="J47" s="100"/>
      <c r="K47" s="100"/>
      <c r="L47" s="100"/>
      <c r="M47" s="100"/>
      <c r="N47" s="11"/>
      <c r="O47" s="11"/>
      <c r="P47" s="11"/>
      <c r="Q47" s="11"/>
    </row>
    <row r="48" spans="1:17" ht="22.25" customHeight="1" x14ac:dyDescent="0.25">
      <c r="A48" s="28" t="s">
        <v>54</v>
      </c>
      <c r="B48" s="161">
        <f>0.6*B47</f>
        <v>60.234000000000009</v>
      </c>
      <c r="C48" s="112"/>
      <c r="D48" s="100"/>
      <c r="E48" s="100"/>
      <c r="F48" s="100"/>
      <c r="G48" s="100"/>
      <c r="H48" s="100"/>
      <c r="I48" s="100"/>
      <c r="J48" s="100"/>
      <c r="K48" s="100"/>
      <c r="L48" s="100"/>
      <c r="M48" s="100"/>
      <c r="N48" s="11"/>
      <c r="O48" s="11"/>
      <c r="P48" s="11"/>
      <c r="Q48" s="11"/>
    </row>
    <row r="49" spans="1:17" ht="22.25" customHeight="1" x14ac:dyDescent="0.2">
      <c r="A49" s="11"/>
      <c r="B49" s="32"/>
      <c r="C49" s="11"/>
      <c r="D49" s="11"/>
      <c r="E49" s="11"/>
      <c r="F49" s="11"/>
      <c r="G49" s="11"/>
      <c r="H49" s="11"/>
      <c r="I49" s="11"/>
      <c r="J49" s="11"/>
      <c r="K49" s="11"/>
      <c r="L49" s="11"/>
      <c r="M49" s="11"/>
      <c r="N49" s="11"/>
      <c r="O49" s="11"/>
      <c r="P49" s="11"/>
      <c r="Q49" s="11"/>
    </row>
    <row r="50" spans="1:17" ht="22.25" customHeight="1" x14ac:dyDescent="0.2">
      <c r="A50" s="9" t="s">
        <v>56</v>
      </c>
      <c r="B50" s="10"/>
      <c r="C50" s="11"/>
      <c r="D50" s="11"/>
      <c r="E50" s="11"/>
      <c r="F50" s="11"/>
      <c r="G50" s="11"/>
      <c r="H50" s="11"/>
      <c r="I50" s="11"/>
      <c r="J50" s="11"/>
      <c r="K50" s="11"/>
      <c r="L50" s="11"/>
      <c r="M50" s="11"/>
      <c r="N50" s="11"/>
      <c r="O50" s="11"/>
      <c r="P50" s="11"/>
      <c r="Q50" s="11"/>
    </row>
    <row r="51" spans="1:17" ht="22.25" customHeight="1" x14ac:dyDescent="0.2">
      <c r="A51" s="9" t="s">
        <v>230</v>
      </c>
      <c r="B51" s="100">
        <v>383.56</v>
      </c>
      <c r="C51" s="11"/>
      <c r="D51" s="11"/>
      <c r="E51" s="11"/>
      <c r="F51" s="11"/>
      <c r="G51" s="11"/>
      <c r="H51" s="11"/>
      <c r="I51" s="11"/>
      <c r="J51" s="11"/>
      <c r="K51" s="11"/>
      <c r="L51" s="11"/>
      <c r="M51" s="11"/>
      <c r="N51" s="11"/>
      <c r="O51" s="11"/>
      <c r="P51" s="11"/>
      <c r="Q51" s="11"/>
    </row>
    <row r="52" spans="1:17" ht="22.25" customHeight="1" x14ac:dyDescent="0.2">
      <c r="A52" s="9" t="s">
        <v>231</v>
      </c>
      <c r="B52" s="110">
        <v>383.56</v>
      </c>
      <c r="C52" s="11"/>
      <c r="D52" s="11"/>
      <c r="E52" s="11"/>
      <c r="F52" s="11"/>
      <c r="G52" s="11"/>
      <c r="H52" s="11"/>
      <c r="I52" s="11"/>
      <c r="J52" s="11"/>
      <c r="K52" s="11"/>
      <c r="L52" s="11"/>
      <c r="M52" s="11"/>
      <c r="N52" s="11"/>
      <c r="O52" s="11"/>
      <c r="P52" s="11"/>
      <c r="Q52" s="11"/>
    </row>
    <row r="53" spans="1:17" ht="22.25" customHeight="1" x14ac:dyDescent="0.25">
      <c r="A53" s="28" t="s">
        <v>59</v>
      </c>
      <c r="B53" s="161">
        <f>B51+B52</f>
        <v>767.12</v>
      </c>
      <c r="C53" s="33"/>
      <c r="D53" s="11"/>
      <c r="E53" s="11"/>
      <c r="F53" s="11"/>
      <c r="G53" s="11"/>
      <c r="H53" s="11"/>
      <c r="I53" s="11"/>
      <c r="J53" s="11"/>
      <c r="K53" s="11"/>
      <c r="L53" s="11"/>
      <c r="M53" s="11"/>
      <c r="N53" s="11"/>
      <c r="O53" s="11"/>
      <c r="P53" s="11"/>
      <c r="Q53" s="11"/>
    </row>
    <row r="54" spans="1:17" ht="22.25" customHeight="1" x14ac:dyDescent="0.2">
      <c r="A54" s="11"/>
      <c r="B54" s="114"/>
      <c r="C54" s="11"/>
      <c r="D54" s="11"/>
      <c r="E54" s="11"/>
      <c r="F54" s="11"/>
      <c r="G54" s="11"/>
      <c r="H54" s="11"/>
      <c r="I54" s="11"/>
      <c r="J54" s="11"/>
      <c r="K54" s="11"/>
      <c r="L54" s="11"/>
      <c r="M54" s="11"/>
      <c r="N54" s="11"/>
      <c r="O54" s="11"/>
      <c r="P54" s="11"/>
      <c r="Q54" s="11"/>
    </row>
    <row r="55" spans="1:17" ht="22.25" customHeight="1" x14ac:dyDescent="0.2">
      <c r="A55" s="9" t="s">
        <v>118</v>
      </c>
      <c r="B55" s="136">
        <v>43482</v>
      </c>
      <c r="C55" s="136">
        <v>43483</v>
      </c>
      <c r="D55" s="136">
        <v>43855</v>
      </c>
      <c r="E55" s="136">
        <v>43867</v>
      </c>
      <c r="F55" s="136">
        <v>43868</v>
      </c>
      <c r="G55" s="136">
        <v>44055</v>
      </c>
      <c r="H55" s="136">
        <v>44056</v>
      </c>
      <c r="I55" s="136">
        <v>44060</v>
      </c>
      <c r="J55" s="136">
        <v>44084</v>
      </c>
      <c r="K55" s="136">
        <v>44095</v>
      </c>
      <c r="L55" s="136">
        <v>44096</v>
      </c>
      <c r="M55" s="136">
        <v>44098</v>
      </c>
      <c r="N55" s="136">
        <v>44113</v>
      </c>
      <c r="O55" s="136">
        <v>44134</v>
      </c>
      <c r="P55" s="136">
        <v>44135</v>
      </c>
      <c r="Q55" s="136">
        <v>44137</v>
      </c>
    </row>
    <row r="56" spans="1:17" ht="22.25" customHeight="1" x14ac:dyDescent="0.2">
      <c r="A56" s="9" t="s">
        <v>151</v>
      </c>
      <c r="B56" s="115">
        <v>3.5</v>
      </c>
      <c r="C56" s="103">
        <v>3.5</v>
      </c>
      <c r="D56" s="103">
        <v>3.5</v>
      </c>
      <c r="E56" s="103">
        <v>2.4</v>
      </c>
      <c r="F56" s="103">
        <v>2.4</v>
      </c>
      <c r="G56" s="103">
        <v>3.5</v>
      </c>
      <c r="H56" s="103">
        <v>3.5</v>
      </c>
      <c r="I56" s="103">
        <v>3.5</v>
      </c>
      <c r="J56" s="103">
        <v>3.5</v>
      </c>
      <c r="K56" s="103">
        <v>3.5</v>
      </c>
      <c r="L56" s="103">
        <v>3.5</v>
      </c>
      <c r="M56" s="103">
        <v>3.5</v>
      </c>
      <c r="N56" s="103">
        <v>2.4</v>
      </c>
      <c r="O56" s="103">
        <v>3.5</v>
      </c>
      <c r="P56" s="103">
        <v>2.4</v>
      </c>
      <c r="Q56" s="103">
        <v>3.5</v>
      </c>
    </row>
    <row r="57" spans="1:17" ht="22.25" customHeight="1" x14ac:dyDescent="0.25">
      <c r="A57" s="28" t="s">
        <v>59</v>
      </c>
      <c r="B57" s="163">
        <f>SUM(B56:Q56)</f>
        <v>51.599999999999994</v>
      </c>
      <c r="C57" s="33"/>
      <c r="D57" s="11"/>
      <c r="E57" s="11"/>
      <c r="F57" s="11"/>
      <c r="G57" s="11"/>
      <c r="H57" s="11"/>
      <c r="I57" s="11"/>
      <c r="J57" s="11"/>
      <c r="K57" s="11"/>
      <c r="L57" s="11"/>
      <c r="M57" s="11"/>
      <c r="N57" s="11"/>
      <c r="O57" s="11"/>
      <c r="P57" s="11"/>
      <c r="Q57" s="11"/>
    </row>
    <row r="58" spans="1:17" ht="22.25" customHeight="1" x14ac:dyDescent="0.2">
      <c r="A58" s="11"/>
      <c r="B58" s="113"/>
      <c r="C58" s="11"/>
      <c r="D58" s="11"/>
      <c r="E58" s="11"/>
      <c r="F58" s="11"/>
      <c r="G58" s="11"/>
      <c r="H58" s="11"/>
      <c r="I58" s="11"/>
      <c r="J58" s="11"/>
      <c r="K58" s="11"/>
      <c r="L58" s="11"/>
      <c r="M58" s="11"/>
      <c r="N58" s="11"/>
      <c r="O58" s="11"/>
      <c r="P58" s="11"/>
      <c r="Q58" s="11"/>
    </row>
    <row r="59" spans="1:17" ht="22.25" customHeight="1" x14ac:dyDescent="0.2">
      <c r="A59" s="11"/>
      <c r="B59" s="11"/>
      <c r="C59" s="11"/>
      <c r="D59" s="11"/>
      <c r="E59" s="11"/>
      <c r="F59" s="11"/>
      <c r="G59" s="11"/>
      <c r="H59" s="11"/>
      <c r="I59" s="11"/>
      <c r="J59" s="11"/>
      <c r="K59" s="11"/>
      <c r="L59" s="11"/>
      <c r="M59" s="11"/>
      <c r="N59" s="11"/>
      <c r="O59" s="11"/>
      <c r="P59" s="11"/>
      <c r="Q59" s="11"/>
    </row>
    <row r="60" spans="1:17" ht="22.25" customHeight="1" x14ac:dyDescent="0.2">
      <c r="A60" s="9" t="s">
        <v>153</v>
      </c>
      <c r="B60" s="11"/>
      <c r="C60" s="11"/>
      <c r="D60" s="11"/>
      <c r="E60" s="11"/>
      <c r="F60" s="11"/>
      <c r="G60" s="11"/>
      <c r="H60" s="103"/>
      <c r="I60" s="11"/>
      <c r="J60" s="11"/>
      <c r="K60" s="11"/>
      <c r="L60" s="11"/>
      <c r="M60" s="11"/>
      <c r="N60" s="11"/>
      <c r="O60" s="11"/>
      <c r="P60" s="11"/>
      <c r="Q60" s="11"/>
    </row>
    <row r="61" spans="1:17" ht="22.25" customHeight="1" x14ac:dyDescent="0.2">
      <c r="A61" s="9" t="s">
        <v>152</v>
      </c>
      <c r="B61" s="100">
        <v>450.97</v>
      </c>
      <c r="C61" s="11"/>
      <c r="D61" s="11"/>
      <c r="E61" s="11"/>
      <c r="F61" s="11"/>
      <c r="G61" s="11"/>
      <c r="H61" s="103"/>
      <c r="I61" s="11"/>
      <c r="J61" s="11"/>
      <c r="K61" s="11"/>
      <c r="L61" s="11"/>
      <c r="M61" s="11"/>
      <c r="N61" s="11"/>
      <c r="O61" s="11"/>
      <c r="P61" s="11"/>
      <c r="Q61" s="11"/>
    </row>
    <row r="62" spans="1:17" ht="22.25" customHeight="1" x14ac:dyDescent="0.2">
      <c r="A62" s="9" t="s">
        <v>54</v>
      </c>
      <c r="B62" s="100">
        <f>B61*0.6</f>
        <v>270.58199999999999</v>
      </c>
      <c r="C62" s="11"/>
      <c r="D62" s="11"/>
      <c r="E62" s="11"/>
      <c r="F62" s="11"/>
      <c r="G62" s="11"/>
      <c r="H62" s="103"/>
      <c r="I62" s="11"/>
      <c r="J62" s="11"/>
      <c r="K62" s="11"/>
      <c r="L62" s="11"/>
      <c r="M62" s="11"/>
      <c r="N62" s="11"/>
      <c r="O62" s="11"/>
      <c r="P62" s="11"/>
      <c r="Q62" s="11"/>
    </row>
    <row r="63" spans="1:17" ht="22.25" customHeight="1" x14ac:dyDescent="0.2">
      <c r="A63" s="11"/>
      <c r="B63" s="100"/>
      <c r="C63" s="11"/>
      <c r="D63" s="11"/>
      <c r="E63" s="11"/>
      <c r="F63" s="11"/>
      <c r="G63" s="11"/>
      <c r="H63" s="103"/>
      <c r="I63" s="11"/>
      <c r="J63" s="11"/>
      <c r="K63" s="11"/>
      <c r="L63" s="11"/>
      <c r="M63" s="11"/>
      <c r="N63" s="11"/>
      <c r="O63" s="11"/>
      <c r="P63" s="11"/>
      <c r="Q63" s="11"/>
    </row>
    <row r="64" spans="1:17" ht="22.25" customHeight="1" x14ac:dyDescent="0.2">
      <c r="A64" s="20">
        <v>2017</v>
      </c>
      <c r="B64" s="100">
        <v>45.09</v>
      </c>
      <c r="C64" s="11"/>
      <c r="D64" s="11"/>
      <c r="E64" s="11"/>
      <c r="F64" s="11"/>
      <c r="G64" s="11"/>
      <c r="H64" s="103"/>
      <c r="I64" s="11"/>
      <c r="J64" s="11"/>
      <c r="K64" s="11"/>
      <c r="L64" s="11"/>
      <c r="M64" s="11"/>
      <c r="N64" s="11"/>
      <c r="O64" s="11"/>
      <c r="P64" s="11"/>
      <c r="Q64" s="11"/>
    </row>
    <row r="65" spans="1:17" ht="22.25" customHeight="1" x14ac:dyDescent="0.2">
      <c r="A65" s="20">
        <v>2018</v>
      </c>
      <c r="B65" s="20">
        <v>90.2</v>
      </c>
      <c r="C65" s="11"/>
      <c r="D65" s="11"/>
      <c r="E65" s="11"/>
      <c r="F65" s="11"/>
      <c r="G65" s="11"/>
      <c r="H65" s="103"/>
      <c r="I65" s="11"/>
      <c r="J65" s="11"/>
      <c r="K65" s="11"/>
      <c r="L65" s="11"/>
      <c r="M65" s="11"/>
      <c r="N65" s="11"/>
      <c r="O65" s="11"/>
      <c r="P65" s="11"/>
      <c r="Q65" s="11"/>
    </row>
    <row r="66" spans="1:17" ht="22.25" customHeight="1" x14ac:dyDescent="0.2">
      <c r="A66" s="20">
        <v>2019</v>
      </c>
      <c r="B66" s="148">
        <v>90.2</v>
      </c>
      <c r="C66" s="11"/>
      <c r="D66" s="11"/>
      <c r="E66" s="11"/>
      <c r="F66" s="11"/>
      <c r="G66" s="11"/>
      <c r="H66" s="103"/>
      <c r="I66" s="11"/>
      <c r="J66" s="11"/>
      <c r="K66" s="11"/>
      <c r="L66" s="11"/>
      <c r="M66" s="11"/>
      <c r="N66" s="11"/>
      <c r="O66" s="11"/>
      <c r="P66" s="11"/>
      <c r="Q66" s="11"/>
    </row>
    <row r="67" spans="1:17" ht="22.25" customHeight="1" x14ac:dyDescent="0.25">
      <c r="A67" s="36">
        <v>2020</v>
      </c>
      <c r="B67" s="161">
        <v>45.09</v>
      </c>
      <c r="C67" s="33"/>
      <c r="D67" s="11"/>
      <c r="E67" s="11"/>
      <c r="F67" s="11"/>
      <c r="G67" s="11"/>
      <c r="H67" s="103"/>
      <c r="I67" s="11"/>
      <c r="J67" s="11"/>
      <c r="K67" s="11"/>
      <c r="L67" s="11"/>
      <c r="M67" s="11"/>
      <c r="N67" s="11"/>
      <c r="O67" s="11"/>
      <c r="P67" s="11"/>
      <c r="Q67" s="11"/>
    </row>
    <row r="68" spans="1:17" ht="22.25" customHeight="1" x14ac:dyDescent="0.2">
      <c r="A68" s="11"/>
      <c r="B68" s="114">
        <f>SUM(B64:B67)</f>
        <v>270.58000000000004</v>
      </c>
      <c r="C68" s="11"/>
      <c r="D68" s="11"/>
      <c r="E68" s="11"/>
      <c r="F68" s="11"/>
      <c r="G68" s="11"/>
      <c r="H68" s="103"/>
      <c r="I68" s="11"/>
      <c r="J68" s="11"/>
      <c r="K68" s="11"/>
      <c r="L68" s="11"/>
      <c r="M68" s="11"/>
      <c r="N68" s="11"/>
      <c r="O68" s="11"/>
      <c r="P68" s="11"/>
      <c r="Q68" s="11"/>
    </row>
    <row r="69" spans="1:17" ht="22.25" customHeight="1" x14ac:dyDescent="0.2">
      <c r="A69" s="11"/>
      <c r="B69" s="11"/>
      <c r="C69" s="11"/>
      <c r="D69" s="11"/>
      <c r="E69" s="11"/>
      <c r="F69" s="11"/>
      <c r="G69" s="11"/>
      <c r="H69" s="103"/>
      <c r="I69" s="11"/>
      <c r="J69" s="11"/>
      <c r="K69" s="11"/>
      <c r="L69" s="11"/>
      <c r="M69" s="11"/>
      <c r="N69" s="11"/>
      <c r="O69" s="11"/>
      <c r="P69" s="11"/>
      <c r="Q69" s="11"/>
    </row>
    <row r="70" spans="1:17" ht="22.25" customHeight="1" x14ac:dyDescent="0.2">
      <c r="A70" s="9" t="s">
        <v>154</v>
      </c>
      <c r="B70" s="11"/>
      <c r="C70" s="11"/>
      <c r="D70" s="11"/>
      <c r="E70" s="11"/>
      <c r="F70" s="11"/>
      <c r="G70" s="11"/>
      <c r="H70" s="103"/>
      <c r="I70" s="11"/>
      <c r="J70" s="11"/>
      <c r="K70" s="11"/>
      <c r="L70" s="11"/>
      <c r="M70" s="11"/>
      <c r="N70" s="11"/>
      <c r="O70" s="11"/>
      <c r="P70" s="11"/>
      <c r="Q70" s="11"/>
    </row>
    <row r="71" spans="1:17" ht="22.25" customHeight="1" x14ac:dyDescent="0.2">
      <c r="A71" s="9" t="s">
        <v>152</v>
      </c>
      <c r="B71" s="100">
        <v>639.20000000000005</v>
      </c>
      <c r="C71" s="11"/>
      <c r="D71" s="11"/>
      <c r="E71" s="11"/>
      <c r="F71" s="11"/>
      <c r="G71" s="11"/>
      <c r="H71" s="103"/>
      <c r="I71" s="11"/>
      <c r="J71" s="11"/>
      <c r="K71" s="11"/>
      <c r="L71" s="11"/>
      <c r="M71" s="11"/>
      <c r="N71" s="11"/>
      <c r="O71" s="11"/>
      <c r="P71" s="11"/>
      <c r="Q71" s="11"/>
    </row>
    <row r="72" spans="1:17" ht="22.25" customHeight="1" x14ac:dyDescent="0.2">
      <c r="A72" s="9" t="s">
        <v>54</v>
      </c>
      <c r="B72" s="100">
        <f>B71*0.6</f>
        <v>383.52000000000004</v>
      </c>
      <c r="C72" s="11"/>
      <c r="D72" s="11"/>
      <c r="E72" s="11"/>
      <c r="F72" s="11"/>
      <c r="G72" s="11"/>
      <c r="H72" s="103"/>
      <c r="I72" s="11"/>
      <c r="J72" s="11"/>
      <c r="K72" s="11"/>
      <c r="L72" s="11"/>
      <c r="M72" s="11"/>
      <c r="N72" s="11"/>
      <c r="O72" s="11"/>
      <c r="P72" s="11"/>
      <c r="Q72" s="11"/>
    </row>
    <row r="73" spans="1:17" ht="22.25" customHeight="1" x14ac:dyDescent="0.2">
      <c r="A73" s="11"/>
      <c r="B73" s="11"/>
      <c r="C73" s="11"/>
      <c r="D73" s="11"/>
      <c r="E73" s="11"/>
      <c r="F73" s="11"/>
      <c r="G73" s="11"/>
      <c r="H73" s="103"/>
      <c r="I73" s="11"/>
      <c r="J73" s="11"/>
      <c r="K73" s="11"/>
      <c r="L73" s="11"/>
      <c r="M73" s="11"/>
      <c r="N73" s="11"/>
      <c r="O73" s="11"/>
      <c r="P73" s="11"/>
      <c r="Q73" s="11"/>
    </row>
    <row r="74" spans="1:17" ht="22.25" customHeight="1" x14ac:dyDescent="0.2">
      <c r="A74" s="20">
        <v>2017</v>
      </c>
      <c r="B74" s="100">
        <v>63.92</v>
      </c>
      <c r="C74" s="11"/>
      <c r="D74" s="11"/>
      <c r="E74" s="11"/>
      <c r="F74" s="11"/>
      <c r="G74" s="11"/>
      <c r="H74" s="103"/>
      <c r="I74" s="11"/>
      <c r="J74" s="11"/>
      <c r="K74" s="11"/>
      <c r="L74" s="11"/>
      <c r="M74" s="11"/>
      <c r="N74" s="11"/>
      <c r="O74" s="11"/>
      <c r="P74" s="11"/>
      <c r="Q74" s="11"/>
    </row>
    <row r="75" spans="1:17" ht="22.25" customHeight="1" x14ac:dyDescent="0.2">
      <c r="A75" s="20">
        <v>2018</v>
      </c>
      <c r="B75" s="20">
        <v>127.84</v>
      </c>
      <c r="C75" s="11"/>
      <c r="D75" s="11"/>
      <c r="E75" s="11"/>
      <c r="F75" s="11"/>
      <c r="G75" s="11"/>
      <c r="H75" s="103"/>
      <c r="I75" s="11"/>
      <c r="J75" s="11"/>
      <c r="K75" s="11"/>
      <c r="L75" s="11"/>
      <c r="M75" s="11"/>
      <c r="N75" s="11"/>
      <c r="O75" s="11"/>
      <c r="P75" s="11"/>
      <c r="Q75" s="11"/>
    </row>
    <row r="76" spans="1:17" ht="22.25" customHeight="1" x14ac:dyDescent="0.2">
      <c r="A76" s="20">
        <v>2019</v>
      </c>
      <c r="B76" s="148">
        <v>127.84</v>
      </c>
      <c r="C76" s="11"/>
      <c r="D76" s="11"/>
      <c r="E76" s="11"/>
      <c r="F76" s="11"/>
      <c r="G76" s="11"/>
      <c r="H76" s="11"/>
      <c r="I76" s="11"/>
      <c r="J76" s="11"/>
      <c r="K76" s="11"/>
      <c r="L76" s="11"/>
      <c r="M76" s="11"/>
      <c r="N76" s="11"/>
      <c r="O76" s="11"/>
      <c r="P76" s="11"/>
      <c r="Q76" s="11"/>
    </row>
    <row r="77" spans="1:17" ht="22.25" customHeight="1" x14ac:dyDescent="0.25">
      <c r="A77" s="36">
        <v>2020</v>
      </c>
      <c r="B77" s="161">
        <v>63.92</v>
      </c>
      <c r="C77" s="33"/>
      <c r="D77" s="11"/>
      <c r="E77" s="11"/>
      <c r="F77" s="11"/>
      <c r="G77" s="11"/>
      <c r="H77" s="11"/>
      <c r="I77" s="11"/>
      <c r="J77" s="11"/>
      <c r="K77" s="11"/>
      <c r="L77" s="11"/>
      <c r="M77" s="11"/>
      <c r="N77" s="11"/>
      <c r="O77" s="11"/>
      <c r="P77" s="11"/>
      <c r="Q77" s="11"/>
    </row>
    <row r="78" spans="1:17" ht="22.25" customHeight="1" x14ac:dyDescent="0.2">
      <c r="A78" s="11"/>
      <c r="B78" s="114">
        <f>SUM(B74:B77)</f>
        <v>383.52000000000004</v>
      </c>
      <c r="C78" s="11"/>
      <c r="D78" s="11"/>
      <c r="E78" s="11"/>
      <c r="F78" s="11"/>
      <c r="G78" s="11"/>
      <c r="H78" s="11"/>
      <c r="I78" s="11"/>
      <c r="J78" s="11"/>
      <c r="K78" s="11"/>
      <c r="L78" s="11"/>
      <c r="M78" s="11"/>
      <c r="N78" s="11"/>
      <c r="O78" s="11"/>
      <c r="P78" s="11"/>
      <c r="Q78" s="11"/>
    </row>
    <row r="79" spans="1:17" ht="22.25" customHeight="1" x14ac:dyDescent="0.2">
      <c r="A79" s="11"/>
      <c r="B79" s="11"/>
      <c r="C79" s="11"/>
      <c r="D79" s="11"/>
      <c r="E79" s="11"/>
      <c r="F79" s="11"/>
      <c r="G79" s="11"/>
      <c r="H79" s="11"/>
      <c r="I79" s="11"/>
      <c r="J79" s="11"/>
      <c r="K79" s="11"/>
      <c r="L79" s="11"/>
      <c r="M79" s="11"/>
      <c r="N79" s="11"/>
      <c r="O79" s="11"/>
      <c r="P79" s="11"/>
      <c r="Q79" s="11"/>
    </row>
  </sheetData>
  <pageMargins left="1" right="1" top="1" bottom="1" header="0.25" footer="0.25"/>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82AD4-9A33-4D23-8371-2402AB4CAB01}">
  <sheetPr>
    <pageSetUpPr fitToPage="1"/>
  </sheetPr>
  <dimension ref="A1:Q54"/>
  <sheetViews>
    <sheetView showGridLines="0" topLeftCell="A27" workbookViewId="0">
      <selection activeCell="B53" sqref="B53"/>
    </sheetView>
  </sheetViews>
  <sheetFormatPr baseColWidth="10" defaultColWidth="12.25" defaultRowHeight="20" customHeight="1" x14ac:dyDescent="0.2"/>
  <cols>
    <col min="1" max="1" width="53.375" style="5" customWidth="1"/>
    <col min="2" max="2" width="13.6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6384" width="12.25" style="5"/>
  </cols>
  <sheetData>
    <row r="1" spans="1:11" ht="22" customHeight="1" x14ac:dyDescent="0.2">
      <c r="A1" s="297" t="s">
        <v>329</v>
      </c>
      <c r="B1" s="297"/>
      <c r="C1" s="297"/>
      <c r="D1" s="297"/>
      <c r="E1" s="297"/>
      <c r="F1" s="122"/>
      <c r="G1" s="297" t="s">
        <v>333</v>
      </c>
      <c r="H1" s="289"/>
      <c r="I1" s="289"/>
      <c r="J1" s="289"/>
      <c r="K1" s="290"/>
    </row>
    <row r="2" spans="1:11" ht="22" customHeight="1" x14ac:dyDescent="0.2">
      <c r="A2" s="300"/>
      <c r="B2" s="300"/>
      <c r="C2" s="300"/>
      <c r="D2" s="300"/>
      <c r="E2" s="300"/>
      <c r="F2" s="122"/>
      <c r="G2" s="291"/>
      <c r="H2" s="291"/>
      <c r="I2" s="291"/>
      <c r="J2" s="291"/>
      <c r="K2" s="292"/>
    </row>
    <row r="3" spans="1:11" ht="22" customHeight="1" x14ac:dyDescent="0.2">
      <c r="A3" s="39"/>
      <c r="B3" s="39"/>
      <c r="C3" s="40" t="s">
        <v>76</v>
      </c>
      <c r="D3" s="39"/>
      <c r="E3" s="39"/>
      <c r="F3" s="11"/>
      <c r="G3" s="39"/>
      <c r="H3" s="39"/>
      <c r="I3" s="40" t="s">
        <v>76</v>
      </c>
      <c r="J3" s="39"/>
      <c r="K3" s="39"/>
    </row>
    <row r="4" spans="1:11" ht="22" customHeight="1" x14ac:dyDescent="0.2">
      <c r="A4" s="41" t="s">
        <v>168</v>
      </c>
      <c r="B4" s="42">
        <v>45695.55</v>
      </c>
      <c r="C4" s="43">
        <v>210</v>
      </c>
      <c r="D4" s="11"/>
      <c r="E4" s="11"/>
      <c r="F4" s="11"/>
      <c r="G4" s="41" t="s">
        <v>212</v>
      </c>
      <c r="H4" s="42">
        <v>9076.2000000000007</v>
      </c>
      <c r="I4" s="43">
        <v>210</v>
      </c>
      <c r="J4" s="11"/>
      <c r="K4" s="11"/>
    </row>
    <row r="5" spans="1:11" ht="22" customHeight="1" x14ac:dyDescent="0.2">
      <c r="A5" s="124" t="s">
        <v>169</v>
      </c>
      <c r="B5" s="45">
        <f>B4-B6</f>
        <v>39182.460000000006</v>
      </c>
      <c r="C5" s="46"/>
      <c r="D5" s="11"/>
      <c r="E5" s="11"/>
      <c r="F5" s="123"/>
      <c r="G5" s="124" t="s">
        <v>213</v>
      </c>
      <c r="H5" s="45">
        <f>H4-H6</f>
        <v>8413.0600000000013</v>
      </c>
      <c r="I5" s="46"/>
      <c r="J5" s="11"/>
      <c r="K5" s="11"/>
    </row>
    <row r="6" spans="1:11" ht="22" customHeight="1" x14ac:dyDescent="0.2">
      <c r="A6" s="125" t="s">
        <v>79</v>
      </c>
      <c r="B6" s="48">
        <v>6513.09</v>
      </c>
      <c r="C6" s="49">
        <v>220</v>
      </c>
      <c r="D6" s="11"/>
      <c r="E6" s="11"/>
      <c r="F6" s="123"/>
      <c r="G6" s="125" t="s">
        <v>79</v>
      </c>
      <c r="H6" s="48">
        <v>663.14</v>
      </c>
      <c r="I6" s="49">
        <v>220</v>
      </c>
      <c r="J6" s="11"/>
      <c r="K6" s="11"/>
    </row>
    <row r="7" spans="1:11" ht="22" customHeight="1" x14ac:dyDescent="0.2">
      <c r="A7" s="50"/>
      <c r="B7" s="51"/>
      <c r="C7" s="52"/>
      <c r="D7" s="53"/>
      <c r="E7" s="53"/>
      <c r="F7" s="11"/>
      <c r="G7" s="50"/>
      <c r="H7" s="51"/>
      <c r="I7" s="52"/>
      <c r="J7" s="53"/>
      <c r="K7" s="53"/>
    </row>
    <row r="8" spans="1:11" ht="22" customHeight="1" x14ac:dyDescent="0.25">
      <c r="A8" s="124" t="s">
        <v>214</v>
      </c>
      <c r="B8" s="45">
        <v>7171.53</v>
      </c>
      <c r="C8" s="54">
        <v>230</v>
      </c>
      <c r="D8" s="55">
        <f>ROUND(B5*0.1812,2)</f>
        <v>7099.86</v>
      </c>
      <c r="E8" s="56" t="s">
        <v>81</v>
      </c>
      <c r="F8" s="126"/>
      <c r="G8" s="124" t="s">
        <v>214</v>
      </c>
      <c r="H8" s="45">
        <v>920.26</v>
      </c>
      <c r="I8" s="54">
        <v>230</v>
      </c>
      <c r="J8" s="55">
        <f>ROUND(H5*0.1812,2)</f>
        <v>1524.45</v>
      </c>
      <c r="K8" s="56" t="s">
        <v>81</v>
      </c>
    </row>
    <row r="9" spans="1:11" ht="22" customHeight="1" x14ac:dyDescent="0.25">
      <c r="A9" s="125" t="s">
        <v>82</v>
      </c>
      <c r="B9" s="48">
        <v>934.64</v>
      </c>
      <c r="C9" s="54">
        <v>225</v>
      </c>
      <c r="D9" s="55">
        <f>ROUND(B6*0.1712,2)</f>
        <v>1115.04</v>
      </c>
      <c r="E9" s="56" t="s">
        <v>83</v>
      </c>
      <c r="F9" s="126"/>
      <c r="G9" s="125" t="s">
        <v>82</v>
      </c>
      <c r="H9" s="48">
        <v>0</v>
      </c>
      <c r="I9" s="54">
        <v>225</v>
      </c>
      <c r="J9" s="55">
        <f>ROUND(H6*0.1712,2)</f>
        <v>113.53</v>
      </c>
      <c r="K9" s="56" t="s">
        <v>83</v>
      </c>
    </row>
    <row r="10" spans="1:11" ht="22" customHeight="1" x14ac:dyDescent="0.25">
      <c r="A10" s="57" t="s">
        <v>84</v>
      </c>
      <c r="B10" s="58">
        <f>B8+B9</f>
        <v>8106.17</v>
      </c>
      <c r="C10" s="59"/>
      <c r="D10" s="55">
        <f>D8+D9</f>
        <v>8214.9</v>
      </c>
      <c r="E10" s="56" t="s">
        <v>85</v>
      </c>
      <c r="F10" s="76"/>
      <c r="G10" s="57" t="s">
        <v>84</v>
      </c>
      <c r="H10" s="58">
        <f>H8+H9</f>
        <v>920.26</v>
      </c>
      <c r="I10" s="59"/>
      <c r="J10" s="55">
        <f>J8+J9</f>
        <v>1637.98</v>
      </c>
      <c r="K10" s="56" t="s">
        <v>85</v>
      </c>
    </row>
    <row r="11" spans="1:11" ht="22" customHeight="1" x14ac:dyDescent="0.2">
      <c r="A11" s="60"/>
      <c r="B11" s="42"/>
      <c r="C11" s="52"/>
      <c r="D11" s="61"/>
      <c r="E11" s="61"/>
      <c r="F11" s="11"/>
      <c r="G11" s="60"/>
      <c r="H11" s="42"/>
      <c r="I11" s="52"/>
      <c r="J11" s="61"/>
      <c r="K11" s="61"/>
    </row>
    <row r="12" spans="1:11" ht="22" customHeight="1" x14ac:dyDescent="0.2">
      <c r="A12" s="124" t="s">
        <v>170</v>
      </c>
      <c r="B12" s="45">
        <f>B5-B8-B16</f>
        <v>31910.930000000008</v>
      </c>
      <c r="C12" s="49">
        <v>245</v>
      </c>
      <c r="D12" s="9" t="s">
        <v>87</v>
      </c>
      <c r="E12" s="11"/>
      <c r="F12" s="123"/>
      <c r="G12" s="124" t="s">
        <v>215</v>
      </c>
      <c r="H12" s="45">
        <f>H5-H8-H16</f>
        <v>7420.0800000000008</v>
      </c>
      <c r="I12" s="49">
        <v>245</v>
      </c>
      <c r="J12" s="9" t="s">
        <v>87</v>
      </c>
      <c r="K12" s="11"/>
    </row>
    <row r="13" spans="1:11" ht="22" customHeight="1" x14ac:dyDescent="0.2">
      <c r="A13" s="125" t="s">
        <v>88</v>
      </c>
      <c r="B13" s="48">
        <f>B6-B9</f>
        <v>5578.45</v>
      </c>
      <c r="C13" s="46"/>
      <c r="D13" s="9" t="s">
        <v>89</v>
      </c>
      <c r="E13" s="11"/>
      <c r="F13" s="123"/>
      <c r="G13" s="125" t="s">
        <v>88</v>
      </c>
      <c r="H13" s="48">
        <f>H6-H9</f>
        <v>663.14</v>
      </c>
      <c r="I13" s="46"/>
      <c r="J13" s="9" t="s">
        <v>89</v>
      </c>
      <c r="K13" s="11"/>
    </row>
    <row r="14" spans="1:11" ht="22" customHeight="1" x14ac:dyDescent="0.2">
      <c r="A14" s="50"/>
      <c r="B14" s="51"/>
      <c r="C14" s="11"/>
      <c r="D14" s="11"/>
      <c r="E14" s="11"/>
      <c r="F14" s="11"/>
      <c r="G14" s="39"/>
      <c r="H14" s="58"/>
      <c r="I14" s="11"/>
      <c r="J14" s="11"/>
      <c r="K14" s="11"/>
    </row>
    <row r="15" spans="1:11" ht="22" customHeight="1" x14ac:dyDescent="0.2">
      <c r="A15" s="127" t="s">
        <v>90</v>
      </c>
      <c r="B15" s="63">
        <v>3.91</v>
      </c>
      <c r="C15" s="238"/>
      <c r="D15" s="237"/>
      <c r="E15" s="237"/>
      <c r="F15" s="11"/>
      <c r="G15" s="11"/>
      <c r="H15" s="11"/>
      <c r="I15" s="295"/>
      <c r="J15" s="295"/>
      <c r="K15" s="295"/>
    </row>
    <row r="16" spans="1:11" ht="22" customHeight="1" x14ac:dyDescent="0.2">
      <c r="A16" s="127" t="s">
        <v>217</v>
      </c>
      <c r="B16" s="63">
        <v>100</v>
      </c>
      <c r="C16" s="49">
        <v>243</v>
      </c>
      <c r="D16" s="11"/>
      <c r="E16" s="11"/>
      <c r="F16" s="11"/>
      <c r="G16" s="127" t="s">
        <v>217</v>
      </c>
      <c r="H16" s="63">
        <v>72.72</v>
      </c>
      <c r="I16" s="49">
        <v>243</v>
      </c>
      <c r="J16" s="11"/>
      <c r="K16" s="11"/>
    </row>
    <row r="17" spans="1:17" ht="22" customHeight="1" x14ac:dyDescent="0.2">
      <c r="A17" s="50"/>
      <c r="B17" s="51"/>
      <c r="C17" s="11"/>
      <c r="D17" s="11"/>
      <c r="E17" s="11"/>
      <c r="F17" s="11"/>
      <c r="G17" s="60"/>
      <c r="H17" s="42"/>
      <c r="I17" s="11"/>
      <c r="J17" s="11"/>
      <c r="K17" s="11"/>
    </row>
    <row r="18" spans="1:17" ht="22" customHeight="1" x14ac:dyDescent="0.2">
      <c r="A18" s="128" t="s">
        <v>93</v>
      </c>
      <c r="B18" s="66">
        <v>6174.71</v>
      </c>
      <c r="C18" s="49">
        <v>260</v>
      </c>
      <c r="D18" s="11"/>
      <c r="E18" s="11"/>
      <c r="F18" s="123"/>
      <c r="G18" s="128" t="s">
        <v>93</v>
      </c>
      <c r="H18" s="66">
        <v>707.56</v>
      </c>
      <c r="I18" s="49">
        <v>260</v>
      </c>
      <c r="J18" s="11"/>
      <c r="K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99" t="s">
        <v>330</v>
      </c>
      <c r="B21" s="294"/>
      <c r="C21" s="294"/>
      <c r="D21" s="294"/>
      <c r="E21" s="294"/>
      <c r="F21" s="76"/>
      <c r="G21" s="11"/>
      <c r="H21" s="11"/>
      <c r="I21" s="11"/>
      <c r="J21" s="11"/>
      <c r="K21" s="11"/>
      <c r="L21" s="11"/>
      <c r="M21" s="11"/>
      <c r="N21" s="11"/>
      <c r="O21" s="11"/>
      <c r="P21" s="11"/>
      <c r="Q21" s="11"/>
    </row>
    <row r="22" spans="1:17" ht="22" customHeight="1" x14ac:dyDescent="0.2">
      <c r="A22" s="294"/>
      <c r="B22" s="294"/>
      <c r="C22" s="294"/>
      <c r="D22" s="294"/>
      <c r="E22" s="294"/>
      <c r="F22" s="76"/>
      <c r="G22" s="11"/>
      <c r="H22" s="11"/>
      <c r="I22" s="11"/>
      <c r="J22" s="11"/>
      <c r="K22" s="11"/>
      <c r="L22" s="11"/>
      <c r="M22" s="11"/>
      <c r="N22" s="11"/>
      <c r="O22" s="11"/>
      <c r="P22" s="11"/>
      <c r="Q22" s="11"/>
    </row>
    <row r="23" spans="1:17" ht="22" customHeight="1" x14ac:dyDescent="0.2">
      <c r="A23" s="67" t="s">
        <v>95</v>
      </c>
      <c r="B23" s="68">
        <f>'2021'!B17</f>
        <v>3000.52</v>
      </c>
      <c r="C23" s="69"/>
      <c r="D23" s="61"/>
      <c r="E23" s="61"/>
      <c r="F23" s="11"/>
      <c r="G23" s="11"/>
      <c r="H23" s="11"/>
      <c r="I23" s="11"/>
      <c r="J23" s="11"/>
      <c r="K23" s="11"/>
      <c r="L23" s="11"/>
      <c r="M23" s="11"/>
      <c r="N23" s="11"/>
      <c r="O23" s="11"/>
      <c r="P23" s="11"/>
      <c r="Q23" s="11"/>
    </row>
    <row r="24" spans="1:17" ht="22" customHeight="1" x14ac:dyDescent="0.2">
      <c r="A24" s="44" t="s">
        <v>172</v>
      </c>
      <c r="B24" s="45">
        <f>B12+H12</f>
        <v>39331.010000000009</v>
      </c>
      <c r="C24" s="64"/>
      <c r="D24" s="11"/>
      <c r="E24" s="11"/>
      <c r="F24" s="11"/>
      <c r="G24" s="11"/>
      <c r="H24" s="11"/>
      <c r="I24" s="11"/>
      <c r="J24" s="11"/>
      <c r="K24" s="11"/>
      <c r="L24" s="11"/>
      <c r="M24" s="11"/>
      <c r="N24" s="11"/>
      <c r="O24" s="11"/>
      <c r="P24" s="11"/>
      <c r="Q24" s="11"/>
    </row>
    <row r="25" spans="1:17" ht="22" customHeight="1" x14ac:dyDescent="0.25">
      <c r="A25" s="129" t="s">
        <v>97</v>
      </c>
      <c r="B25" s="130">
        <f>B23+B24</f>
        <v>42331.530000000006</v>
      </c>
      <c r="C25" s="64"/>
      <c r="D25" s="11"/>
      <c r="E25" s="11"/>
      <c r="F25" s="11"/>
      <c r="G25" s="11"/>
      <c r="H25" s="11"/>
      <c r="I25" s="11"/>
      <c r="J25" s="11"/>
      <c r="K25" s="11"/>
      <c r="L25" s="11"/>
      <c r="M25" s="11"/>
      <c r="N25" s="11"/>
      <c r="O25" s="11"/>
      <c r="P25" s="11"/>
      <c r="Q25" s="11"/>
    </row>
    <row r="26" spans="1:17" ht="22" customHeight="1" x14ac:dyDescent="0.2">
      <c r="A26" s="72"/>
      <c r="B26" s="88"/>
      <c r="C26" s="11"/>
      <c r="D26" s="11"/>
      <c r="E26" s="11"/>
      <c r="F26" s="11"/>
      <c r="G26" s="11"/>
      <c r="H26" s="11"/>
      <c r="I26" s="11"/>
      <c r="J26" s="11"/>
      <c r="K26" s="11"/>
      <c r="L26" s="11"/>
      <c r="M26" s="11"/>
      <c r="N26" s="11"/>
      <c r="O26" s="11"/>
      <c r="P26" s="11"/>
      <c r="Q26" s="11"/>
    </row>
    <row r="27" spans="1:17" ht="22" customHeight="1" x14ac:dyDescent="0.2">
      <c r="A27" s="74" t="s">
        <v>98</v>
      </c>
      <c r="B27" s="77"/>
      <c r="C27" s="76"/>
      <c r="D27" s="11"/>
      <c r="E27" s="11"/>
      <c r="F27" s="11"/>
      <c r="G27" s="11"/>
      <c r="H27" s="11"/>
      <c r="I27" s="11"/>
      <c r="J27" s="11"/>
      <c r="K27" s="11"/>
      <c r="L27" s="11"/>
      <c r="M27" s="11"/>
      <c r="N27" s="11"/>
      <c r="O27" s="11"/>
      <c r="P27" s="11"/>
      <c r="Q27" s="11"/>
    </row>
    <row r="28" spans="1:17" ht="22" customHeight="1" x14ac:dyDescent="0.2">
      <c r="A28" s="74" t="s">
        <v>25</v>
      </c>
      <c r="B28" s="77">
        <f>'2021'!F8+'2021'!G8+'2021'!H8+MAX(0,'2021'!C1048573-300)</f>
        <v>1271.96</v>
      </c>
      <c r="C28" s="76"/>
      <c r="D28" s="11"/>
      <c r="E28" s="11"/>
      <c r="F28" s="11"/>
      <c r="G28" s="11"/>
      <c r="H28" s="11"/>
      <c r="I28" s="11"/>
      <c r="J28" s="11"/>
      <c r="K28" s="11"/>
      <c r="L28" s="11"/>
      <c r="M28" s="11"/>
      <c r="N28" s="11"/>
      <c r="O28" s="11"/>
      <c r="P28" s="11"/>
      <c r="Q28" s="11"/>
    </row>
    <row r="29" spans="1:17" ht="22" customHeight="1" x14ac:dyDescent="0.2">
      <c r="A29" s="74" t="s">
        <v>340</v>
      </c>
      <c r="B29" s="77">
        <f>234</f>
        <v>234</v>
      </c>
      <c r="C29" s="78"/>
      <c r="D29" s="131"/>
      <c r="E29" s="11"/>
      <c r="F29" s="11"/>
      <c r="G29" s="11"/>
      <c r="H29" s="11"/>
      <c r="I29" s="11"/>
      <c r="J29" s="11"/>
      <c r="K29" s="11"/>
      <c r="L29" s="11"/>
      <c r="M29" s="11"/>
      <c r="N29" s="11"/>
      <c r="O29" s="11"/>
      <c r="P29" s="11"/>
      <c r="Q29" s="11"/>
    </row>
    <row r="30" spans="1:17" ht="22" customHeight="1" x14ac:dyDescent="0.25">
      <c r="A30" s="79" t="s">
        <v>21</v>
      </c>
      <c r="B30" s="150">
        <f>B28+B29</f>
        <v>1505.96</v>
      </c>
      <c r="C30" s="76"/>
      <c r="D30" s="11"/>
      <c r="E30" s="11"/>
      <c r="F30" s="11"/>
      <c r="G30" s="11"/>
      <c r="H30" s="11"/>
      <c r="I30" s="11"/>
      <c r="J30" s="11"/>
      <c r="K30" s="11"/>
      <c r="L30" s="11"/>
      <c r="M30" s="11"/>
      <c r="N30" s="11"/>
      <c r="O30" s="11"/>
      <c r="P30" s="11"/>
      <c r="Q30" s="11"/>
    </row>
    <row r="31" spans="1:17" ht="22" customHeight="1" x14ac:dyDescent="0.2">
      <c r="A31" s="81"/>
      <c r="B31" s="151"/>
      <c r="C31" s="11"/>
      <c r="D31" s="11"/>
      <c r="E31" s="11"/>
      <c r="F31" s="11"/>
      <c r="G31" s="11"/>
      <c r="H31" s="11"/>
      <c r="I31" s="11"/>
      <c r="J31" s="11"/>
      <c r="K31" s="11"/>
      <c r="L31" s="11"/>
      <c r="M31" s="11"/>
      <c r="N31" s="11"/>
      <c r="O31" s="11"/>
      <c r="P31" s="11"/>
      <c r="Q31" s="11"/>
    </row>
    <row r="32" spans="1:17" ht="22" customHeight="1" x14ac:dyDescent="0.25">
      <c r="A32" s="83" t="s">
        <v>334</v>
      </c>
      <c r="B32" s="152">
        <f>B25-B30</f>
        <v>40825.570000000007</v>
      </c>
      <c r="C32" s="64"/>
      <c r="D32" s="11"/>
      <c r="E32" s="11"/>
      <c r="F32" s="11"/>
      <c r="G32" s="11"/>
      <c r="H32" s="11"/>
      <c r="I32" s="11"/>
      <c r="J32" s="11"/>
      <c r="K32" s="11"/>
      <c r="L32" s="11"/>
      <c r="M32" s="11"/>
      <c r="N32" s="11"/>
      <c r="O32" s="11"/>
      <c r="P32" s="11"/>
      <c r="Q32" s="11"/>
    </row>
    <row r="33" spans="1:17" ht="22" customHeight="1" x14ac:dyDescent="0.25">
      <c r="A33" s="56" t="s">
        <v>102</v>
      </c>
      <c r="B33" s="91">
        <f>ROUND((B32-31000)*0.42+5950,2)</f>
        <v>10076.74</v>
      </c>
      <c r="C33" s="283" t="s">
        <v>174</v>
      </c>
      <c r="D33" s="284"/>
      <c r="E33" s="11"/>
      <c r="F33" s="11"/>
      <c r="G33" s="11"/>
      <c r="H33" s="11"/>
      <c r="I33" s="11"/>
      <c r="J33" s="11"/>
      <c r="K33" s="11"/>
      <c r="L33" s="11"/>
      <c r="M33" s="11"/>
      <c r="N33" s="11"/>
      <c r="O33" s="11"/>
      <c r="P33" s="11"/>
      <c r="Q33" s="11"/>
    </row>
    <row r="34" spans="1:17" ht="22" customHeight="1" x14ac:dyDescent="0.25">
      <c r="A34" s="56" t="s">
        <v>104</v>
      </c>
      <c r="B34" s="91">
        <f>ROUND((B13+H13-620)*0.06,2)</f>
        <v>337.3</v>
      </c>
      <c r="C34" s="283" t="s">
        <v>105</v>
      </c>
      <c r="D34" s="284"/>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10014.039999999999</v>
      </c>
      <c r="C37" s="76"/>
      <c r="D37" s="11"/>
      <c r="E37" s="11"/>
      <c r="F37" s="11"/>
      <c r="G37" s="11"/>
      <c r="H37" s="11"/>
      <c r="I37" s="11"/>
      <c r="J37" s="11"/>
      <c r="K37" s="11"/>
      <c r="L37" s="11"/>
      <c r="M37" s="11"/>
      <c r="N37" s="11"/>
      <c r="O37" s="11"/>
      <c r="P37" s="11"/>
      <c r="Q37" s="11"/>
    </row>
    <row r="38" spans="1:17" ht="22" customHeight="1" x14ac:dyDescent="0.2">
      <c r="A38" s="86" t="s">
        <v>175</v>
      </c>
      <c r="B38" s="87">
        <f>B18+H18</f>
        <v>6882.27</v>
      </c>
      <c r="C38" s="64"/>
      <c r="D38" s="11"/>
      <c r="E38" s="11"/>
      <c r="F38" s="11"/>
      <c r="G38" s="11"/>
      <c r="H38" s="11"/>
      <c r="I38" s="11"/>
      <c r="J38" s="11"/>
      <c r="K38" s="11"/>
      <c r="L38" s="11"/>
      <c r="M38" s="11"/>
      <c r="N38" s="11"/>
      <c r="O38" s="11"/>
      <c r="P38" s="11"/>
      <c r="Q38" s="11"/>
    </row>
    <row r="39" spans="1:17" ht="22" customHeight="1" x14ac:dyDescent="0.2">
      <c r="A39" s="57" t="s">
        <v>109</v>
      </c>
      <c r="B39" s="154">
        <v>0.23</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3131.9999999999986</v>
      </c>
      <c r="C41" s="76"/>
      <c r="D41" s="11"/>
      <c r="E41" s="11"/>
      <c r="F41" s="11"/>
      <c r="G41" s="11"/>
      <c r="H41" s="11"/>
      <c r="I41" s="11"/>
      <c r="J41" s="11"/>
      <c r="K41" s="11"/>
      <c r="L41" s="11"/>
      <c r="M41" s="11"/>
      <c r="N41" s="11"/>
      <c r="O41" s="11"/>
      <c r="P41" s="11"/>
      <c r="Q41" s="11"/>
    </row>
    <row r="42" spans="1:17" ht="22" customHeight="1" x14ac:dyDescent="0.2">
      <c r="A42" s="86" t="s">
        <v>332</v>
      </c>
      <c r="B42" s="87">
        <v>3124</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7.9999999999986358</v>
      </c>
      <c r="C44" s="138" t="s">
        <v>341</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
      <c r="A47" s="11"/>
      <c r="B47" s="11"/>
      <c r="C47" s="11"/>
      <c r="D47" s="11"/>
      <c r="E47" s="11"/>
      <c r="F47" s="11"/>
      <c r="G47" s="11"/>
      <c r="H47" s="11"/>
      <c r="I47" s="11"/>
      <c r="J47" s="11"/>
      <c r="K47" s="11"/>
      <c r="L47" s="11"/>
      <c r="M47" s="11"/>
      <c r="N47" s="11"/>
      <c r="O47" s="11"/>
      <c r="P47" s="11"/>
      <c r="Q47" s="11"/>
    </row>
    <row r="48" spans="1:17" ht="22" customHeight="1" x14ac:dyDescent="0.25">
      <c r="A48" s="279" t="s">
        <v>331</v>
      </c>
      <c r="B48" s="280"/>
      <c r="C48" s="11"/>
      <c r="D48" s="11"/>
      <c r="E48" s="11"/>
      <c r="F48" s="11"/>
      <c r="G48" s="11"/>
      <c r="H48" s="11"/>
      <c r="I48" s="11"/>
      <c r="J48" s="11"/>
      <c r="K48" s="11"/>
      <c r="L48" s="11"/>
      <c r="M48" s="11"/>
      <c r="N48" s="11"/>
      <c r="O48" s="11"/>
      <c r="P48" s="11"/>
      <c r="Q48" s="11"/>
    </row>
    <row r="49" spans="1:17" ht="22" customHeight="1" x14ac:dyDescent="0.2">
      <c r="A49" s="92" t="s">
        <v>179</v>
      </c>
      <c r="B49" s="66">
        <f>B4+H4</f>
        <v>54771.75</v>
      </c>
      <c r="C49" s="64"/>
      <c r="D49" s="11"/>
      <c r="E49" s="11"/>
      <c r="F49" s="11"/>
      <c r="G49" s="11"/>
      <c r="H49" s="11"/>
      <c r="I49" s="11"/>
      <c r="J49" s="11"/>
      <c r="K49" s="11"/>
      <c r="L49" s="11"/>
      <c r="M49" s="11"/>
      <c r="N49" s="11"/>
      <c r="O49" s="11"/>
      <c r="P49" s="11"/>
      <c r="Q49" s="11"/>
    </row>
    <row r="50" spans="1:17" ht="22" customHeight="1" x14ac:dyDescent="0.2">
      <c r="A50" s="94" t="s">
        <v>115</v>
      </c>
      <c r="B50" s="133">
        <f>B10+H10</f>
        <v>9026.43</v>
      </c>
      <c r="C50" s="64"/>
      <c r="D50" s="11"/>
      <c r="E50" s="11"/>
      <c r="F50" s="11"/>
      <c r="G50" s="11"/>
      <c r="H50" s="11"/>
      <c r="I50" s="11"/>
      <c r="J50" s="11"/>
      <c r="K50" s="11"/>
      <c r="L50" s="11"/>
      <c r="M50" s="11"/>
      <c r="N50" s="11"/>
      <c r="O50" s="11"/>
      <c r="P50" s="11"/>
      <c r="Q50" s="11"/>
    </row>
    <row r="51" spans="1:17" ht="22" customHeight="1" x14ac:dyDescent="0.2">
      <c r="A51" s="94" t="s">
        <v>107</v>
      </c>
      <c r="B51" s="133">
        <f>B37</f>
        <v>10014.039999999999</v>
      </c>
      <c r="C51" s="64"/>
      <c r="D51" s="11"/>
      <c r="E51" s="11"/>
      <c r="F51" s="11"/>
      <c r="G51" s="11"/>
      <c r="H51" s="11"/>
      <c r="I51" s="11"/>
      <c r="J51" s="11"/>
      <c r="K51" s="11"/>
      <c r="L51" s="11"/>
      <c r="M51" s="11"/>
      <c r="N51" s="11"/>
      <c r="O51" s="11"/>
      <c r="P51" s="11"/>
      <c r="Q51" s="11"/>
    </row>
    <row r="52" spans="1:17" ht="22" customHeight="1" x14ac:dyDescent="0.2">
      <c r="A52" s="92" t="s">
        <v>335</v>
      </c>
      <c r="B52" s="66">
        <f>8060-'2021'!B20-'2021'!B21</f>
        <v>7050.52</v>
      </c>
      <c r="C52" s="64"/>
      <c r="D52" s="11"/>
      <c r="E52" s="11"/>
      <c r="F52" s="11"/>
      <c r="G52" s="11"/>
      <c r="H52" s="11"/>
      <c r="I52" s="11"/>
      <c r="J52" s="11"/>
      <c r="K52" s="11"/>
      <c r="L52" s="11"/>
      <c r="M52" s="11"/>
      <c r="N52" s="11"/>
      <c r="O52" s="11"/>
      <c r="P52" s="11"/>
      <c r="Q52" s="11"/>
    </row>
    <row r="53" spans="1:17" ht="22" customHeight="1" x14ac:dyDescent="0.2">
      <c r="A53" s="96"/>
      <c r="B53" s="88"/>
      <c r="C53" s="11"/>
      <c r="D53" s="11"/>
      <c r="E53" s="11"/>
      <c r="F53" s="11"/>
      <c r="G53" s="11"/>
      <c r="H53" s="11"/>
      <c r="I53" s="11"/>
      <c r="J53" s="11"/>
      <c r="K53" s="11"/>
      <c r="L53" s="11"/>
      <c r="M53" s="11"/>
      <c r="N53" s="11"/>
      <c r="O53" s="11"/>
      <c r="P53" s="11"/>
      <c r="Q53" s="11"/>
    </row>
    <row r="54" spans="1:17" ht="22" customHeight="1" x14ac:dyDescent="0.3">
      <c r="A54" s="156" t="s">
        <v>117</v>
      </c>
      <c r="B54" s="157">
        <f>B49-B50-B51+B52+B16</f>
        <v>42881.8</v>
      </c>
      <c r="C54" s="76"/>
      <c r="D54" s="11"/>
      <c r="E54" s="11"/>
      <c r="F54" s="11"/>
      <c r="G54" s="11"/>
      <c r="H54" s="11"/>
      <c r="I54" s="11"/>
      <c r="J54" s="11"/>
      <c r="K54" s="11"/>
      <c r="L54" s="11"/>
      <c r="M54" s="11"/>
      <c r="N54" s="11"/>
      <c r="O54" s="11"/>
      <c r="P54" s="11"/>
      <c r="Q54" s="11"/>
    </row>
  </sheetData>
  <mergeCells count="7">
    <mergeCell ref="C33:D33"/>
    <mergeCell ref="C34:D34"/>
    <mergeCell ref="A48:B48"/>
    <mergeCell ref="A1:E2"/>
    <mergeCell ref="G1:K2"/>
    <mergeCell ref="I15:K15"/>
    <mergeCell ref="A21:E22"/>
  </mergeCells>
  <pageMargins left="1" right="1" top="1" bottom="1" header="0.25" footer="0.25"/>
  <pageSetup orientation="portrait"/>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A9526-4D4B-443C-B91C-19CFDEFD00B3}">
  <sheetPr>
    <pageSetUpPr fitToPage="1"/>
  </sheetPr>
  <dimension ref="A1:AZ47"/>
  <sheetViews>
    <sheetView showGridLines="0" zoomScaleNormal="100" workbookViewId="0">
      <selection activeCell="B21" sqref="B21"/>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f>B27</f>
        <v>210.36</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f>B30</f>
        <v>1616.0200000000004</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338.3</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2164.6800000000007</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f>B13</f>
        <v>18.791999999999998</v>
      </c>
      <c r="F8" s="160">
        <f>B10</f>
        <v>767.62</v>
      </c>
      <c r="G8" s="160">
        <f>B9+B11</f>
        <v>228.5800000000001</v>
      </c>
      <c r="H8" s="240">
        <f>B12</f>
        <v>275.76</v>
      </c>
      <c r="I8" s="11"/>
      <c r="J8" s="11"/>
      <c r="K8" s="11"/>
      <c r="L8" s="11"/>
      <c r="M8" s="11"/>
      <c r="N8" s="11"/>
      <c r="O8" s="11"/>
      <c r="P8" s="11"/>
      <c r="Q8" s="11"/>
      <c r="R8" s="11"/>
      <c r="S8" s="11"/>
      <c r="T8" s="11"/>
      <c r="U8" s="11"/>
      <c r="V8" s="11"/>
      <c r="W8" s="11"/>
    </row>
    <row r="9" spans="1:23" ht="22.25" customHeight="1" x14ac:dyDescent="0.2">
      <c r="A9" s="9" t="s">
        <v>30</v>
      </c>
      <c r="B9" s="100">
        <f>B36</f>
        <v>71.280000000000015</v>
      </c>
      <c r="C9" s="9" t="s">
        <v>29</v>
      </c>
      <c r="D9" s="11"/>
      <c r="E9" s="11"/>
      <c r="F9" s="11"/>
      <c r="G9" s="11"/>
      <c r="H9" s="11"/>
      <c r="I9" s="11"/>
      <c r="J9" s="11"/>
      <c r="K9" s="11"/>
      <c r="L9" s="11"/>
      <c r="M9" s="11"/>
      <c r="N9" s="11"/>
      <c r="O9" s="11"/>
      <c r="P9" s="11"/>
      <c r="Q9" s="11"/>
      <c r="R9" s="11"/>
      <c r="S9" s="11"/>
      <c r="T9" s="11"/>
      <c r="U9" s="11"/>
      <c r="V9" s="11"/>
      <c r="W9" s="11"/>
    </row>
    <row r="10" spans="1:23" ht="22.25" customHeight="1" x14ac:dyDescent="0.2">
      <c r="A10" s="9" t="s">
        <v>31</v>
      </c>
      <c r="B10" s="100">
        <f>B41</f>
        <v>767.62</v>
      </c>
      <c r="C10" s="9" t="s">
        <v>62</v>
      </c>
      <c r="D10" s="11"/>
      <c r="E10" s="11" t="s">
        <v>339</v>
      </c>
      <c r="F10" s="11"/>
      <c r="G10" s="11"/>
      <c r="H10" s="11"/>
      <c r="I10" s="11"/>
      <c r="J10" s="11"/>
      <c r="K10" s="11"/>
      <c r="L10" s="11"/>
      <c r="M10" s="11"/>
      <c r="N10" s="11"/>
      <c r="O10" s="11"/>
      <c r="P10" s="11"/>
      <c r="Q10" s="11"/>
      <c r="R10" s="11"/>
      <c r="S10" s="11"/>
      <c r="T10" s="11"/>
      <c r="U10" s="11"/>
      <c r="V10" s="11"/>
      <c r="W10" s="11"/>
    </row>
    <row r="11" spans="1:23" ht="22.25" customHeight="1" x14ac:dyDescent="0.2">
      <c r="A11" s="9" t="s">
        <v>118</v>
      </c>
      <c r="B11" s="103">
        <f>B45</f>
        <v>157.30000000000007</v>
      </c>
      <c r="C11" s="9" t="s">
        <v>29</v>
      </c>
      <c r="D11" s="11"/>
      <c r="E11" s="100" t="s">
        <v>346</v>
      </c>
      <c r="F11" s="11"/>
      <c r="G11" s="11"/>
      <c r="H11" s="11"/>
      <c r="I11" s="11"/>
      <c r="J11" s="11"/>
      <c r="K11" s="11"/>
      <c r="L11" s="11"/>
      <c r="M11" s="11"/>
      <c r="N11" s="11"/>
      <c r="O11" s="11"/>
      <c r="P11" s="11"/>
      <c r="Q11" s="11"/>
      <c r="R11" s="11"/>
      <c r="S11" s="11"/>
      <c r="T11" s="11"/>
      <c r="U11" s="11"/>
      <c r="V11" s="11"/>
      <c r="W11" s="11"/>
    </row>
    <row r="12" spans="1:23" ht="22.25" customHeight="1" x14ac:dyDescent="0.2">
      <c r="A12" s="9" t="s">
        <v>327</v>
      </c>
      <c r="B12" s="100">
        <f>459.6*0.6</f>
        <v>275.76</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12" t="s">
        <v>328</v>
      </c>
      <c r="B13" s="101">
        <f>31.32*0.6</f>
        <v>18.791999999999998</v>
      </c>
      <c r="C13" s="9" t="s">
        <v>336</v>
      </c>
      <c r="D13" s="11"/>
      <c r="E13" s="11"/>
      <c r="F13" s="11"/>
      <c r="G13" s="11"/>
      <c r="H13" s="11"/>
      <c r="I13" s="11"/>
      <c r="J13" s="11"/>
      <c r="K13" s="11"/>
      <c r="L13" s="11"/>
      <c r="M13" s="11"/>
      <c r="N13" s="11"/>
      <c r="O13" s="11"/>
      <c r="P13" s="11"/>
      <c r="Q13" s="11"/>
      <c r="R13" s="11"/>
      <c r="S13" s="11"/>
      <c r="T13" s="11"/>
      <c r="U13" s="11"/>
      <c r="V13" s="11"/>
      <c r="W13" s="11"/>
    </row>
    <row r="14" spans="1:23" ht="22.25" customHeight="1" x14ac:dyDescent="0.2">
      <c r="A14" s="147" t="s">
        <v>21</v>
      </c>
      <c r="B14" s="102">
        <f>SUM(B9:B13)</f>
        <v>1290.752</v>
      </c>
      <c r="C14" s="16"/>
      <c r="D14" s="11"/>
      <c r="E14" s="11"/>
      <c r="F14" s="11"/>
      <c r="G14" s="11"/>
      <c r="H14" s="11"/>
      <c r="I14" s="11"/>
      <c r="J14" s="11"/>
      <c r="K14" s="11"/>
      <c r="L14" s="11"/>
      <c r="M14" s="11"/>
      <c r="N14" s="11"/>
      <c r="O14" s="11"/>
      <c r="P14" s="11"/>
      <c r="Q14" s="11"/>
      <c r="R14" s="11"/>
      <c r="S14" s="11"/>
      <c r="T14" s="11"/>
      <c r="U14" s="11"/>
      <c r="V14" s="11"/>
      <c r="W14" s="11"/>
    </row>
    <row r="15" spans="1:23" ht="22.25" customHeight="1" x14ac:dyDescent="0.2">
      <c r="A15" s="17"/>
      <c r="B15" s="17"/>
      <c r="C15" s="11"/>
      <c r="D15" s="11"/>
      <c r="E15" s="100"/>
      <c r="F15" s="11"/>
      <c r="G15" s="11"/>
      <c r="H15" s="11"/>
      <c r="I15" s="11"/>
      <c r="J15" s="11"/>
      <c r="K15" s="11"/>
      <c r="L15" s="11"/>
      <c r="M15" s="11"/>
      <c r="N15" s="11"/>
      <c r="O15" s="11"/>
      <c r="P15" s="11"/>
      <c r="Q15" s="11"/>
      <c r="R15" s="11"/>
      <c r="S15" s="11"/>
      <c r="T15" s="11"/>
      <c r="U15" s="11"/>
      <c r="V15" s="11"/>
      <c r="W15" s="11"/>
    </row>
    <row r="16" spans="1:23" ht="22.25" customHeight="1" x14ac:dyDescent="0.2">
      <c r="A16" s="105"/>
      <c r="B16" s="101"/>
      <c r="C16" s="11"/>
      <c r="D16" s="11"/>
      <c r="E16" s="11"/>
      <c r="F16" s="11"/>
      <c r="G16" s="11"/>
      <c r="H16" s="11"/>
      <c r="I16" s="11"/>
      <c r="J16" s="11"/>
      <c r="K16" s="11"/>
      <c r="L16" s="11"/>
      <c r="M16" s="11"/>
      <c r="N16" s="11"/>
      <c r="O16" s="11"/>
      <c r="P16" s="11"/>
      <c r="Q16" s="11"/>
      <c r="R16" s="11"/>
      <c r="S16" s="11"/>
      <c r="T16" s="11"/>
      <c r="U16" s="11"/>
      <c r="V16" s="11"/>
      <c r="W16" s="11"/>
    </row>
    <row r="17" spans="1:23" ht="22.25" customHeight="1" x14ac:dyDescent="0.2">
      <c r="A17" s="147" t="s">
        <v>66</v>
      </c>
      <c r="B17" s="21">
        <v>3000.52</v>
      </c>
      <c r="C17" s="22" t="s">
        <v>67</v>
      </c>
      <c r="D17" s="11"/>
      <c r="E17" s="11"/>
      <c r="F17" s="11"/>
      <c r="G17" s="11"/>
      <c r="H17" s="11"/>
      <c r="I17" s="11"/>
      <c r="J17" s="11"/>
      <c r="K17" s="11"/>
      <c r="L17" s="11"/>
      <c r="M17" s="11"/>
      <c r="N17" s="11"/>
      <c r="O17" s="11"/>
      <c r="P17" s="11"/>
      <c r="Q17" s="11"/>
      <c r="R17" s="11"/>
      <c r="S17" s="11"/>
      <c r="T17" s="11"/>
      <c r="U17" s="11"/>
      <c r="V17" s="11"/>
      <c r="W17" s="11"/>
    </row>
    <row r="18" spans="1:23" ht="22.25" customHeight="1" x14ac:dyDescent="0.2">
      <c r="A18" s="17"/>
      <c r="B18" s="108"/>
      <c r="C18" s="11"/>
      <c r="D18" s="11"/>
      <c r="E18" s="11"/>
      <c r="F18" s="11"/>
      <c r="G18" s="11"/>
      <c r="H18" s="11"/>
      <c r="I18" s="11"/>
      <c r="J18" s="11"/>
      <c r="K18" s="11"/>
      <c r="L18" s="11"/>
      <c r="M18" s="11"/>
      <c r="N18" s="11"/>
      <c r="O18" s="11"/>
      <c r="P18" s="11"/>
      <c r="Q18" s="11"/>
      <c r="R18" s="11"/>
      <c r="S18" s="11"/>
      <c r="T18" s="11"/>
      <c r="U18" s="11"/>
      <c r="V18" s="11"/>
      <c r="W18" s="11"/>
    </row>
    <row r="19" spans="1:23" ht="22.25" customHeight="1" x14ac:dyDescent="0.25">
      <c r="A19" s="19" t="s">
        <v>34</v>
      </c>
      <c r="B19" s="101"/>
      <c r="C19" s="11"/>
      <c r="D19" s="11"/>
      <c r="E19" s="11"/>
      <c r="F19" s="11"/>
      <c r="G19" s="11"/>
      <c r="H19" s="11"/>
      <c r="I19" s="11"/>
      <c r="J19" s="11"/>
      <c r="K19" s="11"/>
      <c r="L19" s="11"/>
      <c r="M19" s="11"/>
      <c r="N19" s="11"/>
      <c r="O19" s="11"/>
      <c r="P19" s="11"/>
      <c r="Q19" s="11"/>
      <c r="R19" s="11"/>
      <c r="S19" s="11"/>
      <c r="T19" s="11"/>
      <c r="U19" s="11"/>
      <c r="V19" s="11"/>
      <c r="W19" s="11"/>
    </row>
    <row r="20" spans="1:23" ht="22.25" customHeight="1" x14ac:dyDescent="0.2">
      <c r="A20" s="25" t="s">
        <v>35</v>
      </c>
      <c r="B20" s="109">
        <f>970</f>
        <v>970</v>
      </c>
      <c r="C20" s="16"/>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25" t="s">
        <v>36</v>
      </c>
      <c r="B21" s="109">
        <v>39.479999999999997</v>
      </c>
      <c r="C21" s="16"/>
      <c r="D21" s="11"/>
      <c r="E21" s="11"/>
      <c r="F21" s="11"/>
      <c r="G21" s="11"/>
      <c r="H21" s="11"/>
      <c r="I21" s="11"/>
      <c r="J21" s="11"/>
      <c r="K21" s="11"/>
      <c r="L21" s="11"/>
      <c r="M21" s="11"/>
      <c r="N21" s="11"/>
      <c r="O21" s="11"/>
      <c r="P21" s="11"/>
      <c r="Q21" s="11"/>
      <c r="R21" s="11"/>
      <c r="S21" s="11"/>
      <c r="T21" s="11"/>
      <c r="U21" s="11"/>
      <c r="V21" s="11"/>
      <c r="W21" s="11"/>
    </row>
    <row r="22" spans="1:23" ht="22.25" customHeight="1" x14ac:dyDescent="0.2">
      <c r="A22" s="11"/>
      <c r="B22" s="17"/>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
      <c r="A23" s="11"/>
      <c r="B23" s="10"/>
      <c r="C23" s="11"/>
      <c r="D23" s="11"/>
      <c r="E23" s="11"/>
      <c r="F23" s="11"/>
      <c r="G23" s="11"/>
      <c r="H23" s="11"/>
      <c r="I23" s="11"/>
      <c r="J23" s="11"/>
      <c r="K23" s="11"/>
      <c r="L23" s="11"/>
      <c r="M23" s="11"/>
      <c r="N23" s="11"/>
      <c r="O23" s="11"/>
      <c r="P23" s="11"/>
      <c r="Q23" s="11"/>
      <c r="R23" s="11"/>
      <c r="S23" s="11"/>
      <c r="T23" s="11"/>
      <c r="U23" s="11"/>
      <c r="V23" s="11"/>
      <c r="W23" s="11"/>
    </row>
    <row r="24" spans="1:23" ht="22.25" customHeight="1" x14ac:dyDescent="0.25">
      <c r="A24" s="19" t="s">
        <v>37</v>
      </c>
      <c r="B24" s="10"/>
      <c r="C24" s="11"/>
      <c r="D24" s="11"/>
      <c r="E24" s="11"/>
      <c r="F24" s="11"/>
      <c r="G24" s="11"/>
      <c r="H24" s="11"/>
      <c r="I24" s="11"/>
      <c r="J24" s="11"/>
      <c r="K24" s="11"/>
      <c r="L24" s="11"/>
      <c r="M24" s="11"/>
      <c r="N24" s="11"/>
      <c r="O24" s="11"/>
      <c r="P24" s="11"/>
      <c r="Q24" s="11"/>
      <c r="R24" s="11"/>
      <c r="S24" s="11"/>
      <c r="T24" s="11"/>
      <c r="U24" s="11"/>
      <c r="V24" s="11"/>
      <c r="W24" s="11"/>
    </row>
    <row r="25" spans="1:23" ht="22.25" customHeight="1" x14ac:dyDescent="0.2">
      <c r="A25" s="11"/>
      <c r="B25" s="158" t="s">
        <v>38</v>
      </c>
      <c r="C25" s="158" t="s">
        <v>39</v>
      </c>
      <c r="D25" s="158" t="s">
        <v>40</v>
      </c>
      <c r="E25" s="158" t="s">
        <v>41</v>
      </c>
      <c r="F25" s="158" t="s">
        <v>42</v>
      </c>
      <c r="G25" s="158" t="s">
        <v>43</v>
      </c>
      <c r="H25" s="158" t="s">
        <v>44</v>
      </c>
      <c r="I25" s="158" t="s">
        <v>45</v>
      </c>
      <c r="J25" s="158" t="s">
        <v>46</v>
      </c>
      <c r="K25" s="158" t="s">
        <v>47</v>
      </c>
      <c r="L25" s="158" t="s">
        <v>48</v>
      </c>
      <c r="M25" s="158" t="s">
        <v>49</v>
      </c>
      <c r="N25" s="11"/>
      <c r="O25" s="11"/>
      <c r="P25" s="11"/>
      <c r="Q25" s="11"/>
      <c r="R25" s="11"/>
      <c r="S25" s="11"/>
      <c r="T25" s="11"/>
      <c r="U25" s="11"/>
      <c r="V25" s="11"/>
      <c r="W25" s="11"/>
    </row>
    <row r="26" spans="1:23" ht="22.25" customHeight="1" x14ac:dyDescent="0.2">
      <c r="A26" s="9" t="s">
        <v>17</v>
      </c>
      <c r="B26" s="110">
        <v>17.53</v>
      </c>
      <c r="C26" s="110">
        <v>17.53</v>
      </c>
      <c r="D26" s="110">
        <v>17.53</v>
      </c>
      <c r="E26" s="110">
        <v>17.53</v>
      </c>
      <c r="F26" s="110">
        <v>17.53</v>
      </c>
      <c r="G26" s="110">
        <v>17.53</v>
      </c>
      <c r="H26" s="110">
        <v>17.53</v>
      </c>
      <c r="I26" s="110">
        <v>17.53</v>
      </c>
      <c r="J26" s="110">
        <v>17.53</v>
      </c>
      <c r="K26" s="110">
        <v>17.53</v>
      </c>
      <c r="L26" s="110">
        <v>17.53</v>
      </c>
      <c r="M26" s="110">
        <v>17.53</v>
      </c>
      <c r="N26" s="11"/>
      <c r="O26" s="11"/>
      <c r="P26" s="11"/>
      <c r="Q26" s="11"/>
      <c r="R26" s="11"/>
      <c r="S26" s="11"/>
      <c r="T26" s="11"/>
      <c r="U26" s="11"/>
      <c r="V26" s="11"/>
      <c r="W26" s="11"/>
    </row>
    <row r="27" spans="1:23" ht="22.25" customHeight="1" x14ac:dyDescent="0.25">
      <c r="A27" s="28" t="s">
        <v>59</v>
      </c>
      <c r="B27" s="161">
        <f>SUM(B26:M26)</f>
        <v>210.36</v>
      </c>
      <c r="C27" s="112"/>
      <c r="D27" s="100"/>
      <c r="E27" s="100"/>
      <c r="F27" s="100"/>
      <c r="G27" s="100"/>
      <c r="H27" s="100"/>
      <c r="I27" s="100"/>
      <c r="J27" s="100"/>
      <c r="K27" s="100"/>
      <c r="L27" s="100"/>
      <c r="M27" s="100"/>
      <c r="N27" s="11"/>
      <c r="O27" s="11"/>
      <c r="P27" s="11"/>
      <c r="Q27" s="11"/>
      <c r="R27" s="11"/>
      <c r="S27" s="11"/>
      <c r="T27" s="11"/>
      <c r="U27" s="11"/>
      <c r="V27" s="11"/>
      <c r="W27" s="11"/>
    </row>
    <row r="28" spans="1:23" ht="22.25" customHeight="1" x14ac:dyDescent="0.2">
      <c r="A28" s="11"/>
      <c r="B28" s="162" t="s">
        <v>38</v>
      </c>
      <c r="C28" s="158" t="s">
        <v>39</v>
      </c>
      <c r="D28" s="158" t="s">
        <v>40</v>
      </c>
      <c r="E28" s="158" t="s">
        <v>41</v>
      </c>
      <c r="F28" s="158" t="s">
        <v>42</v>
      </c>
      <c r="G28" s="158" t="s">
        <v>43</v>
      </c>
      <c r="H28" s="158" t="s">
        <v>44</v>
      </c>
      <c r="I28" s="158" t="s">
        <v>45</v>
      </c>
      <c r="J28" s="158" t="s">
        <v>46</v>
      </c>
      <c r="K28" s="158" t="s">
        <v>47</v>
      </c>
      <c r="L28" s="158" t="s">
        <v>48</v>
      </c>
      <c r="M28" s="158" t="s">
        <v>49</v>
      </c>
      <c r="N28" s="11"/>
      <c r="O28" s="11"/>
      <c r="P28" s="11"/>
      <c r="Q28" s="11"/>
      <c r="R28" s="11"/>
      <c r="S28" s="11"/>
      <c r="T28" s="11"/>
      <c r="U28" s="11"/>
      <c r="V28" s="11"/>
      <c r="W28" s="11"/>
    </row>
    <row r="29" spans="1:23" ht="22.25" customHeight="1" x14ac:dyDescent="0.2">
      <c r="A29" s="9" t="s">
        <v>19</v>
      </c>
      <c r="B29" s="100">
        <v>131.6</v>
      </c>
      <c r="C29" s="100">
        <v>131.6</v>
      </c>
      <c r="D29" s="100">
        <v>131.6</v>
      </c>
      <c r="E29" s="100">
        <v>131.6</v>
      </c>
      <c r="F29" s="100">
        <v>131.6</v>
      </c>
      <c r="G29" s="100">
        <v>136.86000000000001</v>
      </c>
      <c r="H29" s="100">
        <v>136.86000000000001</v>
      </c>
      <c r="I29" s="100">
        <v>136.86000000000001</v>
      </c>
      <c r="J29" s="100">
        <v>136.86000000000001</v>
      </c>
      <c r="K29" s="100">
        <v>136.86000000000001</v>
      </c>
      <c r="L29" s="100">
        <v>136.86000000000001</v>
      </c>
      <c r="M29" s="100">
        <v>136.86000000000001</v>
      </c>
      <c r="N29" s="11"/>
      <c r="O29" s="11"/>
      <c r="P29" s="11"/>
      <c r="Q29" s="11"/>
      <c r="R29" s="11"/>
      <c r="S29" s="11"/>
      <c r="T29" s="11"/>
      <c r="U29" s="11"/>
      <c r="V29" s="11"/>
      <c r="W29" s="11"/>
    </row>
    <row r="30" spans="1:23" ht="22.25" customHeight="1" x14ac:dyDescent="0.25">
      <c r="A30" s="28" t="s">
        <v>59</v>
      </c>
      <c r="B30" s="161">
        <f>SUM(B29:M29)</f>
        <v>1616.0200000000004</v>
      </c>
      <c r="C30" s="112"/>
      <c r="D30" s="100"/>
      <c r="E30" s="100"/>
      <c r="F30" s="100"/>
      <c r="G30" s="100"/>
      <c r="H30" s="100"/>
      <c r="I30" s="100"/>
      <c r="J30" s="100"/>
      <c r="K30" s="100"/>
      <c r="L30" s="100"/>
      <c r="M30" s="100"/>
      <c r="N30" s="11"/>
      <c r="O30" s="11"/>
      <c r="P30" s="11"/>
      <c r="Q30" s="11"/>
      <c r="R30" s="11"/>
      <c r="S30" s="11"/>
      <c r="T30" s="11"/>
      <c r="U30" s="11"/>
      <c r="V30" s="11"/>
      <c r="W30" s="11"/>
    </row>
    <row r="31" spans="1:23" ht="22.25" customHeight="1" x14ac:dyDescent="0.2">
      <c r="A31" s="11"/>
      <c r="B31" s="32"/>
      <c r="C31" s="10"/>
      <c r="D31" s="10"/>
      <c r="E31" s="10"/>
      <c r="F31" s="10"/>
      <c r="G31" s="10"/>
      <c r="H31" s="10"/>
      <c r="I31" s="10"/>
      <c r="J31" s="10"/>
      <c r="K31" s="10"/>
      <c r="L31" s="10"/>
      <c r="M31" s="10"/>
      <c r="N31" s="11"/>
      <c r="O31" s="11"/>
      <c r="P31" s="11"/>
      <c r="Q31" s="11"/>
      <c r="R31" s="11"/>
      <c r="S31" s="11"/>
      <c r="T31" s="11"/>
      <c r="U31" s="11"/>
      <c r="V31" s="11"/>
      <c r="W31" s="11"/>
    </row>
    <row r="32" spans="1:23" ht="22.25" customHeight="1" x14ac:dyDescent="0.2">
      <c r="A32" s="11"/>
      <c r="B32" s="113"/>
      <c r="C32" s="11"/>
      <c r="D32" s="11"/>
      <c r="E32" s="11"/>
      <c r="F32" s="11"/>
      <c r="G32" s="11"/>
      <c r="H32" s="11"/>
      <c r="I32" s="11"/>
      <c r="J32" s="11"/>
      <c r="K32" s="11"/>
      <c r="L32" s="11"/>
      <c r="M32" s="11"/>
      <c r="N32" s="11"/>
      <c r="O32" s="11"/>
      <c r="P32" s="11"/>
      <c r="Q32" s="11"/>
      <c r="R32" s="11"/>
      <c r="S32" s="11"/>
      <c r="T32" s="11"/>
      <c r="U32" s="11"/>
      <c r="V32" s="11"/>
      <c r="W32" s="11"/>
    </row>
    <row r="33" spans="1:52" ht="22.25" customHeight="1" x14ac:dyDescent="0.2">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c r="R33" s="11"/>
      <c r="S33" s="11"/>
      <c r="T33" s="11"/>
      <c r="U33" s="11"/>
      <c r="V33" s="11"/>
      <c r="W33" s="11"/>
    </row>
    <row r="34" spans="1:52" ht="22.25" customHeight="1" x14ac:dyDescent="0.2">
      <c r="A34" s="9" t="s">
        <v>180</v>
      </c>
      <c r="B34" s="100">
        <v>9.9</v>
      </c>
      <c r="C34" s="100">
        <v>9.9</v>
      </c>
      <c r="D34" s="100">
        <v>9.9</v>
      </c>
      <c r="E34" s="100">
        <v>9.9</v>
      </c>
      <c r="F34" s="100">
        <v>9.9</v>
      </c>
      <c r="G34" s="100">
        <v>9.9</v>
      </c>
      <c r="H34" s="100">
        <v>9.9</v>
      </c>
      <c r="I34" s="100">
        <v>9.9</v>
      </c>
      <c r="J34" s="100">
        <v>9.9</v>
      </c>
      <c r="K34" s="100">
        <v>9.9</v>
      </c>
      <c r="L34" s="100">
        <v>9.9</v>
      </c>
      <c r="M34" s="100">
        <v>9.9</v>
      </c>
      <c r="N34" s="11"/>
      <c r="O34" s="11"/>
      <c r="P34" s="11"/>
      <c r="Q34" s="11"/>
      <c r="R34" s="11"/>
      <c r="S34" s="11"/>
      <c r="T34" s="11"/>
      <c r="U34" s="11"/>
      <c r="V34" s="11"/>
      <c r="W34" s="11"/>
    </row>
    <row r="35" spans="1:52" ht="22.25" customHeight="1" x14ac:dyDescent="0.2">
      <c r="A35" s="9" t="s">
        <v>59</v>
      </c>
      <c r="B35" s="110">
        <f>SUM(B34:M34)</f>
        <v>118.80000000000003</v>
      </c>
      <c r="C35" s="100"/>
      <c r="D35" s="100"/>
      <c r="E35" s="100"/>
      <c r="F35" s="100"/>
      <c r="G35" s="100"/>
      <c r="H35" s="100"/>
      <c r="I35" s="100"/>
      <c r="J35" s="100"/>
      <c r="K35" s="100"/>
      <c r="L35" s="100"/>
      <c r="M35" s="100"/>
      <c r="N35" s="11"/>
      <c r="O35" s="11"/>
      <c r="P35" s="11"/>
      <c r="Q35" s="11"/>
      <c r="R35" s="11"/>
      <c r="S35" s="11"/>
      <c r="T35" s="11"/>
      <c r="U35" s="11"/>
      <c r="V35" s="11"/>
      <c r="W35" s="11"/>
    </row>
    <row r="36" spans="1:52" ht="22.25" customHeight="1" x14ac:dyDescent="0.25">
      <c r="A36" s="28" t="s">
        <v>54</v>
      </c>
      <c r="B36" s="161">
        <f>0.6*B35</f>
        <v>71.280000000000015</v>
      </c>
      <c r="C36" s="112"/>
      <c r="D36" s="100"/>
      <c r="E36" s="100"/>
      <c r="F36" s="100"/>
      <c r="G36" s="100"/>
      <c r="H36" s="100"/>
      <c r="I36" s="100"/>
      <c r="J36" s="100"/>
      <c r="K36" s="100"/>
      <c r="L36" s="100"/>
      <c r="M36" s="100"/>
      <c r="N36" s="11"/>
      <c r="O36" s="11"/>
      <c r="P36" s="11"/>
      <c r="Q36" s="11"/>
      <c r="R36" s="11"/>
      <c r="S36" s="11"/>
      <c r="T36" s="11"/>
      <c r="U36" s="11"/>
      <c r="V36" s="11"/>
      <c r="W36" s="11"/>
    </row>
    <row r="37" spans="1:52" ht="22.25" customHeight="1" x14ac:dyDescent="0.2">
      <c r="A37" s="11"/>
      <c r="B37" s="32"/>
      <c r="C37" s="11"/>
      <c r="D37" s="11"/>
      <c r="E37" s="11"/>
      <c r="F37" s="11"/>
      <c r="G37" s="11"/>
      <c r="H37" s="11"/>
      <c r="I37" s="11"/>
      <c r="J37" s="11"/>
      <c r="K37" s="11"/>
      <c r="L37" s="11"/>
      <c r="M37" s="11"/>
      <c r="N37" s="11"/>
      <c r="O37" s="11"/>
      <c r="P37" s="11"/>
      <c r="Q37" s="11"/>
      <c r="R37" s="11"/>
      <c r="S37" s="11"/>
      <c r="T37" s="11"/>
      <c r="U37" s="11"/>
      <c r="V37" s="11"/>
      <c r="W37" s="11"/>
    </row>
    <row r="38" spans="1:52" ht="22.25" customHeight="1" x14ac:dyDescent="0.2">
      <c r="A38" s="9" t="s">
        <v>56</v>
      </c>
      <c r="B38" s="10"/>
      <c r="C38" s="11"/>
      <c r="D38" s="11"/>
      <c r="E38" s="11"/>
      <c r="F38" s="11"/>
      <c r="G38" s="11"/>
      <c r="H38" s="11"/>
      <c r="I38" s="11"/>
      <c r="J38" s="11"/>
      <c r="K38" s="11"/>
      <c r="L38" s="11"/>
      <c r="M38" s="11"/>
      <c r="N38" s="11"/>
      <c r="O38" s="11"/>
      <c r="P38" s="11"/>
      <c r="Q38" s="11"/>
      <c r="R38" s="11"/>
      <c r="S38" s="11"/>
      <c r="T38" s="11"/>
      <c r="U38" s="11"/>
      <c r="V38" s="11"/>
      <c r="W38" s="11"/>
    </row>
    <row r="39" spans="1:52" ht="22.25" customHeight="1" x14ac:dyDescent="0.2">
      <c r="A39" s="9" t="s">
        <v>325</v>
      </c>
      <c r="B39" s="100">
        <v>383.56</v>
      </c>
      <c r="C39" s="11"/>
      <c r="D39" s="11"/>
      <c r="E39" s="11"/>
      <c r="F39" s="11"/>
      <c r="G39" s="11"/>
      <c r="H39" s="11"/>
      <c r="I39" s="11"/>
      <c r="J39" s="11"/>
      <c r="K39" s="11"/>
      <c r="L39" s="11"/>
      <c r="M39" s="11"/>
      <c r="N39" s="11"/>
      <c r="O39" s="11"/>
      <c r="P39" s="11"/>
      <c r="Q39" s="11"/>
      <c r="R39" s="11"/>
      <c r="S39" s="11"/>
      <c r="T39" s="11"/>
      <c r="U39" s="11"/>
      <c r="V39" s="11"/>
      <c r="W39" s="11"/>
    </row>
    <row r="40" spans="1:52" ht="22.25" customHeight="1" x14ac:dyDescent="0.2">
      <c r="A40" s="9" t="s">
        <v>326</v>
      </c>
      <c r="B40" s="110">
        <v>384.06</v>
      </c>
      <c r="C40" s="11"/>
      <c r="D40" s="11"/>
      <c r="E40" s="11"/>
      <c r="F40" s="11"/>
      <c r="G40" s="11"/>
      <c r="H40" s="11"/>
      <c r="I40" s="11"/>
      <c r="J40" s="11"/>
      <c r="K40" s="11"/>
      <c r="L40" s="11"/>
      <c r="M40" s="11"/>
      <c r="N40" s="11"/>
      <c r="O40" s="11"/>
      <c r="P40" s="11"/>
      <c r="Q40" s="11"/>
      <c r="R40" s="11"/>
      <c r="S40" s="11"/>
      <c r="T40" s="11"/>
      <c r="U40" s="11"/>
      <c r="V40" s="11"/>
      <c r="W40" s="11"/>
    </row>
    <row r="41" spans="1:52" ht="22.25" customHeight="1" x14ac:dyDescent="0.25">
      <c r="A41" s="28" t="s">
        <v>59</v>
      </c>
      <c r="B41" s="161">
        <f>B39+B40</f>
        <v>767.62</v>
      </c>
      <c r="C41" s="33"/>
      <c r="D41" s="11"/>
      <c r="E41" s="11"/>
      <c r="F41" s="11"/>
      <c r="G41" s="11"/>
      <c r="H41" s="11"/>
      <c r="I41" s="11"/>
      <c r="J41" s="11"/>
      <c r="K41" s="11"/>
      <c r="L41" s="11"/>
      <c r="M41" s="11"/>
      <c r="N41" s="11"/>
      <c r="O41" s="11"/>
      <c r="P41" s="11"/>
      <c r="Q41" s="11"/>
      <c r="R41" s="11"/>
      <c r="S41" s="11"/>
      <c r="T41" s="11"/>
      <c r="U41" s="11"/>
      <c r="V41" s="11"/>
      <c r="W41" s="11"/>
    </row>
    <row r="42" spans="1:52" ht="22.25" customHeight="1" x14ac:dyDescent="0.2">
      <c r="A42" s="11"/>
      <c r="B42" s="114"/>
      <c r="C42" s="11"/>
      <c r="D42" s="11"/>
      <c r="E42" s="11"/>
      <c r="F42" s="11"/>
      <c r="G42" s="11"/>
      <c r="H42" s="11"/>
      <c r="I42" s="11"/>
      <c r="J42" s="11"/>
      <c r="K42" s="11"/>
      <c r="L42" s="11"/>
      <c r="M42" s="11"/>
      <c r="N42" s="11"/>
      <c r="O42" s="11"/>
      <c r="P42" s="11"/>
      <c r="Q42" s="11"/>
      <c r="R42" s="11"/>
      <c r="S42" s="11"/>
      <c r="T42" s="11"/>
      <c r="U42" s="11"/>
      <c r="V42" s="11"/>
      <c r="W42" s="11"/>
    </row>
    <row r="43" spans="1:52" ht="22.25" customHeight="1" x14ac:dyDescent="0.2">
      <c r="A43" s="9" t="s">
        <v>118</v>
      </c>
      <c r="B43" s="136">
        <v>44204</v>
      </c>
      <c r="C43" s="136">
        <v>44344</v>
      </c>
      <c r="D43" s="136">
        <v>44345</v>
      </c>
      <c r="E43" s="136">
        <v>44347</v>
      </c>
      <c r="F43" s="136">
        <v>44351</v>
      </c>
      <c r="G43" s="136">
        <v>44352</v>
      </c>
      <c r="H43" s="136">
        <v>44354</v>
      </c>
      <c r="I43" s="136">
        <v>44369</v>
      </c>
      <c r="J43" s="136">
        <v>44370</v>
      </c>
      <c r="K43" s="136">
        <v>44375</v>
      </c>
      <c r="L43" s="136">
        <v>44377</v>
      </c>
      <c r="M43" s="136">
        <v>44378</v>
      </c>
      <c r="N43" s="136">
        <v>44379</v>
      </c>
      <c r="O43" s="136">
        <v>44380</v>
      </c>
      <c r="P43" s="136">
        <v>44383</v>
      </c>
      <c r="Q43" s="136">
        <v>44385</v>
      </c>
      <c r="R43" s="136">
        <v>44386</v>
      </c>
      <c r="S43" s="136">
        <v>44389</v>
      </c>
      <c r="T43" s="136">
        <v>44390</v>
      </c>
      <c r="U43" s="136">
        <v>44396</v>
      </c>
      <c r="V43" s="136">
        <v>44397</v>
      </c>
      <c r="W43" s="136">
        <v>44398</v>
      </c>
      <c r="X43" s="136">
        <v>44399</v>
      </c>
      <c r="Y43" s="136">
        <v>44411</v>
      </c>
      <c r="Z43" s="136">
        <v>44412</v>
      </c>
      <c r="AA43" s="136">
        <v>44413</v>
      </c>
      <c r="AB43" s="136">
        <v>44414</v>
      </c>
      <c r="AC43" s="136">
        <v>44418</v>
      </c>
      <c r="AD43" s="136">
        <v>44419</v>
      </c>
      <c r="AE43" s="136">
        <v>44420</v>
      </c>
      <c r="AF43" s="136">
        <v>44426</v>
      </c>
      <c r="AG43" s="136">
        <v>44432</v>
      </c>
      <c r="AH43" s="136">
        <v>44433</v>
      </c>
      <c r="AI43" s="136">
        <v>44434</v>
      </c>
      <c r="AJ43" s="136">
        <v>44439</v>
      </c>
      <c r="AK43" s="136">
        <v>44440</v>
      </c>
      <c r="AL43" s="136">
        <v>44441</v>
      </c>
      <c r="AM43" s="136">
        <v>44445</v>
      </c>
      <c r="AN43" s="136">
        <v>44447</v>
      </c>
      <c r="AO43" s="136">
        <v>44448</v>
      </c>
      <c r="AP43" s="136">
        <v>44454</v>
      </c>
      <c r="AQ43" s="136">
        <v>44462</v>
      </c>
      <c r="AR43" s="136">
        <v>44475</v>
      </c>
      <c r="AS43" s="136">
        <v>44498</v>
      </c>
      <c r="AT43" s="136">
        <v>44502</v>
      </c>
      <c r="AU43" s="136">
        <v>44505</v>
      </c>
      <c r="AV43" s="136">
        <v>44532</v>
      </c>
      <c r="AW43" s="136">
        <v>44534</v>
      </c>
      <c r="AX43" s="136">
        <v>44539</v>
      </c>
      <c r="AY43" s="136">
        <v>44540</v>
      </c>
      <c r="AZ43" s="136">
        <v>44541</v>
      </c>
    </row>
    <row r="44" spans="1:52" ht="22.25" customHeight="1" x14ac:dyDescent="0.2">
      <c r="A44" s="9" t="s">
        <v>151</v>
      </c>
      <c r="B44" s="115">
        <v>3.5</v>
      </c>
      <c r="C44" s="103">
        <v>2.4</v>
      </c>
      <c r="D44" s="103">
        <v>2.4</v>
      </c>
      <c r="E44" s="103">
        <v>2.4</v>
      </c>
      <c r="F44" s="103">
        <v>2.4</v>
      </c>
      <c r="G44" s="103">
        <v>2.4</v>
      </c>
      <c r="H44" s="103">
        <v>2.4</v>
      </c>
      <c r="I44" s="115">
        <v>3.5</v>
      </c>
      <c r="J44" s="115">
        <v>3.5</v>
      </c>
      <c r="K44" s="115">
        <v>3.5</v>
      </c>
      <c r="L44" s="115">
        <v>3.5</v>
      </c>
      <c r="M44" s="115">
        <v>3.5</v>
      </c>
      <c r="N44" s="115">
        <v>3.5</v>
      </c>
      <c r="O44" s="103">
        <v>2.4</v>
      </c>
      <c r="P44" s="115">
        <v>3.5</v>
      </c>
      <c r="Q44" s="115">
        <v>3.5</v>
      </c>
      <c r="R44" s="103">
        <v>2.4</v>
      </c>
      <c r="S44" s="115">
        <v>3.5</v>
      </c>
      <c r="T44" s="115">
        <v>3.5</v>
      </c>
      <c r="U44" s="103">
        <v>2.4</v>
      </c>
      <c r="V44" s="103">
        <v>2.4</v>
      </c>
      <c r="W44" s="103">
        <v>2.4</v>
      </c>
      <c r="X44" s="115">
        <v>3.5</v>
      </c>
      <c r="Y44" s="103">
        <v>2.4</v>
      </c>
      <c r="Z44" s="103">
        <v>2.4</v>
      </c>
      <c r="AA44" s="103">
        <v>2.4</v>
      </c>
      <c r="AB44" s="103">
        <v>2.4</v>
      </c>
      <c r="AC44" s="103">
        <v>2.4</v>
      </c>
      <c r="AD44" s="103">
        <v>2.4</v>
      </c>
      <c r="AE44" s="115">
        <v>3.5</v>
      </c>
      <c r="AF44" s="103">
        <v>2.4</v>
      </c>
      <c r="AG44" s="103">
        <v>2.4</v>
      </c>
      <c r="AH44" s="115">
        <v>3.5</v>
      </c>
      <c r="AI44" s="115">
        <v>3.5</v>
      </c>
      <c r="AJ44" s="103">
        <v>2.4</v>
      </c>
      <c r="AK44" s="239">
        <v>2.9</v>
      </c>
      <c r="AL44" s="239">
        <v>4.2</v>
      </c>
      <c r="AM44" s="239">
        <v>2.9</v>
      </c>
      <c r="AN44" s="239">
        <v>4.2</v>
      </c>
      <c r="AO44" s="239">
        <v>4.2</v>
      </c>
      <c r="AP44" s="239">
        <v>2.9</v>
      </c>
      <c r="AQ44" s="239">
        <v>4.2</v>
      </c>
      <c r="AR44" s="239">
        <v>4.2</v>
      </c>
      <c r="AS44" s="239">
        <v>2.9</v>
      </c>
      <c r="AT44" s="239">
        <v>2.9</v>
      </c>
      <c r="AU44" s="239">
        <v>2.9</v>
      </c>
      <c r="AV44" s="239">
        <v>4.2</v>
      </c>
      <c r="AW44" s="239">
        <v>2.9</v>
      </c>
      <c r="AX44" s="239">
        <v>4.2</v>
      </c>
      <c r="AY44" s="239">
        <v>4.2</v>
      </c>
      <c r="AZ44" s="239">
        <v>2.9</v>
      </c>
    </row>
    <row r="45" spans="1:52" ht="22.25" customHeight="1" x14ac:dyDescent="0.25">
      <c r="A45" s="28" t="s">
        <v>59</v>
      </c>
      <c r="B45" s="163">
        <f>SUM(B44:AZ44)</f>
        <v>157.30000000000007</v>
      </c>
      <c r="C45" s="33"/>
      <c r="D45" s="11"/>
      <c r="E45" s="11"/>
      <c r="F45" s="11"/>
      <c r="G45" s="11"/>
      <c r="H45" s="11"/>
      <c r="I45" s="11"/>
      <c r="J45" s="11"/>
      <c r="K45" s="11"/>
      <c r="L45" s="11"/>
      <c r="M45" s="11"/>
      <c r="N45" s="11"/>
      <c r="O45" s="11"/>
      <c r="P45" s="11"/>
      <c r="Q45" s="11"/>
      <c r="R45" s="11"/>
      <c r="S45" s="11"/>
      <c r="T45" s="11"/>
      <c r="U45" s="11"/>
      <c r="V45" s="11"/>
      <c r="W45" s="11"/>
    </row>
    <row r="46" spans="1:52" ht="22.25" customHeight="1" x14ac:dyDescent="0.2">
      <c r="A46" s="11"/>
      <c r="B46" s="113"/>
      <c r="C46" s="11"/>
      <c r="D46" s="11"/>
      <c r="E46" s="11"/>
      <c r="F46" s="11"/>
      <c r="G46" s="11"/>
      <c r="H46" s="11"/>
      <c r="I46" s="11"/>
      <c r="J46" s="11"/>
      <c r="K46" s="11"/>
      <c r="L46" s="11"/>
      <c r="M46" s="11"/>
      <c r="N46" s="11"/>
      <c r="O46" s="11"/>
      <c r="P46" s="11"/>
      <c r="Q46" s="11"/>
      <c r="R46" s="11"/>
      <c r="S46" s="11"/>
      <c r="T46" s="11"/>
      <c r="U46" s="11"/>
      <c r="V46" s="11"/>
      <c r="W46" s="11"/>
    </row>
    <row r="47" spans="1:52" ht="22.25" customHeight="1" x14ac:dyDescent="0.2">
      <c r="A47" s="11"/>
      <c r="B47" s="11"/>
      <c r="C47" s="11"/>
      <c r="D47" s="11"/>
      <c r="E47" s="11"/>
      <c r="F47" s="11"/>
      <c r="G47" s="11"/>
      <c r="H47" s="11"/>
      <c r="I47" s="11"/>
      <c r="J47" s="11"/>
      <c r="K47" s="11"/>
      <c r="L47" s="11"/>
      <c r="M47" s="11"/>
      <c r="N47" s="11"/>
      <c r="O47" s="11"/>
      <c r="P47" s="11"/>
      <c r="Q47" s="11"/>
      <c r="R47" s="11"/>
      <c r="S47" s="11"/>
      <c r="T47" s="11"/>
      <c r="U47" s="11"/>
      <c r="V47" s="11"/>
      <c r="W47" s="11"/>
    </row>
  </sheetData>
  <pageMargins left="1" right="1" top="1" bottom="1" header="0.25" footer="0.25"/>
  <pageSetup orientation="portrait"/>
  <headerFooter>
    <oddFooter>&amp;C&amp;"Helvetica Neue,Regular"&amp;12&amp;K000000&amp;P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6D7B1-0B35-6348-9F91-058959CA14D7}">
  <sheetPr>
    <pageSetUpPr fitToPage="1"/>
  </sheetPr>
  <dimension ref="A1:W53"/>
  <sheetViews>
    <sheetView showGridLines="0" zoomScale="110" zoomScaleNormal="110" workbookViewId="0">
      <selection activeCell="B50" sqref="B50"/>
    </sheetView>
  </sheetViews>
  <sheetFormatPr baseColWidth="10" defaultColWidth="12.25" defaultRowHeight="20" customHeight="1" x14ac:dyDescent="0.2"/>
  <cols>
    <col min="1" max="1" width="53.375" style="5" customWidth="1"/>
    <col min="2" max="2" width="13.6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9" width="54.25" style="5" customWidth="1"/>
    <col min="20" max="20" width="14.5" style="5" customWidth="1"/>
    <col min="21" max="22" width="12.25" style="5"/>
    <col min="23" max="23" width="48.5" style="5" customWidth="1"/>
    <col min="24" max="16384" width="12.25" style="5"/>
  </cols>
  <sheetData>
    <row r="1" spans="1:23" ht="22" customHeight="1" x14ac:dyDescent="0.2">
      <c r="A1" s="297" t="s">
        <v>355</v>
      </c>
      <c r="B1" s="297"/>
      <c r="C1" s="297"/>
      <c r="D1" s="297"/>
      <c r="E1" s="297"/>
      <c r="F1" s="122"/>
      <c r="G1" s="297" t="s">
        <v>360</v>
      </c>
      <c r="H1" s="289"/>
      <c r="I1" s="289"/>
      <c r="J1" s="289"/>
      <c r="K1" s="290"/>
      <c r="L1" s="122"/>
      <c r="M1" s="297" t="s">
        <v>361</v>
      </c>
      <c r="N1" s="289"/>
      <c r="O1" s="289"/>
      <c r="P1" s="289"/>
      <c r="Q1" s="290"/>
      <c r="R1" s="122"/>
      <c r="S1" s="297" t="s">
        <v>363</v>
      </c>
      <c r="T1" s="289"/>
      <c r="U1" s="289"/>
      <c r="V1" s="289"/>
      <c r="W1" s="290"/>
    </row>
    <row r="2" spans="1:23" ht="22" customHeight="1" x14ac:dyDescent="0.2">
      <c r="A2" s="300"/>
      <c r="B2" s="300"/>
      <c r="C2" s="300"/>
      <c r="D2" s="300"/>
      <c r="E2" s="300"/>
      <c r="F2" s="122"/>
      <c r="G2" s="291"/>
      <c r="H2" s="291"/>
      <c r="I2" s="291"/>
      <c r="J2" s="291"/>
      <c r="K2" s="292"/>
      <c r="L2" s="122"/>
      <c r="M2" s="291"/>
      <c r="N2" s="291"/>
      <c r="O2" s="291"/>
      <c r="P2" s="291"/>
      <c r="Q2" s="292"/>
      <c r="R2" s="122"/>
      <c r="S2" s="291"/>
      <c r="T2" s="291"/>
      <c r="U2" s="291"/>
      <c r="V2" s="291"/>
      <c r="W2" s="292"/>
    </row>
    <row r="3" spans="1:23" ht="22" customHeight="1" x14ac:dyDescent="0.2">
      <c r="A3" s="39"/>
      <c r="B3" s="39"/>
      <c r="C3" s="40" t="s">
        <v>76</v>
      </c>
      <c r="D3" s="39"/>
      <c r="E3" s="39"/>
      <c r="F3" s="11"/>
      <c r="G3" s="39"/>
      <c r="H3" s="39"/>
      <c r="I3" s="40" t="s">
        <v>76</v>
      </c>
      <c r="J3" s="39"/>
      <c r="K3" s="39"/>
      <c r="L3" s="11"/>
      <c r="M3" s="39"/>
      <c r="N3" s="39"/>
      <c r="O3" s="40" t="s">
        <v>76</v>
      </c>
      <c r="P3" s="39"/>
      <c r="Q3" s="39"/>
      <c r="R3" s="11"/>
      <c r="S3" s="39"/>
      <c r="T3" s="39"/>
      <c r="U3" s="40"/>
      <c r="V3" s="39"/>
      <c r="W3" s="39"/>
    </row>
    <row r="4" spans="1:23" ht="22" customHeight="1" x14ac:dyDescent="0.2">
      <c r="A4" s="41" t="s">
        <v>168</v>
      </c>
      <c r="B4" s="42">
        <v>11643.4</v>
      </c>
      <c r="C4" s="43">
        <v>210</v>
      </c>
      <c r="D4" s="11"/>
      <c r="E4" s="11"/>
      <c r="F4" s="11"/>
      <c r="G4" s="41" t="s">
        <v>212</v>
      </c>
      <c r="H4" s="42">
        <v>2172.04</v>
      </c>
      <c r="I4" s="43">
        <v>210</v>
      </c>
      <c r="J4" s="11"/>
      <c r="K4" s="11"/>
      <c r="L4" s="11"/>
      <c r="M4" s="41" t="s">
        <v>212</v>
      </c>
      <c r="N4" s="42">
        <v>82952.55</v>
      </c>
      <c r="O4" s="43">
        <v>210</v>
      </c>
      <c r="P4" s="11"/>
      <c r="Q4" s="11"/>
      <c r="R4" s="11"/>
      <c r="S4" s="246" t="s">
        <v>364</v>
      </c>
      <c r="T4" s="42">
        <v>50.08</v>
      </c>
      <c r="U4" s="43"/>
      <c r="V4" s="11"/>
      <c r="W4" s="11"/>
    </row>
    <row r="5" spans="1:23" ht="22" customHeight="1" x14ac:dyDescent="0.2">
      <c r="A5" s="124" t="s">
        <v>169</v>
      </c>
      <c r="B5" s="45">
        <f>B4-B6</f>
        <v>9966.42</v>
      </c>
      <c r="C5" s="46"/>
      <c r="D5" s="11"/>
      <c r="E5" s="11"/>
      <c r="F5" s="123"/>
      <c r="G5" s="124" t="s">
        <v>213</v>
      </c>
      <c r="H5" s="45">
        <f>H4-H6</f>
        <v>2005.48</v>
      </c>
      <c r="I5" s="46"/>
      <c r="J5" s="11"/>
      <c r="K5" s="11"/>
      <c r="L5" s="123"/>
      <c r="M5" s="124" t="s">
        <v>213</v>
      </c>
      <c r="N5" s="45">
        <f>N4-N6</f>
        <v>75661.83</v>
      </c>
      <c r="O5" s="46"/>
      <c r="P5" s="11"/>
      <c r="Q5" s="11"/>
      <c r="R5" s="123"/>
      <c r="S5" s="251" t="s">
        <v>365</v>
      </c>
      <c r="T5" s="252">
        <v>38</v>
      </c>
      <c r="U5" s="46"/>
      <c r="V5" s="11"/>
      <c r="W5" s="11"/>
    </row>
    <row r="6" spans="1:23" ht="22" customHeight="1" x14ac:dyDescent="0.2">
      <c r="A6" s="244" t="s">
        <v>359</v>
      </c>
      <c r="B6" s="48">
        <v>1676.98</v>
      </c>
      <c r="C6" s="49">
        <v>220</v>
      </c>
      <c r="D6" s="11"/>
      <c r="E6" s="11"/>
      <c r="F6" s="123"/>
      <c r="G6" s="125" t="s">
        <v>79</v>
      </c>
      <c r="H6" s="48">
        <v>166.56</v>
      </c>
      <c r="I6" s="49">
        <v>220</v>
      </c>
      <c r="J6" s="11"/>
      <c r="K6" s="11"/>
      <c r="L6" s="123"/>
      <c r="M6" s="125" t="s">
        <v>79</v>
      </c>
      <c r="N6" s="48">
        <v>7290.72</v>
      </c>
      <c r="O6" s="49">
        <v>220</v>
      </c>
      <c r="P6" s="11"/>
      <c r="Q6" s="11"/>
      <c r="R6" s="123"/>
      <c r="S6" s="249" t="s">
        <v>366</v>
      </c>
      <c r="T6" s="250">
        <f>T4*T5</f>
        <v>1903.04</v>
      </c>
      <c r="U6" s="49"/>
      <c r="V6" s="11"/>
      <c r="W6" s="11"/>
    </row>
    <row r="7" spans="1:23" ht="22" customHeight="1" x14ac:dyDescent="0.2">
      <c r="A7" s="50"/>
      <c r="B7" s="51"/>
      <c r="C7" s="52"/>
      <c r="D7" s="53"/>
      <c r="E7" s="53"/>
      <c r="F7" s="11"/>
      <c r="G7" s="50"/>
      <c r="H7" s="51"/>
      <c r="I7" s="52"/>
      <c r="J7" s="53"/>
      <c r="K7" s="53"/>
      <c r="L7" s="11"/>
      <c r="M7" s="50"/>
      <c r="N7" s="51"/>
      <c r="O7" s="52"/>
      <c r="P7" s="53"/>
      <c r="Q7" s="53"/>
      <c r="R7" s="11"/>
      <c r="S7" s="50"/>
      <c r="T7" s="51"/>
      <c r="U7" s="52"/>
      <c r="V7" s="53"/>
      <c r="W7" s="53"/>
    </row>
    <row r="8" spans="1:23" ht="22" customHeight="1" x14ac:dyDescent="0.25">
      <c r="A8" s="124" t="s">
        <v>214</v>
      </c>
      <c r="B8" s="45">
        <v>1828.84</v>
      </c>
      <c r="C8" s="54">
        <v>230</v>
      </c>
      <c r="D8" s="55">
        <f>ROUND(B5*0.1812,2)</f>
        <v>1805.92</v>
      </c>
      <c r="E8" s="56" t="s">
        <v>81</v>
      </c>
      <c r="F8" s="126"/>
      <c r="G8" s="124" t="s">
        <v>214</v>
      </c>
      <c r="H8" s="45">
        <v>251.92</v>
      </c>
      <c r="I8" s="54">
        <v>230</v>
      </c>
      <c r="J8" s="55">
        <f>ROUND(H5*0.1812,2)</f>
        <v>363.39</v>
      </c>
      <c r="K8" s="56" t="s">
        <v>81</v>
      </c>
      <c r="L8" s="126"/>
      <c r="M8" s="124" t="s">
        <v>214</v>
      </c>
      <c r="N8" s="45">
        <v>7963.01</v>
      </c>
      <c r="O8" s="54">
        <v>230</v>
      </c>
      <c r="P8" s="55">
        <f>ROUND(N5*0.1812,2)</f>
        <v>13709.92</v>
      </c>
      <c r="Q8" s="56" t="s">
        <v>81</v>
      </c>
      <c r="R8" s="126"/>
      <c r="S8" s="11"/>
      <c r="T8" s="11"/>
      <c r="U8" s="11"/>
      <c r="V8" s="11"/>
      <c r="W8" s="11"/>
    </row>
    <row r="9" spans="1:23" ht="22" customHeight="1" x14ac:dyDescent="0.25">
      <c r="A9" s="125" t="s">
        <v>82</v>
      </c>
      <c r="B9" s="48">
        <v>240.65</v>
      </c>
      <c r="C9" s="54">
        <v>225</v>
      </c>
      <c r="D9" s="55">
        <f>ROUND(B6*0.1712,2)</f>
        <v>287.10000000000002</v>
      </c>
      <c r="E9" s="56" t="s">
        <v>83</v>
      </c>
      <c r="F9" s="126"/>
      <c r="G9" s="125" t="s">
        <v>82</v>
      </c>
      <c r="H9" s="48">
        <v>23.52</v>
      </c>
      <c r="I9" s="54">
        <v>225</v>
      </c>
      <c r="J9" s="55">
        <f>ROUND(H6*0.1712,2)</f>
        <v>28.52</v>
      </c>
      <c r="K9" s="56" t="s">
        <v>83</v>
      </c>
      <c r="L9" s="126"/>
      <c r="M9" s="125" t="s">
        <v>82</v>
      </c>
      <c r="N9" s="48">
        <v>1248.18</v>
      </c>
      <c r="O9" s="54">
        <v>225</v>
      </c>
      <c r="P9" s="55">
        <f>ROUND(N6*0.1712,2)</f>
        <v>1248.17</v>
      </c>
      <c r="Q9" s="56" t="s">
        <v>83</v>
      </c>
      <c r="R9" s="126"/>
      <c r="S9" s="11"/>
      <c r="T9" s="11"/>
      <c r="U9" s="11"/>
      <c r="V9" s="11"/>
      <c r="W9" s="11"/>
    </row>
    <row r="10" spans="1:23" ht="22" customHeight="1" x14ac:dyDescent="0.25">
      <c r="A10" s="57" t="s">
        <v>84</v>
      </c>
      <c r="B10" s="58">
        <f>B8+B9</f>
        <v>2069.4899999999998</v>
      </c>
      <c r="C10" s="59"/>
      <c r="D10" s="55">
        <f>D8+D9</f>
        <v>2093.02</v>
      </c>
      <c r="E10" s="56" t="s">
        <v>85</v>
      </c>
      <c r="F10" s="76"/>
      <c r="G10" s="57" t="s">
        <v>84</v>
      </c>
      <c r="H10" s="58">
        <f>H8+H9</f>
        <v>275.44</v>
      </c>
      <c r="I10" s="59"/>
      <c r="J10" s="55">
        <f>J8+J9</f>
        <v>391.90999999999997</v>
      </c>
      <c r="K10" s="56" t="s">
        <v>85</v>
      </c>
      <c r="L10" s="76"/>
      <c r="M10" s="57" t="s">
        <v>84</v>
      </c>
      <c r="N10" s="58">
        <f>N8+N9</f>
        <v>9211.19</v>
      </c>
      <c r="O10" s="59"/>
      <c r="P10" s="55">
        <f>P8+P9</f>
        <v>14958.09</v>
      </c>
      <c r="Q10" s="56" t="s">
        <v>85</v>
      </c>
      <c r="R10" s="76"/>
      <c r="S10" s="11"/>
      <c r="T10" s="11"/>
      <c r="U10" s="11"/>
      <c r="V10" s="11"/>
      <c r="W10" s="11"/>
    </row>
    <row r="11" spans="1:23" ht="22" customHeight="1" x14ac:dyDescent="0.2">
      <c r="A11" s="60"/>
      <c r="B11" s="42"/>
      <c r="C11" s="52"/>
      <c r="D11" s="61"/>
      <c r="E11" s="61"/>
      <c r="F11" s="11"/>
      <c r="G11" s="60"/>
      <c r="H11" s="42"/>
      <c r="I11" s="52"/>
      <c r="J11" s="61"/>
      <c r="K11" s="61"/>
      <c r="L11" s="11"/>
      <c r="M11" s="60"/>
      <c r="N11" s="42"/>
      <c r="O11" s="52"/>
      <c r="P11" s="61"/>
      <c r="Q11" s="61"/>
      <c r="R11" s="11"/>
      <c r="S11" s="11"/>
      <c r="T11" s="11"/>
      <c r="U11" s="11"/>
      <c r="V11" s="11"/>
      <c r="W11" s="11"/>
    </row>
    <row r="12" spans="1:23" ht="22" customHeight="1" x14ac:dyDescent="0.2">
      <c r="A12" s="124" t="s">
        <v>170</v>
      </c>
      <c r="B12" s="45">
        <f>B5-B8-B16</f>
        <v>8137.58</v>
      </c>
      <c r="C12" s="49">
        <v>245</v>
      </c>
      <c r="D12" s="243" t="s">
        <v>390</v>
      </c>
      <c r="E12" s="11"/>
      <c r="F12" s="123"/>
      <c r="G12" s="124" t="s">
        <v>215</v>
      </c>
      <c r="H12" s="45">
        <f>H5-H8-H16</f>
        <v>1751.8799999999999</v>
      </c>
      <c r="I12" s="49">
        <v>245</v>
      </c>
      <c r="J12" s="9"/>
      <c r="K12" s="11"/>
      <c r="L12" s="123"/>
      <c r="M12" s="124" t="s">
        <v>215</v>
      </c>
      <c r="N12" s="45">
        <f>N5-N8-N16-N15</f>
        <v>67010.820000000007</v>
      </c>
      <c r="O12" s="49">
        <v>245</v>
      </c>
      <c r="P12" s="9"/>
      <c r="Q12" s="11"/>
      <c r="R12" s="123"/>
      <c r="S12" s="11"/>
      <c r="T12" s="11"/>
      <c r="U12" s="11"/>
      <c r="V12" s="11"/>
      <c r="W12" s="11"/>
    </row>
    <row r="13" spans="1:23" ht="22" customHeight="1" x14ac:dyDescent="0.2">
      <c r="A13" s="125" t="s">
        <v>88</v>
      </c>
      <c r="B13" s="48">
        <f>B6-B9</f>
        <v>1436.33</v>
      </c>
      <c r="C13" s="46"/>
      <c r="D13" s="243" t="s">
        <v>88</v>
      </c>
      <c r="E13" s="11"/>
      <c r="F13" s="123"/>
      <c r="G13" s="125" t="s">
        <v>88</v>
      </c>
      <c r="H13" s="48">
        <f>H6-H9</f>
        <v>143.04</v>
      </c>
      <c r="I13" s="46"/>
      <c r="J13" s="9"/>
      <c r="K13" s="11"/>
      <c r="L13" s="123"/>
      <c r="M13" s="125" t="s">
        <v>88</v>
      </c>
      <c r="N13" s="48">
        <f>N6-N9</f>
        <v>6042.54</v>
      </c>
      <c r="O13" s="46"/>
      <c r="P13" s="9"/>
      <c r="Q13" s="11"/>
      <c r="R13" s="123"/>
      <c r="S13" s="11"/>
      <c r="T13" s="11"/>
      <c r="U13" s="11"/>
      <c r="V13" s="11"/>
      <c r="W13" s="11"/>
    </row>
    <row r="14" spans="1:23" ht="22" customHeight="1" x14ac:dyDescent="0.2">
      <c r="A14" s="50"/>
      <c r="B14" s="51"/>
      <c r="C14" s="11"/>
      <c r="D14" s="11"/>
      <c r="E14" s="11"/>
      <c r="F14" s="11"/>
      <c r="G14" s="39"/>
      <c r="H14" s="58"/>
      <c r="I14" s="11"/>
      <c r="J14" s="11"/>
      <c r="K14" s="11"/>
      <c r="L14" s="11"/>
      <c r="M14" s="39"/>
      <c r="N14" s="58"/>
      <c r="O14" s="11"/>
      <c r="P14" s="11"/>
      <c r="Q14" s="11"/>
      <c r="R14" s="11"/>
      <c r="S14" s="11"/>
      <c r="T14" s="11"/>
      <c r="U14" s="11"/>
      <c r="V14" s="11"/>
      <c r="W14" s="11"/>
    </row>
    <row r="15" spans="1:23" ht="22" customHeight="1" x14ac:dyDescent="0.2">
      <c r="A15" s="127" t="s">
        <v>90</v>
      </c>
      <c r="B15" s="63">
        <v>0</v>
      </c>
      <c r="C15" s="238"/>
      <c r="D15" s="237"/>
      <c r="E15" s="237"/>
      <c r="F15" s="11"/>
      <c r="G15" s="11"/>
      <c r="H15" s="11"/>
      <c r="I15" s="295"/>
      <c r="J15" s="295"/>
      <c r="K15" s="295"/>
      <c r="L15" s="11"/>
      <c r="M15" s="245" t="s">
        <v>362</v>
      </c>
      <c r="N15" s="63">
        <v>688</v>
      </c>
      <c r="O15" s="49">
        <v>215</v>
      </c>
      <c r="P15" s="11"/>
      <c r="Q15" s="11"/>
      <c r="R15" s="11"/>
      <c r="S15" s="11"/>
      <c r="T15" s="11"/>
      <c r="U15" s="11"/>
      <c r="V15" s="11"/>
      <c r="W15" s="11"/>
    </row>
    <row r="16" spans="1:23" ht="22" customHeight="1" x14ac:dyDescent="0.2">
      <c r="A16" s="127" t="s">
        <v>217</v>
      </c>
      <c r="B16" s="63">
        <v>0</v>
      </c>
      <c r="C16" s="49">
        <v>243</v>
      </c>
      <c r="D16" s="11"/>
      <c r="E16" s="11"/>
      <c r="F16" s="11"/>
      <c r="G16" s="127" t="s">
        <v>217</v>
      </c>
      <c r="H16" s="63">
        <v>1.68</v>
      </c>
      <c r="I16" s="49">
        <v>243</v>
      </c>
      <c r="J16" s="11"/>
      <c r="K16" s="11"/>
      <c r="L16" s="11"/>
      <c r="M16" s="127" t="s">
        <v>217</v>
      </c>
      <c r="N16" s="63">
        <v>0</v>
      </c>
      <c r="O16" s="49">
        <v>243</v>
      </c>
      <c r="P16" s="11"/>
      <c r="Q16" s="11"/>
      <c r="R16" s="11"/>
      <c r="S16" s="11"/>
      <c r="T16" s="11"/>
      <c r="U16" s="11"/>
      <c r="V16" s="11"/>
      <c r="W16" s="11"/>
    </row>
    <row r="17" spans="1:23" ht="22" customHeight="1" x14ac:dyDescent="0.2">
      <c r="A17" s="50"/>
      <c r="B17" s="51"/>
      <c r="C17" s="11"/>
      <c r="D17" s="11"/>
      <c r="E17" s="11"/>
      <c r="F17" s="11"/>
      <c r="G17" s="60"/>
      <c r="H17" s="42"/>
      <c r="I17" s="11"/>
      <c r="J17" s="11"/>
      <c r="K17" s="11"/>
      <c r="L17" s="11"/>
      <c r="M17" s="60"/>
      <c r="N17" s="42"/>
      <c r="O17" s="11"/>
      <c r="P17" s="11"/>
      <c r="Q17" s="11"/>
      <c r="R17" s="11"/>
      <c r="S17" s="11"/>
      <c r="T17" s="11"/>
      <c r="U17" s="11"/>
      <c r="V17" s="11"/>
      <c r="W17" s="11"/>
    </row>
    <row r="18" spans="1:23" ht="22" customHeight="1" x14ac:dyDescent="0.2">
      <c r="A18" s="128" t="s">
        <v>93</v>
      </c>
      <c r="B18" s="66">
        <v>1585.4</v>
      </c>
      <c r="C18" s="49">
        <v>260</v>
      </c>
      <c r="D18" s="11"/>
      <c r="E18" s="11"/>
      <c r="F18" s="123"/>
      <c r="G18" s="128" t="s">
        <v>93</v>
      </c>
      <c r="H18" s="66">
        <v>6.64</v>
      </c>
      <c r="I18" s="49">
        <v>260</v>
      </c>
      <c r="J18" s="11"/>
      <c r="K18" s="11"/>
      <c r="L18" s="123"/>
      <c r="M18" s="128" t="s">
        <v>93</v>
      </c>
      <c r="N18" s="66">
        <v>25754.54</v>
      </c>
      <c r="O18" s="49">
        <v>260</v>
      </c>
      <c r="P18" s="11"/>
      <c r="Q18" s="11"/>
      <c r="R18" s="123"/>
      <c r="S18" s="11"/>
      <c r="T18" s="11"/>
      <c r="U18" s="11"/>
      <c r="V18" s="11"/>
      <c r="W18" s="11"/>
    </row>
    <row r="19" spans="1:23" ht="22" customHeight="1" x14ac:dyDescent="0.2">
      <c r="A19" s="39"/>
      <c r="B19" s="39"/>
      <c r="C19" s="11"/>
      <c r="D19" s="11"/>
      <c r="E19" s="11"/>
      <c r="F19" s="11"/>
      <c r="G19" s="39"/>
      <c r="H19" s="39"/>
      <c r="I19" s="11"/>
      <c r="J19" s="11"/>
      <c r="K19" s="11"/>
      <c r="L19" s="11"/>
      <c r="M19" s="39"/>
      <c r="N19" s="39"/>
      <c r="O19" s="11"/>
      <c r="P19" s="11"/>
      <c r="Q19" s="11"/>
      <c r="S19" s="11"/>
      <c r="T19" s="11"/>
      <c r="U19" s="11"/>
      <c r="V19" s="11"/>
      <c r="W19" s="11"/>
    </row>
    <row r="20" spans="1:23" ht="22" customHeight="1" x14ac:dyDescent="0.2">
      <c r="A20" s="53"/>
      <c r="B20" s="53"/>
      <c r="C20" s="53"/>
      <c r="D20" s="53"/>
      <c r="E20" s="53"/>
      <c r="F20" s="11"/>
      <c r="G20" s="11"/>
      <c r="H20" s="11"/>
      <c r="I20" s="11"/>
      <c r="J20" s="11"/>
      <c r="K20" s="11"/>
      <c r="L20" s="11"/>
      <c r="M20" s="11"/>
      <c r="N20" s="11"/>
      <c r="O20" s="11"/>
      <c r="P20" s="11"/>
      <c r="Q20" s="11"/>
      <c r="S20" s="11"/>
      <c r="T20" s="11"/>
      <c r="U20" s="11"/>
      <c r="V20" s="11"/>
      <c r="W20" s="11"/>
    </row>
    <row r="21" spans="1:23" ht="22" customHeight="1" x14ac:dyDescent="0.2">
      <c r="A21" s="299" t="s">
        <v>356</v>
      </c>
      <c r="B21" s="294"/>
      <c r="C21" s="294"/>
      <c r="D21" s="294"/>
      <c r="E21" s="294"/>
      <c r="F21" s="76"/>
      <c r="G21" s="11"/>
      <c r="H21" s="11"/>
      <c r="I21" s="11"/>
      <c r="J21" s="11"/>
      <c r="K21" s="11"/>
      <c r="L21" s="11"/>
      <c r="M21" s="11"/>
      <c r="N21" s="11"/>
      <c r="O21" s="11"/>
      <c r="P21" s="11"/>
      <c r="Q21" s="11"/>
      <c r="S21" s="11"/>
      <c r="T21" s="11"/>
      <c r="U21" s="11"/>
      <c r="V21" s="11"/>
      <c r="W21" s="11"/>
    </row>
    <row r="22" spans="1:23" ht="22" customHeight="1" x14ac:dyDescent="0.2">
      <c r="A22" s="294"/>
      <c r="B22" s="294"/>
      <c r="C22" s="294"/>
      <c r="D22" s="294"/>
      <c r="E22" s="294"/>
      <c r="F22" s="76"/>
      <c r="G22" s="11"/>
      <c r="H22" s="11"/>
      <c r="I22" s="11"/>
      <c r="J22" s="11"/>
      <c r="K22" s="11"/>
      <c r="L22" s="11"/>
      <c r="M22" s="11"/>
      <c r="N22" s="11"/>
      <c r="O22" s="11"/>
      <c r="P22" s="11"/>
      <c r="Q22" s="11"/>
    </row>
    <row r="23" spans="1:23" ht="22" customHeight="1" x14ac:dyDescent="0.2">
      <c r="A23" s="67" t="s">
        <v>95</v>
      </c>
      <c r="B23" s="68">
        <f>'2022'!B17</f>
        <v>2410.52</v>
      </c>
      <c r="C23" s="247"/>
      <c r="D23" s="61"/>
      <c r="E23" s="61"/>
      <c r="F23" s="11"/>
      <c r="G23" s="11"/>
      <c r="H23" s="11"/>
      <c r="I23" s="11"/>
      <c r="J23" s="11"/>
      <c r="K23" s="11"/>
      <c r="L23" s="11"/>
      <c r="M23" s="11"/>
      <c r="N23" s="11"/>
      <c r="O23" s="11"/>
      <c r="P23" s="11"/>
      <c r="Q23" s="11"/>
    </row>
    <row r="24" spans="1:23" ht="22" customHeight="1" x14ac:dyDescent="0.2">
      <c r="A24" s="44" t="s">
        <v>172</v>
      </c>
      <c r="B24" s="45">
        <f>B12+H12+N12+T6</f>
        <v>78803.319999999992</v>
      </c>
      <c r="C24" s="64"/>
      <c r="D24" s="11"/>
      <c r="E24" s="11"/>
      <c r="F24" s="11"/>
      <c r="G24" s="11"/>
      <c r="H24" s="11"/>
      <c r="I24" s="11"/>
      <c r="J24" s="11"/>
      <c r="K24" s="11"/>
      <c r="L24" s="11"/>
      <c r="M24" s="11"/>
      <c r="N24" s="11"/>
      <c r="O24" s="11"/>
      <c r="P24" s="11"/>
      <c r="Q24" s="11"/>
    </row>
    <row r="25" spans="1:23" ht="22" customHeight="1" x14ac:dyDescent="0.25">
      <c r="A25" s="129" t="s">
        <v>97</v>
      </c>
      <c r="B25" s="130">
        <f>B23+B24</f>
        <v>81213.84</v>
      </c>
      <c r="C25" s="64"/>
      <c r="D25" s="11"/>
      <c r="E25" s="11"/>
      <c r="F25" s="11"/>
      <c r="G25" s="11"/>
      <c r="H25" s="11"/>
      <c r="I25" s="11"/>
      <c r="J25" s="11"/>
      <c r="K25" s="11"/>
      <c r="L25" s="11"/>
      <c r="M25" s="11"/>
      <c r="N25" s="11"/>
      <c r="O25" s="11"/>
      <c r="P25" s="11"/>
      <c r="Q25" s="11"/>
    </row>
    <row r="26" spans="1:23" ht="22" customHeight="1" x14ac:dyDescent="0.2">
      <c r="A26" s="72"/>
      <c r="B26" s="88"/>
      <c r="C26" s="11"/>
      <c r="D26" s="11"/>
      <c r="E26" s="11"/>
      <c r="F26" s="11"/>
      <c r="G26" s="11"/>
      <c r="H26" s="11"/>
      <c r="I26" s="11"/>
      <c r="J26" s="11"/>
      <c r="K26" s="11"/>
      <c r="L26" s="11"/>
      <c r="M26" s="11"/>
      <c r="N26" s="11"/>
      <c r="O26" s="11"/>
      <c r="P26" s="11"/>
      <c r="Q26" s="11"/>
    </row>
    <row r="27" spans="1:23" ht="22" customHeight="1" x14ac:dyDescent="0.2">
      <c r="A27" s="74" t="s">
        <v>98</v>
      </c>
      <c r="B27" s="77"/>
      <c r="C27" s="76"/>
      <c r="D27" s="11"/>
      <c r="E27" s="11"/>
      <c r="F27" s="11"/>
      <c r="G27" s="11"/>
      <c r="H27" s="11"/>
      <c r="I27" s="11"/>
      <c r="J27" s="11"/>
      <c r="K27" s="11"/>
      <c r="L27" s="11"/>
      <c r="M27" s="11"/>
      <c r="N27" s="11"/>
      <c r="O27" s="11"/>
      <c r="P27" s="11"/>
      <c r="Q27" s="11"/>
    </row>
    <row r="28" spans="1:23" ht="22" customHeight="1" x14ac:dyDescent="0.25">
      <c r="A28" s="79" t="s">
        <v>383</v>
      </c>
      <c r="B28" s="150">
        <f>'2022'!B14</f>
        <v>872.14</v>
      </c>
      <c r="D28" s="11"/>
      <c r="E28" s="11"/>
      <c r="F28" s="11"/>
      <c r="G28" s="11"/>
      <c r="H28" s="11"/>
      <c r="I28" s="11"/>
      <c r="J28" s="11"/>
      <c r="K28" s="11"/>
      <c r="L28" s="11"/>
      <c r="M28" s="11"/>
      <c r="N28" s="11"/>
      <c r="O28" s="11"/>
      <c r="P28" s="11"/>
      <c r="Q28" s="11"/>
    </row>
    <row r="29" spans="1:23" ht="22" customHeight="1" x14ac:dyDescent="0.2">
      <c r="A29" s="81"/>
      <c r="B29" s="151"/>
      <c r="C29" s="11"/>
      <c r="D29" s="11"/>
      <c r="E29" s="11"/>
      <c r="F29" s="11"/>
      <c r="G29" s="11"/>
      <c r="H29" s="11"/>
      <c r="I29" s="11"/>
      <c r="J29" s="11"/>
      <c r="K29" s="11"/>
      <c r="L29" s="11"/>
      <c r="M29" s="11"/>
      <c r="N29" s="11"/>
      <c r="O29" s="11"/>
      <c r="P29" s="11"/>
      <c r="Q29" s="11"/>
    </row>
    <row r="30" spans="1:23" ht="22" customHeight="1" x14ac:dyDescent="0.25">
      <c r="A30" s="83" t="s">
        <v>334</v>
      </c>
      <c r="B30" s="152">
        <f>B25-B28</f>
        <v>80341.7</v>
      </c>
      <c r="C30" s="64"/>
      <c r="D30" s="11"/>
      <c r="E30" s="11"/>
      <c r="F30" s="11"/>
      <c r="G30" s="11"/>
      <c r="H30" s="11"/>
      <c r="I30" s="11"/>
      <c r="J30" s="11"/>
      <c r="K30" s="11"/>
      <c r="L30" s="11"/>
      <c r="M30" s="11"/>
      <c r="N30" s="11"/>
      <c r="O30" s="11"/>
      <c r="P30" s="11"/>
      <c r="Q30" s="11"/>
    </row>
    <row r="31" spans="1:23" ht="22" customHeight="1" x14ac:dyDescent="0.25">
      <c r="A31" s="56" t="s">
        <v>102</v>
      </c>
      <c r="B31" s="91">
        <f>ROUND((B30-60000)*0.48+1400+4225+12180,2)</f>
        <v>27569.02</v>
      </c>
      <c r="C31" s="304" t="s">
        <v>370</v>
      </c>
      <c r="D31" s="284"/>
      <c r="E31" s="11"/>
      <c r="F31" s="11"/>
      <c r="G31" s="11"/>
      <c r="H31" s="11"/>
      <c r="I31" s="11"/>
      <c r="J31" s="11"/>
      <c r="K31" s="11"/>
      <c r="L31" s="11"/>
      <c r="M31" s="11"/>
      <c r="N31" s="11"/>
      <c r="O31" s="11"/>
      <c r="P31" s="11"/>
      <c r="Q31" s="11"/>
    </row>
    <row r="32" spans="1:23" ht="22" customHeight="1" x14ac:dyDescent="0.25">
      <c r="A32" s="56" t="s">
        <v>104</v>
      </c>
      <c r="B32" s="91">
        <f>ROUND((B13+H13+N13-620)*0.06,2)</f>
        <v>420.11</v>
      </c>
      <c r="C32" s="283" t="s">
        <v>105</v>
      </c>
      <c r="D32" s="284"/>
      <c r="E32" s="11"/>
      <c r="F32" s="11"/>
      <c r="G32" s="11"/>
      <c r="H32" s="11"/>
      <c r="I32" s="11"/>
      <c r="J32" s="11"/>
      <c r="K32" s="11"/>
      <c r="L32" s="11"/>
      <c r="M32" s="11"/>
      <c r="N32" s="11"/>
      <c r="O32" s="11"/>
      <c r="P32" s="11"/>
      <c r="Q32" s="11"/>
    </row>
    <row r="33" spans="1:17" ht="22" customHeight="1" x14ac:dyDescent="0.2">
      <c r="A33" s="86" t="s">
        <v>382</v>
      </c>
      <c r="B33" s="87">
        <f>400+21.33</f>
        <v>421.33</v>
      </c>
      <c r="C33" s="64"/>
      <c r="D33" s="11"/>
      <c r="E33" s="11"/>
      <c r="F33" s="11"/>
      <c r="G33" s="11"/>
      <c r="H33" s="11"/>
      <c r="I33" s="11"/>
      <c r="J33" s="11"/>
      <c r="K33" s="11"/>
      <c r="L33" s="11"/>
      <c r="M33" s="11"/>
      <c r="N33" s="11"/>
      <c r="O33" s="11"/>
      <c r="P33" s="11"/>
      <c r="Q33" s="11"/>
    </row>
    <row r="34" spans="1:17" ht="22" customHeight="1" x14ac:dyDescent="0.2">
      <c r="A34" s="72"/>
      <c r="B34" s="153"/>
      <c r="C34" s="11"/>
      <c r="D34" s="11"/>
      <c r="E34" s="11"/>
      <c r="F34" s="11"/>
      <c r="G34" s="11"/>
      <c r="H34" s="11"/>
      <c r="I34" s="11"/>
      <c r="J34" s="11"/>
      <c r="K34" s="11"/>
      <c r="L34" s="11"/>
      <c r="M34" s="11"/>
      <c r="N34" s="11"/>
      <c r="O34" s="11"/>
      <c r="P34" s="11"/>
      <c r="Q34" s="11"/>
    </row>
    <row r="35" spans="1:17" ht="22" customHeight="1" x14ac:dyDescent="0.25">
      <c r="A35" s="56" t="s">
        <v>107</v>
      </c>
      <c r="B35" s="91">
        <f>B31+B32-B33</f>
        <v>27567.8</v>
      </c>
      <c r="C35" s="76"/>
      <c r="D35" s="11"/>
      <c r="E35" s="11"/>
      <c r="F35" s="11"/>
      <c r="G35" s="11"/>
      <c r="H35" s="11"/>
      <c r="I35" s="11"/>
      <c r="J35" s="11"/>
      <c r="K35" s="11"/>
      <c r="L35" s="11"/>
      <c r="M35" s="11"/>
      <c r="N35" s="11"/>
      <c r="O35" s="11"/>
      <c r="P35" s="11"/>
      <c r="Q35" s="11"/>
    </row>
    <row r="36" spans="1:17" ht="22" customHeight="1" x14ac:dyDescent="0.2">
      <c r="A36" s="86" t="s">
        <v>175</v>
      </c>
      <c r="B36" s="87">
        <f>B18+H18+N18</f>
        <v>27346.58</v>
      </c>
      <c r="C36" s="64"/>
      <c r="D36" s="11"/>
      <c r="E36" s="11"/>
      <c r="F36" s="11"/>
      <c r="G36" s="11"/>
      <c r="H36" s="11"/>
      <c r="I36" s="11"/>
      <c r="J36" s="11"/>
      <c r="K36" s="11"/>
      <c r="L36" s="11"/>
      <c r="M36" s="11"/>
      <c r="N36" s="11"/>
      <c r="O36" s="11"/>
      <c r="P36" s="11"/>
      <c r="Q36" s="11"/>
    </row>
    <row r="37" spans="1:17" ht="22" customHeight="1" x14ac:dyDescent="0.2">
      <c r="A37" s="57" t="s">
        <v>109</v>
      </c>
      <c r="B37" s="154">
        <v>-0.22</v>
      </c>
      <c r="C37" s="11"/>
      <c r="D37" s="11"/>
      <c r="E37" s="11"/>
      <c r="F37" s="11"/>
      <c r="G37" s="11"/>
      <c r="H37" s="11"/>
      <c r="I37" s="11"/>
      <c r="J37" s="11"/>
      <c r="K37" s="11"/>
      <c r="L37" s="11"/>
      <c r="M37" s="11"/>
      <c r="N37" s="11"/>
      <c r="O37" s="11"/>
      <c r="P37" s="11"/>
      <c r="Q37" s="11"/>
    </row>
    <row r="38" spans="1:17" ht="22" customHeight="1" x14ac:dyDescent="0.2">
      <c r="A38" s="53"/>
      <c r="B38" s="155"/>
      <c r="C38" s="11"/>
      <c r="D38" s="11"/>
      <c r="E38" s="11"/>
      <c r="F38" s="11"/>
      <c r="G38" s="11"/>
      <c r="H38" s="11"/>
      <c r="I38" s="11"/>
      <c r="J38" s="11"/>
      <c r="K38" s="11"/>
      <c r="L38" s="11"/>
      <c r="M38" s="11"/>
      <c r="N38" s="11"/>
      <c r="O38" s="11"/>
      <c r="P38" s="11"/>
      <c r="Q38" s="11"/>
    </row>
    <row r="39" spans="1:17" ht="22" customHeight="1" x14ac:dyDescent="0.25">
      <c r="A39" s="56" t="s">
        <v>176</v>
      </c>
      <c r="B39" s="91">
        <f>B35-B36+B37</f>
        <v>220.99999999999753</v>
      </c>
      <c r="C39" s="76"/>
      <c r="D39" s="11"/>
      <c r="E39" s="11"/>
      <c r="F39" s="11"/>
      <c r="G39" s="11"/>
      <c r="H39" s="11"/>
      <c r="I39" s="11"/>
      <c r="J39" s="11"/>
      <c r="K39" s="11"/>
      <c r="L39" s="11"/>
      <c r="M39" s="11"/>
      <c r="N39" s="11"/>
      <c r="O39" s="11"/>
      <c r="P39" s="11"/>
      <c r="Q39" s="11"/>
    </row>
    <row r="40" spans="1:17" ht="22" customHeight="1" x14ac:dyDescent="0.2">
      <c r="A40" s="86" t="s">
        <v>357</v>
      </c>
      <c r="B40" s="87">
        <v>3257</v>
      </c>
      <c r="C40" s="64"/>
      <c r="D40" s="11"/>
      <c r="E40" s="11"/>
      <c r="F40" s="11"/>
      <c r="G40" s="11"/>
      <c r="H40" s="11"/>
      <c r="I40" s="11"/>
      <c r="J40" s="11"/>
      <c r="K40" s="11"/>
      <c r="L40" s="11"/>
      <c r="M40" s="11"/>
      <c r="N40" s="11"/>
      <c r="O40" s="11"/>
      <c r="P40" s="11"/>
      <c r="Q40" s="11"/>
    </row>
    <row r="41" spans="1:17" ht="22" customHeight="1" x14ac:dyDescent="0.2">
      <c r="A41" s="72"/>
      <c r="B41" s="153"/>
      <c r="C41" s="11"/>
      <c r="D41" s="11"/>
      <c r="E41" s="11"/>
      <c r="F41" s="11"/>
      <c r="G41" s="11"/>
      <c r="H41" s="11"/>
      <c r="I41" s="11"/>
      <c r="J41" s="11"/>
      <c r="K41" s="11"/>
      <c r="L41" s="11"/>
      <c r="M41" s="11"/>
      <c r="N41" s="11"/>
      <c r="O41" s="11"/>
      <c r="P41" s="11"/>
      <c r="Q41" s="11"/>
    </row>
    <row r="42" spans="1:17" ht="22" customHeight="1" x14ac:dyDescent="0.3">
      <c r="A42" s="156" t="s">
        <v>112</v>
      </c>
      <c r="B42" s="157">
        <f>B39-B40</f>
        <v>-3036.0000000000023</v>
      </c>
      <c r="C42" s="256" t="s">
        <v>397</v>
      </c>
      <c r="D42" s="11"/>
      <c r="E42" s="301" t="s">
        <v>375</v>
      </c>
      <c r="F42" s="302"/>
      <c r="G42" s="302"/>
      <c r="H42" s="303"/>
      <c r="I42" s="11"/>
      <c r="J42" s="11"/>
      <c r="K42" s="11"/>
      <c r="L42" s="11"/>
      <c r="M42" s="11"/>
      <c r="N42" s="11"/>
      <c r="O42" s="11"/>
      <c r="P42" s="11"/>
      <c r="Q42" s="11"/>
    </row>
    <row r="43" spans="1:17" ht="22" customHeight="1" x14ac:dyDescent="0.2">
      <c r="A43" s="61"/>
      <c r="B43" s="61"/>
      <c r="C43" s="11"/>
      <c r="D43" s="11"/>
      <c r="E43" s="253" t="s">
        <v>374</v>
      </c>
      <c r="F43" s="11">
        <f>105600/8</f>
        <v>13200</v>
      </c>
      <c r="G43" s="11"/>
      <c r="H43" s="11"/>
      <c r="I43" s="11"/>
      <c r="J43" s="11"/>
      <c r="K43" s="11"/>
      <c r="L43" s="11"/>
      <c r="M43" s="11"/>
      <c r="N43" s="11"/>
      <c r="O43" s="11"/>
      <c r="P43" s="11"/>
      <c r="Q43" s="11"/>
    </row>
    <row r="44" spans="1:17" ht="22" customHeight="1" x14ac:dyDescent="0.2">
      <c r="A44" s="11"/>
      <c r="B44" s="11"/>
      <c r="C44" s="11"/>
      <c r="D44" s="11"/>
      <c r="E44" s="253" t="s">
        <v>373</v>
      </c>
      <c r="F44" s="11">
        <f>SUM(F46:F53)</f>
        <v>69914</v>
      </c>
      <c r="G44" s="240">
        <f>N4-F45</f>
        <v>-161.44999999999709</v>
      </c>
      <c r="H44" s="253" t="s">
        <v>385</v>
      </c>
      <c r="I44" s="11"/>
      <c r="J44" s="11"/>
      <c r="K44" s="11"/>
      <c r="L44" s="11"/>
      <c r="M44" s="11"/>
      <c r="N44" s="11"/>
      <c r="O44" s="11"/>
      <c r="P44" s="11"/>
      <c r="Q44" s="11"/>
    </row>
    <row r="45" spans="1:17" ht="22" customHeight="1" x14ac:dyDescent="0.2">
      <c r="A45" s="11"/>
      <c r="B45" s="11"/>
      <c r="C45" s="11"/>
      <c r="D45" s="11"/>
      <c r="E45" s="255" t="s">
        <v>376</v>
      </c>
      <c r="F45" s="255">
        <f>F43+F44</f>
        <v>83114</v>
      </c>
      <c r="G45" s="11"/>
      <c r="H45" s="253" t="s">
        <v>384</v>
      </c>
      <c r="I45" s="11"/>
      <c r="J45" s="11"/>
      <c r="K45" s="11"/>
      <c r="L45" s="11"/>
      <c r="M45" s="11"/>
      <c r="N45" s="11"/>
      <c r="O45" s="11"/>
      <c r="P45" s="11"/>
      <c r="Q45" s="11"/>
    </row>
    <row r="46" spans="1:17" ht="22" customHeight="1" x14ac:dyDescent="0.25">
      <c r="A46" s="279" t="s">
        <v>358</v>
      </c>
      <c r="B46" s="280"/>
      <c r="C46" s="11"/>
      <c r="D46" s="11"/>
      <c r="E46" s="253" t="s">
        <v>42</v>
      </c>
      <c r="F46" s="11">
        <v>21457</v>
      </c>
      <c r="G46" s="11"/>
      <c r="H46" s="11"/>
      <c r="I46" s="11"/>
      <c r="J46" s="11"/>
      <c r="K46" s="11"/>
      <c r="L46" s="11"/>
      <c r="M46" s="11"/>
      <c r="N46" s="11"/>
      <c r="O46" s="11"/>
      <c r="P46" s="11"/>
      <c r="Q46" s="11"/>
    </row>
    <row r="47" spans="1:17" ht="22" customHeight="1" x14ac:dyDescent="0.2">
      <c r="A47" s="92" t="s">
        <v>179</v>
      </c>
      <c r="B47" s="66">
        <f>B4+H4+N4+T6</f>
        <v>98671.03</v>
      </c>
      <c r="C47" s="64"/>
      <c r="D47" s="11"/>
      <c r="E47" s="253" t="s">
        <v>43</v>
      </c>
      <c r="F47" s="11">
        <v>10652</v>
      </c>
      <c r="G47" s="11"/>
      <c r="H47" s="11"/>
      <c r="I47" s="11"/>
      <c r="J47" s="11"/>
      <c r="K47" s="11"/>
      <c r="L47" s="11"/>
      <c r="M47" s="11"/>
      <c r="N47" s="11"/>
      <c r="O47" s="11"/>
      <c r="P47" s="11"/>
      <c r="Q47" s="11"/>
    </row>
    <row r="48" spans="1:17" ht="22" customHeight="1" x14ac:dyDescent="0.2">
      <c r="A48" s="94" t="s">
        <v>115</v>
      </c>
      <c r="B48" s="133">
        <f>B10+H10+N10</f>
        <v>11556.12</v>
      </c>
      <c r="C48" s="64"/>
      <c r="D48" s="11"/>
      <c r="E48" s="253" t="s">
        <v>44</v>
      </c>
      <c r="F48" s="11">
        <v>5614</v>
      </c>
      <c r="G48" s="11"/>
      <c r="H48" s="11"/>
      <c r="I48" s="11"/>
      <c r="J48" s="11"/>
      <c r="K48" s="11"/>
      <c r="L48" s="11"/>
      <c r="M48" s="11"/>
      <c r="N48" s="11"/>
      <c r="O48" s="11"/>
      <c r="P48" s="11"/>
      <c r="Q48" s="11"/>
    </row>
    <row r="49" spans="1:17" ht="22" customHeight="1" x14ac:dyDescent="0.2">
      <c r="A49" s="94" t="s">
        <v>107</v>
      </c>
      <c r="B49" s="133">
        <f>B35</f>
        <v>27567.8</v>
      </c>
      <c r="C49" s="64"/>
      <c r="D49" s="11"/>
      <c r="E49" s="253" t="s">
        <v>371</v>
      </c>
      <c r="F49" s="11">
        <v>5763</v>
      </c>
      <c r="G49" s="11"/>
      <c r="H49" s="11"/>
      <c r="I49" s="11"/>
      <c r="J49" s="11"/>
      <c r="K49" s="11"/>
      <c r="L49" s="11"/>
      <c r="M49" s="11"/>
      <c r="N49" s="11"/>
      <c r="O49" s="11"/>
      <c r="P49" s="11"/>
      <c r="Q49" s="11"/>
    </row>
    <row r="50" spans="1:17" ht="22" customHeight="1" x14ac:dyDescent="0.2">
      <c r="A50" s="92" t="s">
        <v>335</v>
      </c>
      <c r="B50" s="66">
        <f>6025-'2022'!B20</f>
        <v>5985.52</v>
      </c>
      <c r="C50" s="64"/>
      <c r="D50" s="11"/>
      <c r="E50" s="253" t="s">
        <v>372</v>
      </c>
      <c r="F50" s="11">
        <v>5631</v>
      </c>
      <c r="G50" s="11"/>
      <c r="H50" s="11"/>
      <c r="I50" s="11"/>
      <c r="J50" s="11"/>
      <c r="K50" s="11"/>
      <c r="L50" s="11"/>
      <c r="M50" s="11"/>
      <c r="N50" s="11"/>
      <c r="O50" s="11"/>
      <c r="P50" s="11"/>
      <c r="Q50" s="11"/>
    </row>
    <row r="51" spans="1:17" ht="22" customHeight="1" x14ac:dyDescent="0.2">
      <c r="A51" s="96" t="s">
        <v>377</v>
      </c>
      <c r="B51" s="88"/>
      <c r="C51" s="64"/>
      <c r="D51" s="11"/>
      <c r="E51" s="253" t="s">
        <v>47</v>
      </c>
      <c r="F51" s="11">
        <v>5618</v>
      </c>
      <c r="G51" s="11"/>
      <c r="H51" s="11"/>
      <c r="I51" s="11"/>
      <c r="J51" s="11"/>
      <c r="K51" s="11"/>
      <c r="L51" s="11"/>
      <c r="M51" s="11"/>
      <c r="N51" s="11"/>
      <c r="O51" s="11"/>
      <c r="P51" s="11"/>
      <c r="Q51" s="11"/>
    </row>
    <row r="52" spans="1:17" ht="22" customHeight="1" x14ac:dyDescent="0.2">
      <c r="A52" s="96"/>
      <c r="B52" s="88"/>
      <c r="C52" s="11"/>
      <c r="D52" s="11"/>
      <c r="E52" s="253" t="s">
        <v>48</v>
      </c>
      <c r="F52" s="11">
        <v>9259</v>
      </c>
      <c r="G52" s="11"/>
      <c r="H52" s="11"/>
      <c r="I52" s="11"/>
      <c r="J52" s="11"/>
      <c r="K52" s="11"/>
      <c r="L52" s="11"/>
      <c r="M52" s="11"/>
      <c r="N52" s="11"/>
      <c r="O52" s="11"/>
      <c r="P52" s="11"/>
      <c r="Q52" s="11"/>
    </row>
    <row r="53" spans="1:17" ht="22" customHeight="1" x14ac:dyDescent="0.3">
      <c r="A53" s="156" t="s">
        <v>117</v>
      </c>
      <c r="B53" s="157">
        <f>B47-B48-B49+B50+B16</f>
        <v>65532.630000000005</v>
      </c>
      <c r="C53" s="76"/>
      <c r="D53" s="11"/>
      <c r="E53" s="254" t="s">
        <v>49</v>
      </c>
      <c r="F53" s="11">
        <v>5920</v>
      </c>
      <c r="G53" s="11"/>
      <c r="H53" s="11"/>
      <c r="I53" s="11"/>
      <c r="J53" s="11"/>
      <c r="K53" s="11"/>
      <c r="L53" s="11"/>
      <c r="M53" s="11"/>
      <c r="N53" s="11"/>
      <c r="O53" s="11"/>
      <c r="P53" s="11"/>
      <c r="Q53" s="11"/>
    </row>
  </sheetData>
  <mergeCells count="10">
    <mergeCell ref="A46:B46"/>
    <mergeCell ref="M1:Q2"/>
    <mergeCell ref="S1:W2"/>
    <mergeCell ref="E42:H42"/>
    <mergeCell ref="A1:E2"/>
    <mergeCell ref="G1:K2"/>
    <mergeCell ref="I15:K15"/>
    <mergeCell ref="A21:E22"/>
    <mergeCell ref="C31:D31"/>
    <mergeCell ref="C32:D32"/>
  </mergeCells>
  <pageMargins left="1" right="1" top="1" bottom="1" header="0.25" footer="0.25"/>
  <pageSetup orientation="portrait"/>
  <headerFooter>
    <oddFooter>&amp;C&amp;"Helvetica Neue,Regular"&amp;12&amp;K000000&amp;P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2908E-9B43-2D46-8AB7-D7409FBBE284}">
  <sheetPr>
    <pageSetUpPr fitToPage="1"/>
  </sheetPr>
  <dimension ref="A1:W33"/>
  <sheetViews>
    <sheetView showGridLines="0" zoomScale="80" zoomScaleNormal="80" workbookViewId="0">
      <selection activeCell="G8" sqref="G8"/>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v>0</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v>0</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0</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0</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v>0</v>
      </c>
      <c r="F8" s="160">
        <f>B10</f>
        <v>405.26</v>
      </c>
      <c r="G8" s="160">
        <f>B9</f>
        <v>71.412000000000006</v>
      </c>
      <c r="H8" s="240">
        <f>B11+B12</f>
        <v>147.46799999999999</v>
      </c>
      <c r="I8" s="11"/>
      <c r="J8" s="11"/>
      <c r="K8" s="11"/>
      <c r="L8" s="11"/>
      <c r="M8" s="11"/>
      <c r="N8" s="11"/>
      <c r="O8" s="11"/>
      <c r="P8" s="11"/>
      <c r="Q8" s="11"/>
      <c r="R8" s="11"/>
      <c r="S8" s="11"/>
      <c r="T8" s="11"/>
      <c r="U8" s="11"/>
      <c r="V8" s="11"/>
      <c r="W8" s="11"/>
    </row>
    <row r="9" spans="1:23" ht="22.25" customHeight="1" x14ac:dyDescent="0.2">
      <c r="A9" s="9" t="s">
        <v>30</v>
      </c>
      <c r="B9" s="100">
        <f>B27</f>
        <v>71.412000000000006</v>
      </c>
      <c r="C9" s="9" t="s">
        <v>29</v>
      </c>
      <c r="D9" s="11"/>
      <c r="E9" s="11" t="s">
        <v>339</v>
      </c>
      <c r="F9" s="11"/>
      <c r="G9" s="11"/>
      <c r="H9" s="11"/>
      <c r="I9" s="11"/>
      <c r="J9" s="11"/>
      <c r="K9" s="11"/>
      <c r="L9" s="11"/>
      <c r="M9" s="11"/>
      <c r="N9" s="11"/>
      <c r="O9" s="11"/>
      <c r="P9" s="11"/>
      <c r="Q9" s="11"/>
      <c r="R9" s="11"/>
      <c r="S9" s="11"/>
      <c r="T9" s="11"/>
      <c r="U9" s="11"/>
      <c r="V9" s="11"/>
      <c r="W9" s="11"/>
    </row>
    <row r="10" spans="1:23" ht="22.25" customHeight="1" x14ac:dyDescent="0.2">
      <c r="A10" s="9" t="s">
        <v>31</v>
      </c>
      <c r="B10" s="100">
        <f>B32</f>
        <v>405.26</v>
      </c>
      <c r="C10" s="9" t="s">
        <v>62</v>
      </c>
      <c r="D10" s="11"/>
      <c r="E10" s="100" t="s">
        <v>346</v>
      </c>
      <c r="F10" s="11"/>
      <c r="G10" s="11"/>
      <c r="H10" s="11"/>
      <c r="I10" s="11"/>
      <c r="J10" s="11"/>
      <c r="K10" s="11"/>
      <c r="L10" s="11"/>
      <c r="M10" s="11"/>
      <c r="N10" s="11"/>
      <c r="O10" s="11"/>
      <c r="P10" s="11"/>
      <c r="Q10" s="11"/>
      <c r="R10" s="11"/>
      <c r="S10" s="11"/>
      <c r="T10" s="11"/>
      <c r="U10" s="11"/>
      <c r="V10" s="11"/>
      <c r="W10" s="11"/>
    </row>
    <row r="11" spans="1:23" ht="22.25" customHeight="1" x14ac:dyDescent="0.2">
      <c r="A11" s="243" t="s">
        <v>386</v>
      </c>
      <c r="B11" s="100">
        <f>150*0.6</f>
        <v>90</v>
      </c>
      <c r="C11" s="9" t="s">
        <v>33</v>
      </c>
      <c r="D11" s="11"/>
      <c r="E11" s="11"/>
      <c r="F11" s="11"/>
      <c r="G11" s="11"/>
      <c r="H11" s="11"/>
      <c r="I11" s="11"/>
      <c r="J11" s="11"/>
      <c r="K11" s="11"/>
      <c r="L11" s="11"/>
      <c r="M11" s="11"/>
      <c r="N11" s="11"/>
      <c r="O11" s="11"/>
      <c r="P11" s="11"/>
      <c r="Q11" s="11"/>
      <c r="R11" s="11"/>
      <c r="S11" s="11"/>
      <c r="T11" s="11"/>
      <c r="U11" s="11"/>
      <c r="V11" s="11"/>
      <c r="W11" s="11"/>
    </row>
    <row r="12" spans="1:23" ht="22.25" customHeight="1" x14ac:dyDescent="0.2">
      <c r="A12" s="248" t="s">
        <v>367</v>
      </c>
      <c r="B12" s="101">
        <f>95.78*0.6</f>
        <v>57.467999999999996</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248" t="s">
        <v>381</v>
      </c>
      <c r="B13" s="101">
        <f>248</f>
        <v>248</v>
      </c>
      <c r="C13" s="243" t="s">
        <v>380</v>
      </c>
      <c r="D13" s="11"/>
      <c r="E13" s="11"/>
      <c r="F13" s="11"/>
      <c r="G13" s="11"/>
      <c r="H13" s="11"/>
      <c r="I13" s="11"/>
      <c r="J13" s="11"/>
      <c r="K13" s="11"/>
      <c r="L13" s="11"/>
      <c r="M13" s="11"/>
      <c r="N13" s="11"/>
      <c r="O13" s="11"/>
      <c r="P13" s="11"/>
      <c r="Q13" s="11"/>
      <c r="R13" s="11"/>
      <c r="S13" s="11"/>
      <c r="T13" s="11"/>
      <c r="U13" s="11"/>
      <c r="V13" s="11"/>
      <c r="W13" s="11"/>
    </row>
    <row r="14" spans="1:23" ht="22.25" customHeight="1" x14ac:dyDescent="0.2">
      <c r="A14" s="147" t="s">
        <v>21</v>
      </c>
      <c r="B14" s="102">
        <f>SUM(B9:B13)</f>
        <v>872.14</v>
      </c>
      <c r="C14" s="16"/>
      <c r="D14" s="11"/>
      <c r="E14" s="11"/>
      <c r="F14" s="11"/>
      <c r="G14" s="11"/>
      <c r="H14" s="11"/>
      <c r="I14" s="11"/>
      <c r="J14" s="11"/>
      <c r="K14" s="11"/>
      <c r="L14" s="11"/>
      <c r="M14" s="11"/>
      <c r="N14" s="11"/>
      <c r="O14" s="11"/>
      <c r="P14" s="11"/>
      <c r="Q14" s="11"/>
      <c r="R14" s="11"/>
      <c r="S14" s="11"/>
      <c r="T14" s="11"/>
      <c r="U14" s="11"/>
      <c r="V14" s="11"/>
      <c r="W14" s="11"/>
    </row>
    <row r="15" spans="1:23" ht="22.25" customHeight="1" x14ac:dyDescent="0.2">
      <c r="A15" s="17"/>
      <c r="B15" s="17"/>
      <c r="C15" s="11"/>
      <c r="D15" s="11"/>
      <c r="E15" s="100"/>
      <c r="F15" s="11"/>
      <c r="G15" s="11"/>
      <c r="H15" s="11"/>
      <c r="I15" s="11"/>
      <c r="J15" s="11"/>
      <c r="K15" s="11"/>
      <c r="L15" s="11"/>
      <c r="M15" s="11"/>
      <c r="N15" s="11"/>
      <c r="O15" s="11"/>
      <c r="P15" s="11"/>
      <c r="Q15" s="11"/>
      <c r="R15" s="11"/>
      <c r="S15" s="11"/>
      <c r="T15" s="11"/>
      <c r="U15" s="11"/>
      <c r="V15" s="11"/>
      <c r="W15" s="11"/>
    </row>
    <row r="16" spans="1:23" ht="22.25" customHeight="1" x14ac:dyDescent="0.2">
      <c r="A16" s="105"/>
      <c r="B16" s="101"/>
      <c r="C16" s="11"/>
      <c r="D16" s="11"/>
      <c r="E16" s="11"/>
      <c r="F16" s="11"/>
      <c r="G16" s="11"/>
      <c r="H16" s="11"/>
      <c r="I16" s="11"/>
      <c r="J16" s="11"/>
      <c r="K16" s="11"/>
      <c r="L16" s="11"/>
      <c r="M16" s="11"/>
      <c r="N16" s="11"/>
      <c r="O16" s="11"/>
      <c r="P16" s="11"/>
      <c r="Q16" s="11"/>
      <c r="R16" s="11"/>
      <c r="S16" s="11"/>
      <c r="T16" s="11"/>
      <c r="U16" s="11"/>
      <c r="V16" s="11"/>
      <c r="W16" s="11"/>
    </row>
    <row r="17" spans="1:23" ht="22.25" customHeight="1" x14ac:dyDescent="0.2">
      <c r="A17" s="147" t="s">
        <v>66</v>
      </c>
      <c r="B17" s="21">
        <v>2410.52</v>
      </c>
      <c r="C17" s="22" t="s">
        <v>67</v>
      </c>
      <c r="D17" s="11"/>
      <c r="E17" s="11"/>
      <c r="F17" s="11"/>
      <c r="G17" s="11"/>
      <c r="H17" s="11"/>
      <c r="I17" s="11"/>
      <c r="J17" s="11"/>
      <c r="K17" s="11"/>
      <c r="L17" s="11"/>
      <c r="M17" s="11"/>
      <c r="N17" s="11"/>
      <c r="O17" s="11"/>
      <c r="P17" s="11"/>
      <c r="Q17" s="11"/>
      <c r="R17" s="11"/>
      <c r="S17" s="11"/>
      <c r="T17" s="11"/>
      <c r="U17" s="11"/>
      <c r="V17" s="11"/>
      <c r="W17" s="11"/>
    </row>
    <row r="18" spans="1:23" ht="22.25" customHeight="1" x14ac:dyDescent="0.2">
      <c r="A18" s="17"/>
      <c r="B18" s="108"/>
      <c r="C18" s="11"/>
      <c r="D18" s="11"/>
      <c r="E18" s="11"/>
      <c r="F18" s="11"/>
      <c r="G18" s="11"/>
      <c r="H18" s="11"/>
      <c r="I18" s="11"/>
      <c r="J18" s="11"/>
      <c r="K18" s="11"/>
      <c r="L18" s="11"/>
      <c r="M18" s="11"/>
      <c r="N18" s="11"/>
      <c r="O18" s="11"/>
      <c r="P18" s="11"/>
      <c r="Q18" s="11"/>
      <c r="R18" s="11"/>
      <c r="S18" s="11"/>
      <c r="T18" s="11"/>
      <c r="U18" s="11"/>
      <c r="V18" s="11"/>
      <c r="W18" s="11"/>
    </row>
    <row r="19" spans="1:23" ht="22.25" customHeight="1" x14ac:dyDescent="0.25">
      <c r="A19" s="19" t="s">
        <v>34</v>
      </c>
      <c r="B19" s="101"/>
      <c r="C19" s="11"/>
      <c r="D19" s="11"/>
      <c r="E19" s="11"/>
      <c r="F19" s="11"/>
      <c r="G19" s="11"/>
      <c r="H19" s="11"/>
      <c r="I19" s="11"/>
      <c r="J19" s="11"/>
      <c r="K19" s="11"/>
      <c r="L19" s="11"/>
      <c r="M19" s="11"/>
      <c r="N19" s="11"/>
      <c r="O19" s="11"/>
      <c r="P19" s="11"/>
      <c r="Q19" s="11"/>
      <c r="R19" s="11"/>
      <c r="S19" s="11"/>
      <c r="T19" s="11"/>
      <c r="U19" s="11"/>
      <c r="V19" s="11"/>
      <c r="W19" s="11"/>
    </row>
    <row r="20" spans="1:23" ht="22.25" customHeight="1" x14ac:dyDescent="0.2">
      <c r="A20" s="25" t="s">
        <v>36</v>
      </c>
      <c r="B20" s="109">
        <v>39.479999999999997</v>
      </c>
      <c r="C20" s="16"/>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11"/>
      <c r="B21" s="17"/>
      <c r="C21" s="11"/>
      <c r="D21" s="11"/>
      <c r="E21" s="11"/>
      <c r="F21" s="11"/>
      <c r="G21" s="11"/>
      <c r="H21" s="11"/>
      <c r="I21" s="11"/>
      <c r="J21" s="11"/>
      <c r="K21" s="11"/>
      <c r="L21" s="11"/>
      <c r="M21" s="11"/>
      <c r="N21" s="11"/>
      <c r="O21" s="11"/>
      <c r="P21" s="11"/>
      <c r="Q21" s="11"/>
      <c r="R21" s="11"/>
      <c r="S21" s="11"/>
      <c r="T21" s="11"/>
      <c r="U21" s="11"/>
      <c r="V21" s="11"/>
      <c r="W21" s="11"/>
    </row>
    <row r="22" spans="1:23" ht="22.25" customHeight="1" x14ac:dyDescent="0.2">
      <c r="A22" s="11"/>
      <c r="B22" s="10"/>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5">
      <c r="A23" s="19" t="s">
        <v>37</v>
      </c>
      <c r="B23" s="10"/>
      <c r="C23" s="11"/>
      <c r="D23" s="11"/>
      <c r="E23" s="11"/>
      <c r="F23" s="11"/>
      <c r="G23" s="11"/>
      <c r="H23" s="11"/>
      <c r="I23" s="11"/>
      <c r="J23" s="11"/>
      <c r="K23" s="11"/>
      <c r="L23" s="11"/>
      <c r="M23" s="11"/>
      <c r="N23" s="11"/>
      <c r="O23" s="11"/>
      <c r="P23" s="11"/>
      <c r="Q23" s="11"/>
      <c r="R23" s="11"/>
      <c r="S23" s="11"/>
      <c r="T23" s="11"/>
      <c r="U23" s="11"/>
      <c r="V23" s="11"/>
      <c r="W23" s="11"/>
    </row>
    <row r="24" spans="1:23" ht="22.25" customHeight="1" x14ac:dyDescent="0.2">
      <c r="A24" s="11"/>
      <c r="B24" s="158" t="s">
        <v>38</v>
      </c>
      <c r="C24" s="158" t="s">
        <v>39</v>
      </c>
      <c r="D24" s="158" t="s">
        <v>40</v>
      </c>
      <c r="E24" s="158" t="s">
        <v>41</v>
      </c>
      <c r="F24" s="158" t="s">
        <v>42</v>
      </c>
      <c r="G24" s="158" t="s">
        <v>43</v>
      </c>
      <c r="H24" s="158" t="s">
        <v>44</v>
      </c>
      <c r="I24" s="158" t="s">
        <v>45</v>
      </c>
      <c r="J24" s="158" t="s">
        <v>46</v>
      </c>
      <c r="K24" s="158" t="s">
        <v>47</v>
      </c>
      <c r="L24" s="158" t="s">
        <v>48</v>
      </c>
      <c r="M24" s="158" t="s">
        <v>49</v>
      </c>
      <c r="N24" s="11"/>
      <c r="O24" s="11"/>
      <c r="P24" s="11"/>
      <c r="Q24" s="11"/>
      <c r="R24" s="11"/>
      <c r="S24" s="11"/>
      <c r="T24" s="11"/>
      <c r="U24" s="11"/>
      <c r="V24" s="11"/>
      <c r="W24" s="11"/>
    </row>
    <row r="25" spans="1:23" ht="22.25" customHeight="1" x14ac:dyDescent="0.2">
      <c r="A25" s="9" t="s">
        <v>180</v>
      </c>
      <c r="B25" s="100">
        <v>9.9</v>
      </c>
      <c r="C25" s="100">
        <v>9.9</v>
      </c>
      <c r="D25" s="100">
        <v>9.9</v>
      </c>
      <c r="E25" s="100">
        <v>9.9</v>
      </c>
      <c r="F25" s="100">
        <v>9.9</v>
      </c>
      <c r="G25" s="100">
        <v>9.9</v>
      </c>
      <c r="H25" s="100">
        <v>9.9</v>
      </c>
      <c r="I25" s="100">
        <v>10.119999999999999</v>
      </c>
      <c r="J25" s="100">
        <v>9.9</v>
      </c>
      <c r="K25" s="100">
        <v>9.9</v>
      </c>
      <c r="L25" s="100">
        <v>9.9</v>
      </c>
      <c r="M25" s="100">
        <v>9.9</v>
      </c>
      <c r="N25" s="11"/>
      <c r="O25" s="11"/>
      <c r="P25" s="11"/>
      <c r="Q25" s="11"/>
      <c r="R25" s="11"/>
      <c r="S25" s="11"/>
      <c r="T25" s="11"/>
      <c r="U25" s="11"/>
      <c r="V25" s="11"/>
      <c r="W25" s="11"/>
    </row>
    <row r="26" spans="1:23" ht="22.25" customHeight="1" x14ac:dyDescent="0.2">
      <c r="A26" s="9" t="s">
        <v>59</v>
      </c>
      <c r="B26" s="110">
        <f>SUM(B25:M25)</f>
        <v>119.02000000000002</v>
      </c>
      <c r="C26" s="100"/>
      <c r="D26" s="100"/>
      <c r="E26" s="100"/>
      <c r="F26" s="100"/>
      <c r="G26" s="100"/>
      <c r="H26" s="100"/>
      <c r="I26" s="100"/>
      <c r="J26" s="100"/>
      <c r="K26" s="100"/>
      <c r="L26" s="100"/>
      <c r="M26" s="100"/>
      <c r="N26" s="11"/>
      <c r="O26" s="11"/>
      <c r="P26" s="11"/>
      <c r="Q26" s="11"/>
      <c r="R26" s="11"/>
      <c r="S26" s="11"/>
      <c r="T26" s="11"/>
      <c r="U26" s="11"/>
      <c r="V26" s="11"/>
      <c r="W26" s="11"/>
    </row>
    <row r="27" spans="1:23" ht="22.25" customHeight="1" x14ac:dyDescent="0.25">
      <c r="A27" s="28" t="s">
        <v>54</v>
      </c>
      <c r="B27" s="161">
        <f>0.6*B26</f>
        <v>71.412000000000006</v>
      </c>
      <c r="C27" s="112"/>
      <c r="D27" s="100"/>
      <c r="E27" s="100"/>
      <c r="F27" s="100"/>
      <c r="G27" s="100"/>
      <c r="H27" s="100"/>
      <c r="I27" s="100"/>
      <c r="J27" s="100"/>
      <c r="K27" s="100"/>
      <c r="L27" s="100"/>
      <c r="M27" s="100"/>
      <c r="N27" s="11"/>
      <c r="O27" s="11"/>
      <c r="P27" s="11"/>
      <c r="Q27" s="11"/>
      <c r="R27" s="11"/>
      <c r="S27" s="11"/>
      <c r="T27" s="11"/>
      <c r="U27" s="11"/>
      <c r="V27" s="11"/>
      <c r="W27" s="11"/>
    </row>
    <row r="28" spans="1:23" ht="22.25" customHeight="1" x14ac:dyDescent="0.2">
      <c r="A28" s="11"/>
      <c r="B28" s="32"/>
      <c r="C28" s="11"/>
      <c r="D28" s="11"/>
      <c r="E28" s="11"/>
      <c r="F28" s="11"/>
      <c r="G28" s="11"/>
      <c r="H28" s="11"/>
      <c r="I28" s="11"/>
      <c r="J28" s="11"/>
      <c r="K28" s="11"/>
      <c r="L28" s="11"/>
      <c r="M28" s="11"/>
      <c r="N28" s="11"/>
      <c r="O28" s="11"/>
      <c r="P28" s="11"/>
      <c r="Q28" s="11"/>
      <c r="R28" s="11"/>
      <c r="S28" s="11"/>
      <c r="T28" s="11"/>
      <c r="U28" s="11"/>
      <c r="V28" s="11"/>
      <c r="W28" s="11"/>
    </row>
    <row r="29" spans="1:23" ht="22.25" customHeight="1" x14ac:dyDescent="0.2">
      <c r="A29" s="9" t="s">
        <v>56</v>
      </c>
      <c r="B29" s="10"/>
      <c r="C29" s="11"/>
      <c r="D29" s="11"/>
      <c r="E29" s="11"/>
      <c r="F29" s="11"/>
      <c r="G29" s="11"/>
      <c r="H29" s="11"/>
      <c r="I29" s="11"/>
      <c r="J29" s="11"/>
      <c r="K29" s="11"/>
      <c r="L29" s="11"/>
      <c r="M29" s="11"/>
      <c r="N29" s="11"/>
      <c r="O29" s="11"/>
      <c r="P29" s="11"/>
      <c r="Q29" s="11"/>
      <c r="R29" s="11"/>
      <c r="S29" s="11"/>
      <c r="T29" s="11"/>
      <c r="U29" s="11"/>
      <c r="V29" s="11"/>
      <c r="W29" s="11"/>
    </row>
    <row r="30" spans="1:23" ht="22.25" customHeight="1" x14ac:dyDescent="0.2">
      <c r="A30" s="243" t="s">
        <v>369</v>
      </c>
      <c r="B30" s="100">
        <v>384.06</v>
      </c>
      <c r="C30" s="11"/>
      <c r="D30" s="11"/>
      <c r="E30" s="11"/>
      <c r="F30" s="11"/>
      <c r="G30" s="11"/>
      <c r="H30" s="11"/>
      <c r="I30" s="11"/>
      <c r="J30" s="11"/>
      <c r="K30" s="11"/>
      <c r="L30" s="11"/>
      <c r="M30" s="11"/>
      <c r="N30" s="11"/>
      <c r="O30" s="11"/>
      <c r="P30" s="11"/>
      <c r="Q30" s="11"/>
      <c r="R30" s="11"/>
      <c r="S30" s="11"/>
      <c r="T30" s="11"/>
      <c r="U30" s="11"/>
      <c r="V30" s="11"/>
      <c r="W30" s="11"/>
    </row>
    <row r="31" spans="1:23" ht="22.25" customHeight="1" x14ac:dyDescent="0.2">
      <c r="A31" s="243" t="s">
        <v>368</v>
      </c>
      <c r="B31" s="100">
        <v>21.2</v>
      </c>
      <c r="C31" s="11"/>
      <c r="D31" s="11"/>
      <c r="E31" s="11"/>
      <c r="F31" s="11"/>
      <c r="G31" s="11"/>
      <c r="H31" s="11"/>
      <c r="I31" s="11"/>
      <c r="J31" s="11"/>
      <c r="K31" s="11"/>
      <c r="L31" s="11"/>
      <c r="M31" s="11"/>
      <c r="N31" s="11"/>
      <c r="O31" s="11"/>
      <c r="P31" s="11"/>
      <c r="Q31" s="11"/>
      <c r="R31" s="11"/>
      <c r="S31" s="11"/>
      <c r="T31" s="11"/>
      <c r="U31" s="11"/>
      <c r="V31" s="11"/>
      <c r="W31" s="11"/>
    </row>
    <row r="32" spans="1:23" ht="22.25" customHeight="1" x14ac:dyDescent="0.25">
      <c r="A32" s="28" t="s">
        <v>59</v>
      </c>
      <c r="B32" s="161">
        <f>B30+B31</f>
        <v>405.26</v>
      </c>
      <c r="C32" s="33"/>
      <c r="D32" s="11"/>
      <c r="E32" s="11"/>
      <c r="F32" s="11"/>
      <c r="G32" s="11"/>
      <c r="H32" s="11"/>
      <c r="I32" s="11"/>
      <c r="J32" s="11"/>
      <c r="K32" s="11"/>
      <c r="L32" s="11"/>
      <c r="M32" s="11"/>
      <c r="N32" s="11"/>
      <c r="O32" s="11"/>
      <c r="P32" s="11"/>
      <c r="Q32" s="11"/>
      <c r="R32" s="11"/>
      <c r="S32" s="11"/>
      <c r="T32" s="11"/>
      <c r="U32" s="11"/>
      <c r="V32" s="11"/>
      <c r="W32" s="11"/>
    </row>
    <row r="33" spans="1:23" ht="22.25" customHeight="1" x14ac:dyDescent="0.2">
      <c r="A33" s="11"/>
      <c r="B33" s="114"/>
      <c r="C33" s="11"/>
      <c r="D33" s="11"/>
      <c r="E33" s="11"/>
      <c r="F33" s="11"/>
      <c r="G33" s="11"/>
      <c r="H33" s="11"/>
      <c r="I33" s="11"/>
      <c r="J33" s="11"/>
      <c r="K33" s="11"/>
      <c r="L33" s="11"/>
      <c r="M33" s="11"/>
      <c r="N33" s="11"/>
      <c r="O33" s="11"/>
      <c r="P33" s="11"/>
      <c r="Q33" s="11"/>
      <c r="R33" s="11"/>
      <c r="S33" s="11"/>
      <c r="T33" s="11"/>
      <c r="U33" s="11"/>
      <c r="V33" s="11"/>
      <c r="W33" s="11"/>
    </row>
  </sheetData>
  <pageMargins left="1" right="1" top="1" bottom="1" header="0.25" footer="0.25"/>
  <pageSetup orientation="portrait"/>
  <headerFooter>
    <oddFooter>&amp;C&amp;"Helvetica Neue,Regular"&amp;12&amp;K000000&amp;P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6CB2C-C161-4B3C-882F-FC67C0CD3691}">
  <sheetPr>
    <pageSetUpPr fitToPage="1"/>
  </sheetPr>
  <dimension ref="A1:H53"/>
  <sheetViews>
    <sheetView showGridLines="0" topLeftCell="A22" zoomScale="110" zoomScaleNormal="110" workbookViewId="0">
      <selection activeCell="C43" sqref="C43:D43"/>
    </sheetView>
  </sheetViews>
  <sheetFormatPr baseColWidth="10" defaultColWidth="12.25" defaultRowHeight="20" customHeight="1" x14ac:dyDescent="0.2"/>
  <cols>
    <col min="1" max="1" width="53.375" style="5" customWidth="1"/>
    <col min="2" max="2" width="13.625" style="5" customWidth="1"/>
    <col min="3" max="3" width="9.25" style="5" customWidth="1"/>
    <col min="4" max="4" width="39.625" style="5" customWidth="1"/>
    <col min="5" max="5" width="32.125" style="5" customWidth="1"/>
    <col min="6" max="6" width="13.75" style="5" customWidth="1"/>
    <col min="7" max="16384" width="12.25" style="5"/>
  </cols>
  <sheetData>
    <row r="1" spans="1:6" ht="22" customHeight="1" x14ac:dyDescent="0.2">
      <c r="A1" s="297" t="s">
        <v>398</v>
      </c>
      <c r="B1" s="297"/>
      <c r="C1" s="297"/>
      <c r="D1" s="297"/>
      <c r="E1" s="297"/>
      <c r="F1" s="122"/>
    </row>
    <row r="2" spans="1:6" ht="22" customHeight="1" x14ac:dyDescent="0.2">
      <c r="A2" s="300"/>
      <c r="B2" s="300"/>
      <c r="C2" s="300"/>
      <c r="D2" s="300"/>
      <c r="E2" s="300"/>
      <c r="F2" s="122"/>
    </row>
    <row r="3" spans="1:6" ht="22" customHeight="1" x14ac:dyDescent="0.2">
      <c r="A3" s="39"/>
      <c r="B3" s="39"/>
      <c r="C3" s="40" t="s">
        <v>76</v>
      </c>
      <c r="D3" s="39"/>
      <c r="E3" s="39"/>
      <c r="F3" s="11"/>
    </row>
    <row r="4" spans="1:6" ht="22" customHeight="1" x14ac:dyDescent="0.2">
      <c r="A4" s="41" t="s">
        <v>212</v>
      </c>
      <c r="B4" s="42">
        <v>127762.55</v>
      </c>
      <c r="C4" s="43">
        <v>210</v>
      </c>
      <c r="D4" s="11"/>
      <c r="E4" s="11"/>
      <c r="F4" s="11"/>
    </row>
    <row r="5" spans="1:6" ht="22" customHeight="1" x14ac:dyDescent="0.2">
      <c r="A5" s="124" t="s">
        <v>213</v>
      </c>
      <c r="B5" s="45">
        <f>B4-B6</f>
        <v>110239.41</v>
      </c>
      <c r="C5" s="46"/>
      <c r="D5" s="11"/>
      <c r="E5" s="11"/>
      <c r="F5" s="123"/>
    </row>
    <row r="6" spans="1:6" ht="22" customHeight="1" x14ac:dyDescent="0.2">
      <c r="A6" s="244" t="s">
        <v>359</v>
      </c>
      <c r="B6" s="48">
        <v>17523.14</v>
      </c>
      <c r="C6" s="49">
        <v>220</v>
      </c>
      <c r="D6" s="11"/>
      <c r="E6" s="11"/>
      <c r="F6" s="123"/>
    </row>
    <row r="7" spans="1:6" ht="22" customHeight="1" x14ac:dyDescent="0.2">
      <c r="A7" s="50"/>
      <c r="B7" s="51"/>
      <c r="C7" s="52"/>
      <c r="D7" s="53"/>
      <c r="E7" s="53"/>
      <c r="F7" s="11"/>
    </row>
    <row r="8" spans="1:6" ht="22" customHeight="1" x14ac:dyDescent="0.25">
      <c r="A8" s="124" t="s">
        <v>214</v>
      </c>
      <c r="B8" s="45">
        <v>12647.41</v>
      </c>
      <c r="C8" s="54">
        <v>230</v>
      </c>
      <c r="D8" s="55"/>
      <c r="E8" s="56"/>
      <c r="F8" s="126"/>
    </row>
    <row r="9" spans="1:6" ht="22" customHeight="1" x14ac:dyDescent="0.25">
      <c r="A9" s="125" t="s">
        <v>82</v>
      </c>
      <c r="B9" s="48">
        <v>2003.04</v>
      </c>
      <c r="C9" s="54">
        <v>225</v>
      </c>
      <c r="D9" s="55"/>
      <c r="E9" s="56"/>
      <c r="F9" s="126"/>
    </row>
    <row r="10" spans="1:6" ht="22" customHeight="1" x14ac:dyDescent="0.25">
      <c r="A10" s="57" t="s">
        <v>84</v>
      </c>
      <c r="B10" s="58">
        <f>B8+B9</f>
        <v>14650.45</v>
      </c>
      <c r="C10" s="59"/>
      <c r="D10" s="55"/>
      <c r="E10" s="56"/>
      <c r="F10" s="76"/>
    </row>
    <row r="11" spans="1:6" ht="22" customHeight="1" x14ac:dyDescent="0.2">
      <c r="A11" s="60"/>
      <c r="B11" s="42"/>
      <c r="C11" s="52"/>
      <c r="D11" s="61"/>
      <c r="E11" s="61"/>
      <c r="F11" s="11"/>
    </row>
    <row r="12" spans="1:6" ht="22" customHeight="1" x14ac:dyDescent="0.2">
      <c r="A12" s="124" t="s">
        <v>215</v>
      </c>
      <c r="B12" s="45">
        <f>B5-B8-B16-B15</f>
        <v>96560</v>
      </c>
      <c r="C12" s="49">
        <v>245</v>
      </c>
      <c r="D12" s="243" t="s">
        <v>399</v>
      </c>
      <c r="E12" s="11"/>
      <c r="F12" s="123"/>
    </row>
    <row r="13" spans="1:6" ht="22" customHeight="1" x14ac:dyDescent="0.2">
      <c r="A13" s="125" t="s">
        <v>88</v>
      </c>
      <c r="B13" s="48">
        <f>B6-B9</f>
        <v>15520.099999999999</v>
      </c>
      <c r="C13" s="46"/>
      <c r="D13" s="243"/>
      <c r="E13" s="11"/>
      <c r="F13" s="123"/>
    </row>
    <row r="14" spans="1:6" ht="22" customHeight="1" x14ac:dyDescent="0.2">
      <c r="A14" s="50"/>
      <c r="B14" s="51"/>
      <c r="C14" s="11"/>
      <c r="D14" s="11"/>
      <c r="E14" s="11"/>
      <c r="F14" s="11"/>
    </row>
    <row r="15" spans="1:6" ht="22" customHeight="1" x14ac:dyDescent="0.2">
      <c r="A15" s="245" t="s">
        <v>362</v>
      </c>
      <c r="B15" s="63">
        <v>1032</v>
      </c>
      <c r="C15" s="49">
        <v>215</v>
      </c>
      <c r="D15" s="237"/>
      <c r="E15" s="237"/>
      <c r="F15" s="11"/>
    </row>
    <row r="16" spans="1:6" ht="22" customHeight="1" x14ac:dyDescent="0.2">
      <c r="A16" s="127" t="s">
        <v>217</v>
      </c>
      <c r="B16" s="63">
        <v>0</v>
      </c>
      <c r="C16" s="49">
        <v>243</v>
      </c>
      <c r="D16" s="11"/>
      <c r="E16" s="11"/>
      <c r="F16" s="11"/>
    </row>
    <row r="17" spans="1:6" ht="22" customHeight="1" x14ac:dyDescent="0.2">
      <c r="A17" s="50"/>
      <c r="B17" s="51"/>
      <c r="C17" s="11"/>
      <c r="D17" s="11"/>
      <c r="E17" s="11"/>
      <c r="F17" s="11"/>
    </row>
    <row r="18" spans="1:6" ht="22" customHeight="1" x14ac:dyDescent="0.2">
      <c r="A18" s="128" t="s">
        <v>93</v>
      </c>
      <c r="B18" s="66">
        <v>35403</v>
      </c>
      <c r="C18" s="49">
        <v>260</v>
      </c>
      <c r="D18" s="11"/>
      <c r="E18" s="11"/>
      <c r="F18" s="123"/>
    </row>
    <row r="19" spans="1:6" ht="22" customHeight="1" x14ac:dyDescent="0.2">
      <c r="A19" s="39"/>
      <c r="B19" s="39"/>
      <c r="C19" s="11"/>
      <c r="D19" s="11"/>
      <c r="E19" s="11"/>
      <c r="F19" s="11"/>
    </row>
    <row r="20" spans="1:6" ht="22" customHeight="1" x14ac:dyDescent="0.2">
      <c r="A20" s="53"/>
      <c r="B20" s="53"/>
      <c r="C20" s="53"/>
      <c r="D20" s="53"/>
      <c r="E20" s="53"/>
      <c r="F20" s="11"/>
    </row>
    <row r="21" spans="1:6" ht="22" customHeight="1" x14ac:dyDescent="0.2">
      <c r="A21" s="299" t="s">
        <v>400</v>
      </c>
      <c r="B21" s="294"/>
      <c r="C21" s="294"/>
      <c r="D21" s="294"/>
      <c r="E21" s="294"/>
      <c r="F21" s="76"/>
    </row>
    <row r="22" spans="1:6" ht="22" customHeight="1" x14ac:dyDescent="0.2">
      <c r="A22" s="294"/>
      <c r="B22" s="294"/>
      <c r="C22" s="294"/>
      <c r="D22" s="294"/>
      <c r="E22" s="294"/>
      <c r="F22" s="76"/>
    </row>
    <row r="23" spans="1:6" ht="22" customHeight="1" x14ac:dyDescent="0.2">
      <c r="A23" s="67" t="s">
        <v>95</v>
      </c>
      <c r="B23" s="68">
        <f>'2023'!B18</f>
        <v>410.52</v>
      </c>
      <c r="C23" s="247"/>
      <c r="D23" s="61"/>
      <c r="E23" s="61"/>
      <c r="F23" s="11"/>
    </row>
    <row r="24" spans="1:6" ht="22" customHeight="1" x14ac:dyDescent="0.2">
      <c r="A24" s="44" t="s">
        <v>172</v>
      </c>
      <c r="B24" s="45">
        <f>B12</f>
        <v>96560</v>
      </c>
      <c r="C24" s="64"/>
      <c r="D24" s="11"/>
      <c r="E24" s="11"/>
      <c r="F24" s="11"/>
    </row>
    <row r="25" spans="1:6" ht="22" customHeight="1" x14ac:dyDescent="0.25">
      <c r="A25" s="129" t="s">
        <v>97</v>
      </c>
      <c r="B25" s="130">
        <f>IF(B23&gt;730,B23,0)+B24</f>
        <v>96560</v>
      </c>
      <c r="C25" s="260"/>
      <c r="D25" s="11"/>
      <c r="E25" s="11"/>
      <c r="F25" s="11"/>
    </row>
    <row r="26" spans="1:6" ht="22" customHeight="1" x14ac:dyDescent="0.2">
      <c r="A26" s="72"/>
      <c r="B26" s="88"/>
      <c r="C26" s="11"/>
      <c r="D26" s="11"/>
      <c r="E26" s="11"/>
      <c r="F26" s="11"/>
    </row>
    <row r="27" spans="1:6" ht="22" customHeight="1" x14ac:dyDescent="0.2">
      <c r="A27" s="74" t="s">
        <v>98</v>
      </c>
      <c r="B27" s="77"/>
      <c r="C27" s="76"/>
      <c r="D27" s="11"/>
      <c r="E27" s="11"/>
      <c r="F27" s="11"/>
    </row>
    <row r="28" spans="1:6" ht="22" customHeight="1" x14ac:dyDescent="0.25">
      <c r="A28" s="79" t="s">
        <v>383</v>
      </c>
      <c r="B28" s="150">
        <f>'2023'!B14</f>
        <v>530.678</v>
      </c>
      <c r="D28" s="11"/>
      <c r="E28" s="11"/>
      <c r="F28" s="11"/>
    </row>
    <row r="29" spans="1:6" ht="22" customHeight="1" x14ac:dyDescent="0.2">
      <c r="A29" s="81"/>
      <c r="B29" s="151"/>
      <c r="C29" s="11"/>
      <c r="D29" s="11"/>
      <c r="E29" s="11"/>
      <c r="F29" s="11"/>
    </row>
    <row r="30" spans="1:6" ht="22" customHeight="1" x14ac:dyDescent="0.25">
      <c r="A30" s="83" t="s">
        <v>334</v>
      </c>
      <c r="B30" s="152">
        <f>B25-B28</f>
        <v>96029.322</v>
      </c>
      <c r="C30" s="64"/>
      <c r="D30" s="11"/>
      <c r="E30" s="11"/>
      <c r="F30" s="11"/>
    </row>
    <row r="31" spans="1:6" ht="22" customHeight="1" x14ac:dyDescent="0.25">
      <c r="A31" s="56" t="s">
        <v>102</v>
      </c>
      <c r="B31" s="91">
        <f>ROUND((B30-93120)*0.5+32571.75,2)</f>
        <v>34026.410000000003</v>
      </c>
      <c r="C31" s="304" t="s">
        <v>406</v>
      </c>
      <c r="D31" s="284"/>
      <c r="E31" s="11"/>
      <c r="F31" s="11"/>
    </row>
    <row r="32" spans="1:6" ht="22" customHeight="1" x14ac:dyDescent="0.25">
      <c r="A32" s="56" t="s">
        <v>104</v>
      </c>
      <c r="B32" s="91">
        <f>ROUND((B13-620)*0.06,2)</f>
        <v>894.01</v>
      </c>
      <c r="C32" s="283" t="s">
        <v>105</v>
      </c>
      <c r="D32" s="284"/>
      <c r="E32" s="11"/>
      <c r="F32" s="11"/>
    </row>
    <row r="33" spans="1:8" ht="22" customHeight="1" x14ac:dyDescent="0.2">
      <c r="A33" s="86" t="s">
        <v>382</v>
      </c>
      <c r="B33" s="87">
        <f>421+'2023'!B16</f>
        <v>442.33</v>
      </c>
      <c r="C33" s="64"/>
      <c r="D33" s="11"/>
      <c r="E33" s="11"/>
      <c r="F33" s="11"/>
    </row>
    <row r="34" spans="1:8" ht="22" customHeight="1" x14ac:dyDescent="0.2">
      <c r="A34" s="72"/>
      <c r="B34" s="153"/>
      <c r="C34" s="11"/>
      <c r="D34" s="11"/>
      <c r="E34" s="11"/>
      <c r="F34" s="11"/>
    </row>
    <row r="35" spans="1:8" ht="22" customHeight="1" x14ac:dyDescent="0.25">
      <c r="A35" s="56" t="s">
        <v>107</v>
      </c>
      <c r="B35" s="91">
        <f>B31+B32-B33</f>
        <v>34478.090000000004</v>
      </c>
      <c r="C35" s="76"/>
      <c r="D35" s="11"/>
      <c r="E35" s="11"/>
      <c r="F35" s="11"/>
    </row>
    <row r="36" spans="1:8" ht="22" customHeight="1" x14ac:dyDescent="0.2">
      <c r="A36" s="86" t="s">
        <v>175</v>
      </c>
      <c r="B36" s="87">
        <f>B18</f>
        <v>35403</v>
      </c>
      <c r="C36" s="64"/>
      <c r="D36" s="11"/>
      <c r="E36" s="11"/>
      <c r="F36" s="11"/>
    </row>
    <row r="37" spans="1:8" ht="22" customHeight="1" x14ac:dyDescent="0.2">
      <c r="A37" s="57" t="s">
        <v>109</v>
      </c>
      <c r="B37" s="154">
        <v>-0.09</v>
      </c>
      <c r="C37" s="11"/>
      <c r="D37" s="11"/>
      <c r="E37" s="11"/>
      <c r="F37" s="11"/>
    </row>
    <row r="38" spans="1:8" ht="22" customHeight="1" x14ac:dyDescent="0.2">
      <c r="A38" s="53"/>
      <c r="B38" s="155"/>
      <c r="C38" s="11"/>
      <c r="D38" s="11"/>
      <c r="E38" s="11"/>
      <c r="F38" s="11"/>
    </row>
    <row r="39" spans="1:8" ht="22" customHeight="1" x14ac:dyDescent="0.25">
      <c r="A39" s="56" t="s">
        <v>176</v>
      </c>
      <c r="B39" s="91">
        <f>B35-B36+B37</f>
        <v>-924.99999999999625</v>
      </c>
      <c r="C39" s="76"/>
      <c r="D39" s="11"/>
      <c r="E39" s="11"/>
      <c r="F39" s="11"/>
    </row>
    <row r="40" spans="1:8" ht="22" customHeight="1" x14ac:dyDescent="0.2">
      <c r="A40" s="86" t="s">
        <v>405</v>
      </c>
      <c r="B40" s="87">
        <v>0</v>
      </c>
      <c r="C40" s="64"/>
      <c r="D40" s="11"/>
      <c r="E40" s="11"/>
      <c r="F40" s="11"/>
    </row>
    <row r="41" spans="1:8" ht="22" customHeight="1" x14ac:dyDescent="0.2">
      <c r="A41" s="72"/>
      <c r="B41" s="153"/>
      <c r="C41" s="11"/>
      <c r="D41" s="11"/>
      <c r="E41" s="11"/>
      <c r="F41" s="11"/>
    </row>
    <row r="42" spans="1:8" ht="22" customHeight="1" x14ac:dyDescent="0.3">
      <c r="A42" s="156" t="s">
        <v>112</v>
      </c>
      <c r="B42" s="157">
        <f>B39-B40</f>
        <v>-924.99999999999625</v>
      </c>
      <c r="C42" s="305" t="s">
        <v>407</v>
      </c>
      <c r="D42" s="306"/>
      <c r="E42" s="301" t="s">
        <v>423</v>
      </c>
      <c r="F42" s="302"/>
    </row>
    <row r="43" spans="1:8" ht="22" customHeight="1" x14ac:dyDescent="0.2">
      <c r="A43" s="61"/>
      <c r="B43" s="61"/>
      <c r="C43" s="307" t="s">
        <v>421</v>
      </c>
      <c r="D43" s="298"/>
      <c r="E43" s="253" t="s">
        <v>374</v>
      </c>
      <c r="F43" s="11">
        <f>18133+19500</f>
        <v>37633</v>
      </c>
    </row>
    <row r="44" spans="1:8" ht="22" customHeight="1" x14ac:dyDescent="0.2">
      <c r="A44" s="11"/>
      <c r="B44" s="11"/>
      <c r="C44" s="11"/>
      <c r="D44" s="11"/>
      <c r="E44" s="253" t="s">
        <v>412</v>
      </c>
      <c r="F44" s="258">
        <f>SUM(F46:F51)+SUM(H46:H51)</f>
        <v>90149</v>
      </c>
    </row>
    <row r="45" spans="1:8" ht="22" customHeight="1" x14ac:dyDescent="0.2">
      <c r="A45" s="11"/>
      <c r="B45" s="11"/>
      <c r="C45" s="11"/>
      <c r="D45" s="11"/>
      <c r="E45" s="255" t="s">
        <v>376</v>
      </c>
      <c r="F45" s="259">
        <f>F43+F44</f>
        <v>127782</v>
      </c>
    </row>
    <row r="46" spans="1:8" ht="22" customHeight="1" x14ac:dyDescent="0.25">
      <c r="A46" s="279" t="s">
        <v>426</v>
      </c>
      <c r="B46" s="280"/>
      <c r="C46" s="11"/>
      <c r="D46" s="11"/>
      <c r="E46" s="253" t="s">
        <v>38</v>
      </c>
      <c r="F46" s="258">
        <v>5804</v>
      </c>
      <c r="G46" s="253" t="s">
        <v>44</v>
      </c>
      <c r="H46" s="258">
        <v>6269</v>
      </c>
    </row>
    <row r="47" spans="1:8" ht="22" customHeight="1" x14ac:dyDescent="0.2">
      <c r="A47" s="92" t="s">
        <v>179</v>
      </c>
      <c r="B47" s="66">
        <f>B4</f>
        <v>127762.55</v>
      </c>
      <c r="C47" s="64"/>
      <c r="D47" s="11"/>
      <c r="E47" s="253" t="s">
        <v>39</v>
      </c>
      <c r="F47" s="258">
        <v>5723</v>
      </c>
      <c r="G47" s="253" t="s">
        <v>45</v>
      </c>
      <c r="H47" s="258">
        <v>6182</v>
      </c>
    </row>
    <row r="48" spans="1:8" ht="22" customHeight="1" x14ac:dyDescent="0.2">
      <c r="A48" s="94" t="s">
        <v>115</v>
      </c>
      <c r="B48" s="133">
        <f>B10</f>
        <v>14650.45</v>
      </c>
      <c r="C48" s="64"/>
      <c r="D48" s="11"/>
      <c r="E48" s="253" t="s">
        <v>40</v>
      </c>
      <c r="F48" s="258">
        <v>5614</v>
      </c>
      <c r="G48" s="253" t="s">
        <v>46</v>
      </c>
      <c r="H48" s="258">
        <v>6170</v>
      </c>
    </row>
    <row r="49" spans="1:8" ht="22" customHeight="1" x14ac:dyDescent="0.2">
      <c r="A49" s="94" t="s">
        <v>107</v>
      </c>
      <c r="B49" s="133">
        <f>B35</f>
        <v>34478.090000000004</v>
      </c>
      <c r="C49" s="64"/>
      <c r="D49" s="11"/>
      <c r="E49" s="253" t="s">
        <v>41</v>
      </c>
      <c r="F49" s="258">
        <v>5824</v>
      </c>
      <c r="G49" s="253" t="s">
        <v>411</v>
      </c>
      <c r="H49" s="258">
        <v>11353</v>
      </c>
    </row>
    <row r="50" spans="1:8" ht="22" customHeight="1" x14ac:dyDescent="0.2">
      <c r="A50" s="92" t="s">
        <v>335</v>
      </c>
      <c r="B50" s="66">
        <f>925-'2023'!B21</f>
        <v>885.52</v>
      </c>
      <c r="C50" s="64"/>
      <c r="D50" s="11"/>
      <c r="E50" s="253" t="s">
        <v>42</v>
      </c>
      <c r="F50" s="258">
        <v>6170</v>
      </c>
      <c r="G50" s="253" t="s">
        <v>410</v>
      </c>
      <c r="H50" s="258">
        <v>12340</v>
      </c>
    </row>
    <row r="51" spans="1:8" ht="22" customHeight="1" x14ac:dyDescent="0.2">
      <c r="A51" s="96" t="s">
        <v>377</v>
      </c>
      <c r="B51" s="88"/>
      <c r="C51" s="64"/>
      <c r="D51" s="11"/>
      <c r="E51" s="253" t="s">
        <v>422</v>
      </c>
      <c r="F51" s="258">
        <v>12530</v>
      </c>
      <c r="G51" s="253" t="s">
        <v>49</v>
      </c>
      <c r="H51" s="258">
        <v>6170</v>
      </c>
    </row>
    <row r="52" spans="1:8" ht="22" customHeight="1" x14ac:dyDescent="0.2">
      <c r="A52" s="96"/>
      <c r="B52" s="88"/>
      <c r="C52" s="11"/>
      <c r="D52" s="11"/>
      <c r="E52" s="253"/>
      <c r="F52" s="11"/>
    </row>
    <row r="53" spans="1:8" ht="22" customHeight="1" x14ac:dyDescent="0.3">
      <c r="A53" s="156" t="s">
        <v>117</v>
      </c>
      <c r="B53" s="157">
        <f>B47-B48-B49+B50+B16</f>
        <v>79519.530000000013</v>
      </c>
      <c r="C53" s="76"/>
      <c r="D53" s="11"/>
      <c r="E53" s="254"/>
      <c r="F53" s="11"/>
    </row>
  </sheetData>
  <mergeCells count="8">
    <mergeCell ref="C31:D31"/>
    <mergeCell ref="C32:D32"/>
    <mergeCell ref="E42:F42"/>
    <mergeCell ref="A46:B46"/>
    <mergeCell ref="A1:E2"/>
    <mergeCell ref="A21:E22"/>
    <mergeCell ref="C42:D42"/>
    <mergeCell ref="C43:D43"/>
  </mergeCells>
  <phoneticPr fontId="39" type="noConversion"/>
  <pageMargins left="1" right="1" top="1" bottom="1" header="0.25" footer="0.25"/>
  <pageSetup orientation="portrait" r:id="rId1"/>
  <headerFooter>
    <oddFooter>&amp;C&amp;"Helvetica Neue,Regular"&amp;12&amp;K000000&amp;P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C15F9-6261-4D0C-989B-F6F420F5F9B7}">
  <sheetPr>
    <pageSetUpPr fitToPage="1"/>
  </sheetPr>
  <dimension ref="A1:W34"/>
  <sheetViews>
    <sheetView showGridLines="0" zoomScale="80" zoomScaleNormal="80" workbookViewId="0">
      <selection activeCell="B21" sqref="B21"/>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v>0</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v>0</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0</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0</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v>0</v>
      </c>
      <c r="F8" s="160">
        <f>B10</f>
        <v>43.9</v>
      </c>
      <c r="G8" s="160">
        <f>B9</f>
        <v>74.478000000000009</v>
      </c>
      <c r="H8" s="240">
        <f>B11+B12</f>
        <v>164.29999999999998</v>
      </c>
      <c r="I8" s="11"/>
      <c r="J8" s="11"/>
      <c r="K8" s="11"/>
      <c r="L8" s="11"/>
      <c r="M8" s="11"/>
      <c r="N8" s="11"/>
      <c r="O8" s="11"/>
      <c r="P8" s="11"/>
      <c r="Q8" s="11"/>
      <c r="R8" s="11"/>
      <c r="S8" s="11"/>
      <c r="T8" s="11"/>
      <c r="U8" s="11"/>
      <c r="V8" s="11"/>
      <c r="W8" s="11"/>
    </row>
    <row r="9" spans="1:23" ht="22.25" customHeight="1" x14ac:dyDescent="0.2">
      <c r="A9" s="9" t="s">
        <v>30</v>
      </c>
      <c r="B9" s="100">
        <f>B28</f>
        <v>74.478000000000009</v>
      </c>
      <c r="C9" s="9" t="s">
        <v>29</v>
      </c>
      <c r="D9" s="11"/>
      <c r="E9" s="11" t="s">
        <v>339</v>
      </c>
      <c r="F9" s="11"/>
      <c r="G9" s="11"/>
      <c r="H9" s="11"/>
      <c r="I9" s="11"/>
      <c r="J9" s="11"/>
      <c r="K9" s="11"/>
      <c r="L9" s="11"/>
      <c r="M9" s="11"/>
      <c r="N9" s="11"/>
      <c r="O9" s="11"/>
      <c r="P9" s="11"/>
      <c r="Q9" s="11"/>
      <c r="R9" s="11"/>
      <c r="S9" s="11"/>
      <c r="T9" s="11"/>
      <c r="U9" s="11"/>
      <c r="V9" s="11"/>
      <c r="W9" s="11"/>
    </row>
    <row r="10" spans="1:23" ht="22.25" customHeight="1" x14ac:dyDescent="0.2">
      <c r="A10" s="9" t="s">
        <v>31</v>
      </c>
      <c r="B10" s="100">
        <f>B33</f>
        <v>43.9</v>
      </c>
      <c r="C10" s="9" t="s">
        <v>62</v>
      </c>
      <c r="D10" s="11"/>
      <c r="E10" s="100" t="s">
        <v>346</v>
      </c>
      <c r="F10" s="11"/>
      <c r="G10" s="11"/>
      <c r="H10" s="11"/>
      <c r="I10" s="11"/>
      <c r="J10" s="11"/>
      <c r="K10" s="11"/>
      <c r="L10" s="11"/>
      <c r="M10" s="11"/>
      <c r="N10" s="11"/>
      <c r="O10" s="11"/>
      <c r="P10" s="11"/>
      <c r="Q10" s="11"/>
      <c r="R10" s="11"/>
      <c r="S10" s="11"/>
      <c r="T10" s="11"/>
      <c r="U10" s="11"/>
      <c r="V10" s="11"/>
      <c r="W10" s="11"/>
    </row>
    <row r="11" spans="1:23" ht="22.25" customHeight="1" x14ac:dyDescent="0.2">
      <c r="A11" s="243" t="s">
        <v>401</v>
      </c>
      <c r="B11" s="100">
        <f>218.4*0.6</f>
        <v>131.04</v>
      </c>
      <c r="C11" s="9" t="s">
        <v>33</v>
      </c>
      <c r="D11" s="11"/>
      <c r="E11" s="11"/>
      <c r="F11" s="11"/>
      <c r="G11" s="11"/>
      <c r="H11" s="11"/>
      <c r="I11" s="11"/>
      <c r="J11" s="11"/>
      <c r="K11" s="11"/>
      <c r="L11" s="11"/>
      <c r="M11" s="11"/>
      <c r="N11" s="11"/>
      <c r="O11" s="11"/>
      <c r="P11" s="11"/>
      <c r="Q11" s="11"/>
      <c r="R11" s="11"/>
      <c r="S11" s="11"/>
      <c r="T11" s="11"/>
      <c r="U11" s="11"/>
      <c r="V11" s="11"/>
      <c r="W11" s="11"/>
    </row>
    <row r="12" spans="1:23" ht="22.25" customHeight="1" x14ac:dyDescent="0.2">
      <c r="A12" s="248" t="s">
        <v>402</v>
      </c>
      <c r="B12" s="101">
        <f>33.26</f>
        <v>33.26</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248" t="s">
        <v>381</v>
      </c>
      <c r="B13" s="101">
        <f>248</f>
        <v>248</v>
      </c>
      <c r="C13" s="243" t="s">
        <v>380</v>
      </c>
      <c r="D13" s="11"/>
      <c r="E13" s="11" t="s">
        <v>404</v>
      </c>
      <c r="F13" s="136"/>
      <c r="G13" s="11"/>
      <c r="H13" s="11"/>
      <c r="I13" s="11"/>
      <c r="J13" s="11"/>
      <c r="K13" s="11"/>
      <c r="L13" s="11"/>
      <c r="M13" s="11"/>
      <c r="N13" s="11"/>
      <c r="O13" s="11"/>
      <c r="P13" s="11"/>
      <c r="Q13" s="11"/>
      <c r="R13" s="11"/>
      <c r="S13" s="11"/>
      <c r="T13" s="11"/>
      <c r="U13" s="11"/>
      <c r="V13" s="11"/>
      <c r="W13" s="11"/>
    </row>
    <row r="14" spans="1:23" ht="22.25" customHeight="1" x14ac:dyDescent="0.2">
      <c r="A14" s="147" t="s">
        <v>21</v>
      </c>
      <c r="B14" s="102">
        <f>SUM(B9:B13)</f>
        <v>530.678</v>
      </c>
      <c r="C14" s="16"/>
      <c r="D14" s="11"/>
      <c r="E14" s="11"/>
      <c r="F14" s="11"/>
      <c r="G14" s="11"/>
      <c r="H14" s="11"/>
      <c r="I14" s="11"/>
      <c r="J14" s="11"/>
      <c r="K14" s="11"/>
      <c r="L14" s="11"/>
      <c r="M14" s="11"/>
      <c r="N14" s="11"/>
      <c r="O14" s="11"/>
      <c r="P14" s="11"/>
      <c r="Q14" s="11"/>
      <c r="R14" s="11"/>
      <c r="S14" s="11"/>
      <c r="T14" s="11"/>
      <c r="U14" s="11"/>
      <c r="V14" s="11"/>
      <c r="W14" s="11"/>
    </row>
    <row r="15" spans="1:23" ht="22.25" customHeight="1" x14ac:dyDescent="0.2">
      <c r="A15" s="261"/>
      <c r="B15" s="262"/>
      <c r="C15" s="64"/>
      <c r="D15" s="11"/>
      <c r="E15" s="257"/>
      <c r="F15" s="11"/>
      <c r="G15" s="11"/>
      <c r="H15" s="11"/>
      <c r="I15" s="11"/>
      <c r="J15" s="11"/>
      <c r="K15" s="11"/>
      <c r="L15" s="11"/>
      <c r="M15" s="11"/>
      <c r="N15" s="11"/>
      <c r="O15" s="11"/>
      <c r="P15" s="11"/>
      <c r="Q15" s="11"/>
      <c r="R15" s="11"/>
      <c r="S15" s="11"/>
      <c r="T15" s="11"/>
      <c r="U15" s="11"/>
      <c r="V15" s="11"/>
      <c r="W15" s="11"/>
    </row>
    <row r="16" spans="1:23" ht="22.25" customHeight="1" x14ac:dyDescent="0.2">
      <c r="A16" s="248" t="s">
        <v>413</v>
      </c>
      <c r="B16" s="101">
        <f>21.33</f>
        <v>21.33</v>
      </c>
      <c r="C16" s="243" t="s">
        <v>414</v>
      </c>
      <c r="D16" s="11"/>
      <c r="E16" s="5" t="s">
        <v>403</v>
      </c>
      <c r="F16" s="11"/>
      <c r="G16" s="11"/>
      <c r="H16" s="11"/>
      <c r="I16" s="11"/>
      <c r="J16" s="11"/>
      <c r="K16" s="11"/>
      <c r="L16" s="11"/>
      <c r="M16" s="11"/>
      <c r="N16" s="11"/>
      <c r="O16" s="11"/>
      <c r="P16" s="11"/>
      <c r="Q16" s="11"/>
      <c r="R16" s="11"/>
      <c r="S16" s="11"/>
      <c r="T16" s="11"/>
      <c r="U16" s="11"/>
      <c r="V16" s="11"/>
      <c r="W16" s="11"/>
    </row>
    <row r="17" spans="1:23" ht="22.25" customHeight="1" x14ac:dyDescent="0.2">
      <c r="A17" s="105"/>
      <c r="B17" s="101"/>
      <c r="C17" s="11"/>
      <c r="D17" s="11"/>
      <c r="E17" s="100"/>
      <c r="F17" s="11"/>
      <c r="G17" s="11"/>
      <c r="H17" s="11"/>
      <c r="I17" s="11"/>
      <c r="J17" s="11"/>
      <c r="K17" s="11"/>
      <c r="L17" s="11"/>
      <c r="M17" s="11"/>
      <c r="N17" s="11"/>
      <c r="O17" s="11"/>
      <c r="P17" s="11"/>
      <c r="Q17" s="11"/>
      <c r="R17" s="11"/>
      <c r="S17" s="11"/>
      <c r="T17" s="11"/>
      <c r="U17" s="11"/>
      <c r="V17" s="11"/>
      <c r="W17" s="11"/>
    </row>
    <row r="18" spans="1:23" ht="22.25" customHeight="1" x14ac:dyDescent="0.2">
      <c r="A18" s="147" t="s">
        <v>66</v>
      </c>
      <c r="B18" s="21">
        <v>410.52</v>
      </c>
      <c r="C18" s="22" t="s">
        <v>67</v>
      </c>
      <c r="D18" s="11"/>
      <c r="E18" s="11" t="s">
        <v>415</v>
      </c>
      <c r="F18" s="11"/>
      <c r="G18" s="11"/>
      <c r="H18" s="11"/>
      <c r="I18" s="11"/>
      <c r="J18" s="11"/>
      <c r="K18" s="11"/>
      <c r="L18" s="11"/>
      <c r="M18" s="11"/>
      <c r="N18" s="11"/>
      <c r="O18" s="11"/>
      <c r="P18" s="11"/>
      <c r="Q18" s="11"/>
      <c r="R18" s="11"/>
      <c r="S18" s="11"/>
      <c r="T18" s="11"/>
      <c r="U18" s="11"/>
      <c r="V18" s="11"/>
      <c r="W18" s="11"/>
    </row>
    <row r="19" spans="1:23" ht="22.25" customHeight="1" x14ac:dyDescent="0.2">
      <c r="A19" s="17"/>
      <c r="B19" s="108"/>
      <c r="C19" s="11"/>
      <c r="D19" s="11"/>
      <c r="E19" s="11"/>
      <c r="F19" s="11"/>
      <c r="G19" s="11"/>
      <c r="H19" s="11"/>
      <c r="I19" s="11"/>
      <c r="J19" s="11"/>
      <c r="K19" s="11"/>
      <c r="L19" s="11"/>
      <c r="M19" s="11"/>
      <c r="N19" s="11"/>
      <c r="O19" s="11"/>
      <c r="P19" s="11"/>
      <c r="Q19" s="11"/>
      <c r="R19" s="11"/>
      <c r="S19" s="11"/>
      <c r="T19" s="11"/>
      <c r="U19" s="11"/>
      <c r="V19" s="11"/>
      <c r="W19" s="11"/>
    </row>
    <row r="20" spans="1:23" ht="22.25" customHeight="1" x14ac:dyDescent="0.25">
      <c r="A20" s="19" t="s">
        <v>34</v>
      </c>
      <c r="B20" s="101"/>
      <c r="C20" s="11"/>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25" t="s">
        <v>36</v>
      </c>
      <c r="B21" s="109">
        <v>39.479999999999997</v>
      </c>
      <c r="C21" s="16"/>
      <c r="D21" s="11"/>
      <c r="E21" s="11"/>
      <c r="F21" s="11"/>
      <c r="G21" s="11"/>
      <c r="H21" s="11"/>
      <c r="I21" s="11"/>
      <c r="J21" s="11"/>
      <c r="K21" s="11"/>
      <c r="L21" s="11"/>
      <c r="M21" s="11"/>
      <c r="N21" s="11"/>
      <c r="O21" s="11"/>
      <c r="P21" s="11"/>
      <c r="Q21" s="11"/>
      <c r="R21" s="11"/>
      <c r="S21" s="11"/>
      <c r="T21" s="11"/>
      <c r="U21" s="11"/>
      <c r="V21" s="11"/>
      <c r="W21" s="11"/>
    </row>
    <row r="22" spans="1:23" ht="22.25" customHeight="1" x14ac:dyDescent="0.2">
      <c r="A22" s="11"/>
      <c r="B22" s="17"/>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
      <c r="A23" s="11"/>
      <c r="B23" s="10"/>
      <c r="C23" s="11"/>
      <c r="D23" s="11"/>
      <c r="E23" s="11"/>
      <c r="F23" s="11"/>
      <c r="G23" s="11"/>
      <c r="H23" s="11"/>
      <c r="I23" s="11"/>
      <c r="J23" s="11"/>
      <c r="K23" s="11"/>
      <c r="L23" s="11"/>
      <c r="M23" s="11"/>
      <c r="N23" s="11"/>
      <c r="O23" s="11"/>
      <c r="P23" s="11"/>
      <c r="Q23" s="11"/>
      <c r="R23" s="11"/>
      <c r="S23" s="11"/>
      <c r="T23" s="11"/>
      <c r="U23" s="11"/>
      <c r="V23" s="11"/>
      <c r="W23" s="11"/>
    </row>
    <row r="24" spans="1:23" ht="22.25" customHeight="1" x14ac:dyDescent="0.25">
      <c r="A24" s="19" t="s">
        <v>37</v>
      </c>
      <c r="B24" s="10"/>
      <c r="C24" s="11"/>
      <c r="D24" s="11"/>
      <c r="E24" s="11"/>
      <c r="F24" s="11"/>
      <c r="G24" s="11"/>
      <c r="H24" s="11"/>
      <c r="I24" s="11"/>
      <c r="J24" s="11"/>
      <c r="K24" s="11"/>
      <c r="L24" s="11"/>
      <c r="M24" s="11"/>
      <c r="N24" s="11"/>
      <c r="O24" s="11"/>
      <c r="P24" s="11"/>
      <c r="Q24" s="11"/>
      <c r="R24" s="11"/>
      <c r="S24" s="11"/>
      <c r="T24" s="11"/>
      <c r="U24" s="11"/>
      <c r="V24" s="11"/>
      <c r="W24" s="11"/>
    </row>
    <row r="25" spans="1:23" ht="22.25" customHeight="1" x14ac:dyDescent="0.2">
      <c r="A25" s="11"/>
      <c r="B25" s="158" t="s">
        <v>38</v>
      </c>
      <c r="C25" s="158" t="s">
        <v>39</v>
      </c>
      <c r="D25" s="158" t="s">
        <v>40</v>
      </c>
      <c r="E25" s="158" t="s">
        <v>41</v>
      </c>
      <c r="F25" s="158" t="s">
        <v>42</v>
      </c>
      <c r="G25" s="158" t="s">
        <v>43</v>
      </c>
      <c r="H25" s="158" t="s">
        <v>44</v>
      </c>
      <c r="I25" s="158" t="s">
        <v>45</v>
      </c>
      <c r="J25" s="158" t="s">
        <v>46</v>
      </c>
      <c r="K25" s="158" t="s">
        <v>47</v>
      </c>
      <c r="L25" s="158" t="s">
        <v>48</v>
      </c>
      <c r="M25" s="158" t="s">
        <v>49</v>
      </c>
      <c r="N25" s="11"/>
      <c r="O25" s="11"/>
      <c r="P25" s="11"/>
      <c r="Q25" s="11"/>
      <c r="R25" s="11"/>
      <c r="S25" s="11"/>
      <c r="T25" s="11"/>
      <c r="U25" s="11"/>
      <c r="V25" s="11"/>
      <c r="W25" s="11"/>
    </row>
    <row r="26" spans="1:23" ht="22.25" customHeight="1" x14ac:dyDescent="0.2">
      <c r="A26" s="9" t="s">
        <v>180</v>
      </c>
      <c r="B26" s="100">
        <v>9.9</v>
      </c>
      <c r="C26" s="100">
        <v>12.24</v>
      </c>
      <c r="D26" s="100">
        <v>9.9</v>
      </c>
      <c r="E26" s="100">
        <v>9.9</v>
      </c>
      <c r="F26" s="100">
        <v>9.9</v>
      </c>
      <c r="G26" s="100">
        <v>12.67</v>
      </c>
      <c r="H26" s="100">
        <v>9.9</v>
      </c>
      <c r="I26" s="100">
        <v>10.119999999999999</v>
      </c>
      <c r="J26" s="100">
        <v>9.9</v>
      </c>
      <c r="K26" s="100">
        <v>9.9</v>
      </c>
      <c r="L26" s="100">
        <v>9.9</v>
      </c>
      <c r="M26" s="100">
        <v>9.9</v>
      </c>
      <c r="N26" s="11"/>
      <c r="O26" s="11"/>
      <c r="P26" s="11"/>
      <c r="Q26" s="11"/>
      <c r="R26" s="11"/>
      <c r="S26" s="11"/>
      <c r="T26" s="11"/>
      <c r="U26" s="11"/>
      <c r="V26" s="11"/>
      <c r="W26" s="11"/>
    </row>
    <row r="27" spans="1:23" ht="22.25" customHeight="1" x14ac:dyDescent="0.2">
      <c r="A27" s="9" t="s">
        <v>59</v>
      </c>
      <c r="B27" s="110">
        <f>SUM(B26:M26)</f>
        <v>124.13000000000002</v>
      </c>
      <c r="C27" s="100"/>
      <c r="D27" s="100"/>
      <c r="E27" s="100"/>
      <c r="F27" s="100"/>
      <c r="G27" s="100"/>
      <c r="H27" s="100"/>
      <c r="I27" s="100"/>
      <c r="J27" s="100"/>
      <c r="K27" s="100"/>
      <c r="L27" s="100"/>
      <c r="M27" s="100"/>
      <c r="N27" s="11"/>
      <c r="O27" s="11"/>
      <c r="P27" s="11"/>
      <c r="Q27" s="11"/>
      <c r="R27" s="11"/>
      <c r="S27" s="11"/>
      <c r="T27" s="11"/>
      <c r="U27" s="11"/>
      <c r="V27" s="11"/>
      <c r="W27" s="11"/>
    </row>
    <row r="28" spans="1:23" ht="22.25" customHeight="1" x14ac:dyDescent="0.25">
      <c r="A28" s="28" t="s">
        <v>54</v>
      </c>
      <c r="B28" s="161">
        <f>0.6*B27</f>
        <v>74.478000000000009</v>
      </c>
      <c r="C28" s="112"/>
      <c r="D28" s="100"/>
      <c r="E28" s="100"/>
      <c r="F28" s="100"/>
      <c r="G28" s="100"/>
      <c r="H28" s="100"/>
      <c r="I28" s="100"/>
      <c r="J28" s="100"/>
      <c r="K28" s="100"/>
      <c r="L28" s="100"/>
      <c r="M28" s="100"/>
      <c r="N28" s="11"/>
      <c r="O28" s="11"/>
      <c r="P28" s="11"/>
      <c r="Q28" s="11"/>
      <c r="R28" s="11"/>
      <c r="S28" s="11"/>
      <c r="T28" s="11"/>
      <c r="U28" s="11"/>
      <c r="V28" s="11"/>
      <c r="W28" s="11"/>
    </row>
    <row r="29" spans="1:23" ht="22.25" customHeight="1" x14ac:dyDescent="0.2">
      <c r="A29" s="11"/>
      <c r="B29" s="32"/>
      <c r="C29" s="11"/>
      <c r="D29" s="11"/>
      <c r="E29" s="11"/>
      <c r="F29" s="11"/>
      <c r="G29" s="11"/>
      <c r="H29" s="11"/>
      <c r="I29" s="11"/>
      <c r="J29" s="11"/>
      <c r="K29" s="11"/>
      <c r="L29" s="11"/>
      <c r="M29" s="11"/>
      <c r="N29" s="11"/>
      <c r="O29" s="11"/>
      <c r="P29" s="11"/>
      <c r="Q29" s="11"/>
      <c r="R29" s="11"/>
      <c r="S29" s="11"/>
      <c r="T29" s="11"/>
      <c r="U29" s="11"/>
      <c r="V29" s="11"/>
      <c r="W29" s="11"/>
    </row>
    <row r="30" spans="1:23" ht="22.25" customHeight="1" x14ac:dyDescent="0.2">
      <c r="A30" s="9" t="s">
        <v>56</v>
      </c>
      <c r="B30" s="10"/>
      <c r="C30" s="11"/>
      <c r="D30" s="11"/>
      <c r="E30" s="11"/>
      <c r="F30" s="11"/>
      <c r="G30" s="11"/>
      <c r="H30" s="11"/>
      <c r="I30" s="11"/>
      <c r="J30" s="11"/>
      <c r="K30" s="11"/>
      <c r="L30" s="11"/>
      <c r="M30" s="11"/>
      <c r="N30" s="11"/>
      <c r="O30" s="11"/>
      <c r="P30" s="11"/>
      <c r="Q30" s="11"/>
      <c r="R30" s="11"/>
      <c r="S30" s="11"/>
      <c r="T30" s="11"/>
      <c r="U30" s="11"/>
      <c r="V30" s="11"/>
      <c r="W30" s="11"/>
    </row>
    <row r="31" spans="1:23" ht="22.25" customHeight="1" x14ac:dyDescent="0.2">
      <c r="A31" s="243" t="s">
        <v>408</v>
      </c>
      <c r="B31" s="100">
        <v>21.2</v>
      </c>
      <c r="C31" s="11"/>
      <c r="D31" s="11"/>
      <c r="E31" s="11"/>
      <c r="F31" s="11"/>
      <c r="G31" s="11"/>
      <c r="H31" s="11"/>
      <c r="I31" s="11"/>
      <c r="J31" s="11"/>
      <c r="K31" s="11"/>
      <c r="L31" s="11"/>
      <c r="M31" s="11"/>
      <c r="N31" s="11"/>
      <c r="O31" s="11"/>
      <c r="P31" s="11"/>
      <c r="Q31" s="11"/>
      <c r="R31" s="11"/>
      <c r="S31" s="11"/>
      <c r="T31" s="11"/>
      <c r="U31" s="11"/>
      <c r="V31" s="11"/>
      <c r="W31" s="11"/>
    </row>
    <row r="32" spans="1:23" ht="22.25" customHeight="1" x14ac:dyDescent="0.2">
      <c r="A32" s="243" t="s">
        <v>409</v>
      </c>
      <c r="B32" s="100">
        <v>22.7</v>
      </c>
      <c r="C32" s="11"/>
      <c r="D32" s="11"/>
      <c r="E32" s="11"/>
      <c r="F32" s="11"/>
      <c r="G32" s="11"/>
      <c r="H32" s="11"/>
      <c r="I32" s="11"/>
      <c r="J32" s="11"/>
      <c r="K32" s="11"/>
      <c r="L32" s="11"/>
      <c r="M32" s="11"/>
      <c r="N32" s="11"/>
      <c r="O32" s="11"/>
      <c r="P32" s="11"/>
      <c r="Q32" s="11"/>
      <c r="R32" s="11"/>
      <c r="S32" s="11"/>
      <c r="T32" s="11"/>
      <c r="U32" s="11"/>
      <c r="V32" s="11"/>
      <c r="W32" s="11"/>
    </row>
    <row r="33" spans="1:23" ht="22.25" customHeight="1" x14ac:dyDescent="0.25">
      <c r="A33" s="28" t="s">
        <v>59</v>
      </c>
      <c r="B33" s="161">
        <f>B31+B32</f>
        <v>43.9</v>
      </c>
      <c r="C33" s="33"/>
      <c r="D33" s="11"/>
      <c r="E33" s="11"/>
      <c r="F33" s="11"/>
      <c r="G33" s="11"/>
      <c r="H33" s="11"/>
      <c r="I33" s="11"/>
      <c r="J33" s="11"/>
      <c r="K33" s="11"/>
      <c r="L33" s="11"/>
      <c r="M33" s="11"/>
      <c r="N33" s="11"/>
      <c r="O33" s="11"/>
      <c r="P33" s="11"/>
      <c r="Q33" s="11"/>
      <c r="R33" s="11"/>
      <c r="S33" s="11"/>
      <c r="T33" s="11"/>
      <c r="U33" s="11"/>
      <c r="V33" s="11"/>
      <c r="W33" s="11"/>
    </row>
    <row r="34" spans="1:23" ht="22.25" customHeight="1" x14ac:dyDescent="0.2">
      <c r="A34" s="11"/>
      <c r="B34" s="114"/>
      <c r="C34" s="11"/>
      <c r="D34" s="11"/>
      <c r="E34" s="11"/>
      <c r="F34" s="11"/>
      <c r="G34" s="11"/>
      <c r="H34" s="11"/>
      <c r="I34" s="11"/>
      <c r="J34" s="11"/>
      <c r="K34" s="11"/>
      <c r="L34" s="11"/>
      <c r="M34" s="11"/>
      <c r="N34" s="11"/>
      <c r="O34" s="11"/>
      <c r="P34" s="11"/>
      <c r="Q34" s="11"/>
      <c r="R34" s="11"/>
      <c r="S34" s="11"/>
      <c r="T34" s="11"/>
      <c r="U34" s="11"/>
      <c r="V34" s="11"/>
      <c r="W34" s="11"/>
    </row>
  </sheetData>
  <pageMargins left="1" right="1" top="1" bottom="1" header="0.25" footer="0.25"/>
  <pageSetup orientation="portrait"/>
  <headerFooter>
    <oddFooter>&amp;C&amp;"Helvetica Neue,Regular"&amp;12&amp;K000000&amp;P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51719-54A0-F142-A24C-859E119AF1E8}">
  <sheetPr>
    <pageSetUpPr fitToPage="1"/>
  </sheetPr>
  <dimension ref="A1:H56"/>
  <sheetViews>
    <sheetView showGridLines="0" topLeftCell="A29" zoomScale="110" zoomScaleNormal="110" workbookViewId="0">
      <selection activeCell="C49" sqref="C49"/>
    </sheetView>
  </sheetViews>
  <sheetFormatPr baseColWidth="10" defaultColWidth="12.25" defaultRowHeight="20" customHeight="1" x14ac:dyDescent="0.2"/>
  <cols>
    <col min="1" max="1" width="53.375" style="5" customWidth="1"/>
    <col min="2" max="2" width="13.625" style="5" customWidth="1"/>
    <col min="3" max="3" width="9.25" style="5" customWidth="1"/>
    <col min="4" max="4" width="39.625" style="5" customWidth="1"/>
    <col min="5" max="5" width="32.125" style="5" customWidth="1"/>
    <col min="6" max="6" width="18.75" style="5" customWidth="1"/>
    <col min="7" max="7" width="30.5" style="5" customWidth="1"/>
    <col min="8" max="8" width="21.125" style="5" customWidth="1"/>
    <col min="9" max="16384" width="12.25" style="5"/>
  </cols>
  <sheetData>
    <row r="1" spans="1:6" ht="22" customHeight="1" x14ac:dyDescent="0.2">
      <c r="A1" s="297" t="s">
        <v>424</v>
      </c>
      <c r="B1" s="297"/>
      <c r="C1" s="297"/>
      <c r="D1" s="297"/>
      <c r="E1" s="297"/>
      <c r="F1" s="122"/>
    </row>
    <row r="2" spans="1:6" ht="22" customHeight="1" x14ac:dyDescent="0.2">
      <c r="A2" s="300"/>
      <c r="B2" s="300"/>
      <c r="C2" s="300"/>
      <c r="D2" s="300"/>
      <c r="E2" s="300"/>
      <c r="F2" s="122"/>
    </row>
    <row r="3" spans="1:6" ht="22" customHeight="1" x14ac:dyDescent="0.2">
      <c r="A3" s="39"/>
      <c r="B3" s="39"/>
      <c r="C3" s="40" t="s">
        <v>76</v>
      </c>
      <c r="D3" s="39"/>
      <c r="E3" s="39"/>
      <c r="F3" s="11"/>
    </row>
    <row r="4" spans="1:6" ht="22" customHeight="1" x14ac:dyDescent="0.2">
      <c r="A4" s="41" t="s">
        <v>212</v>
      </c>
      <c r="B4" s="42">
        <v>158076.70000000001</v>
      </c>
      <c r="C4" s="43">
        <v>210</v>
      </c>
      <c r="D4" s="11"/>
      <c r="E4" s="11"/>
      <c r="F4" s="11"/>
    </row>
    <row r="5" spans="1:6" ht="22" customHeight="1" x14ac:dyDescent="0.2">
      <c r="A5" s="124" t="s">
        <v>213</v>
      </c>
      <c r="B5" s="45">
        <f>B4-B6</f>
        <v>135609.98000000001</v>
      </c>
      <c r="C5" s="46"/>
      <c r="D5" s="11"/>
      <c r="E5" s="11"/>
      <c r="F5" s="123"/>
    </row>
    <row r="6" spans="1:6" ht="22" customHeight="1" x14ac:dyDescent="0.2">
      <c r="A6" s="244" t="s">
        <v>359</v>
      </c>
      <c r="B6" s="48">
        <v>22466.720000000001</v>
      </c>
      <c r="C6" s="49">
        <v>220</v>
      </c>
      <c r="D6" s="11"/>
      <c r="E6" s="11"/>
      <c r="F6" s="123"/>
    </row>
    <row r="7" spans="1:6" ht="22" customHeight="1" x14ac:dyDescent="0.2">
      <c r="A7" s="50"/>
      <c r="B7" s="51"/>
      <c r="C7" s="52"/>
      <c r="D7" s="53"/>
      <c r="E7" s="53"/>
      <c r="F7" s="11"/>
    </row>
    <row r="8" spans="1:6" ht="22" customHeight="1" x14ac:dyDescent="0.25">
      <c r="A8" s="124" t="s">
        <v>214</v>
      </c>
      <c r="B8" s="45">
        <v>13154.28</v>
      </c>
      <c r="C8" s="54">
        <v>230</v>
      </c>
      <c r="D8" s="55"/>
      <c r="E8" s="56"/>
      <c r="F8" s="126"/>
    </row>
    <row r="9" spans="1:6" ht="22" customHeight="1" x14ac:dyDescent="0.25">
      <c r="A9" s="125" t="s">
        <v>82</v>
      </c>
      <c r="B9" s="48">
        <v>2068.88</v>
      </c>
      <c r="C9" s="54">
        <v>225</v>
      </c>
      <c r="D9" s="55"/>
      <c r="E9" s="56"/>
      <c r="F9" s="126"/>
    </row>
    <row r="10" spans="1:6" ht="22" customHeight="1" x14ac:dyDescent="0.25">
      <c r="A10" s="57" t="s">
        <v>84</v>
      </c>
      <c r="B10" s="58">
        <f>B8+B9</f>
        <v>15223.16</v>
      </c>
      <c r="C10" s="59"/>
      <c r="D10" s="55"/>
      <c r="E10" s="56"/>
      <c r="F10" s="76"/>
    </row>
    <row r="11" spans="1:6" ht="22" customHeight="1" x14ac:dyDescent="0.2">
      <c r="A11" s="60"/>
      <c r="B11" s="42"/>
      <c r="C11" s="52"/>
      <c r="D11" s="61"/>
      <c r="E11" s="61"/>
      <c r="F11" s="11"/>
    </row>
    <row r="12" spans="1:6" ht="22" customHeight="1" x14ac:dyDescent="0.2">
      <c r="A12" s="124" t="s">
        <v>215</v>
      </c>
      <c r="B12" s="45">
        <f>B5-B8-B16-B15</f>
        <v>120269.70000000001</v>
      </c>
      <c r="C12" s="49">
        <v>245</v>
      </c>
      <c r="D12" s="243" t="s">
        <v>399</v>
      </c>
      <c r="E12" s="11"/>
      <c r="F12" s="123"/>
    </row>
    <row r="13" spans="1:6" ht="22" customHeight="1" x14ac:dyDescent="0.2">
      <c r="A13" s="125" t="s">
        <v>88</v>
      </c>
      <c r="B13" s="48">
        <f>B6-B9</f>
        <v>20397.84</v>
      </c>
      <c r="C13" s="46"/>
      <c r="D13" s="243"/>
      <c r="E13" s="11"/>
      <c r="F13" s="123"/>
    </row>
    <row r="14" spans="1:6" ht="22" customHeight="1" x14ac:dyDescent="0.2">
      <c r="A14" s="50"/>
      <c r="B14" s="51"/>
      <c r="C14" s="11"/>
      <c r="D14" s="11"/>
      <c r="E14" s="11"/>
      <c r="F14" s="11"/>
    </row>
    <row r="15" spans="1:6" ht="22" customHeight="1" x14ac:dyDescent="0.2">
      <c r="A15" s="245" t="s">
        <v>362</v>
      </c>
      <c r="B15" s="63">
        <v>2186</v>
      </c>
      <c r="C15" s="49">
        <v>215</v>
      </c>
      <c r="D15" s="237"/>
      <c r="E15" s="237"/>
      <c r="F15" s="11"/>
    </row>
    <row r="16" spans="1:6" ht="22" customHeight="1" x14ac:dyDescent="0.2">
      <c r="A16" s="127" t="s">
        <v>217</v>
      </c>
      <c r="B16" s="63">
        <v>0</v>
      </c>
      <c r="C16" s="49">
        <v>243</v>
      </c>
      <c r="D16" s="11"/>
      <c r="E16" s="11"/>
      <c r="F16" s="11"/>
    </row>
    <row r="17" spans="1:6" ht="22" customHeight="1" x14ac:dyDescent="0.2">
      <c r="A17" s="50"/>
      <c r="B17" s="51"/>
      <c r="C17" s="11"/>
      <c r="D17" s="11"/>
      <c r="E17" s="11"/>
      <c r="F17" s="11"/>
    </row>
    <row r="18" spans="1:6" ht="22" customHeight="1" x14ac:dyDescent="0.2">
      <c r="A18" s="128" t="s">
        <v>93</v>
      </c>
      <c r="B18" s="66">
        <v>45878.89</v>
      </c>
      <c r="C18" s="49">
        <v>260</v>
      </c>
      <c r="D18" s="11"/>
      <c r="E18" s="11"/>
      <c r="F18" s="123"/>
    </row>
    <row r="19" spans="1:6" ht="22" customHeight="1" x14ac:dyDescent="0.2">
      <c r="A19" s="39"/>
      <c r="B19" s="39"/>
      <c r="C19" s="11"/>
      <c r="D19" s="11"/>
      <c r="E19" s="11"/>
      <c r="F19" s="11"/>
    </row>
    <row r="20" spans="1:6" ht="22" customHeight="1" x14ac:dyDescent="0.2">
      <c r="A20" s="53"/>
      <c r="B20" s="53"/>
      <c r="C20" s="53"/>
      <c r="D20" s="53"/>
      <c r="E20" s="53"/>
      <c r="F20" s="11"/>
    </row>
    <row r="21" spans="1:6" ht="22" customHeight="1" x14ac:dyDescent="0.2">
      <c r="A21" s="299" t="s">
        <v>425</v>
      </c>
      <c r="B21" s="294"/>
      <c r="C21" s="294"/>
      <c r="D21" s="294"/>
      <c r="E21" s="294"/>
      <c r="F21" s="76"/>
    </row>
    <row r="22" spans="1:6" ht="22" customHeight="1" x14ac:dyDescent="0.2">
      <c r="A22" s="294"/>
      <c r="B22" s="294"/>
      <c r="C22" s="294"/>
      <c r="D22" s="294"/>
      <c r="E22" s="294"/>
      <c r="F22" s="76"/>
    </row>
    <row r="23" spans="1:6" ht="22" customHeight="1" x14ac:dyDescent="0.2">
      <c r="A23" s="67" t="s">
        <v>95</v>
      </c>
      <c r="B23" s="68">
        <f>'2024'!B18</f>
        <v>-42.48</v>
      </c>
      <c r="C23" s="247"/>
      <c r="D23" s="61"/>
      <c r="E23" s="61"/>
      <c r="F23" s="11"/>
    </row>
    <row r="24" spans="1:6" ht="22" customHeight="1" x14ac:dyDescent="0.2">
      <c r="A24" s="266" t="s">
        <v>431</v>
      </c>
      <c r="B24" s="45">
        <v>195</v>
      </c>
      <c r="C24" s="265"/>
      <c r="D24" s="39"/>
      <c r="E24" s="39"/>
      <c r="F24" s="11"/>
    </row>
    <row r="25" spans="1:6" ht="22" customHeight="1" x14ac:dyDescent="0.2">
      <c r="A25" s="266" t="s">
        <v>432</v>
      </c>
      <c r="B25" s="45">
        <f>B12</f>
        <v>120269.70000000001</v>
      </c>
      <c r="C25" s="64"/>
      <c r="D25" s="11"/>
      <c r="E25" s="11"/>
      <c r="F25" s="11"/>
    </row>
    <row r="26" spans="1:6" ht="22" customHeight="1" x14ac:dyDescent="0.25">
      <c r="A26" s="129" t="s">
        <v>438</v>
      </c>
      <c r="B26" s="130">
        <f>B23+B24+B25</f>
        <v>120422.22000000002</v>
      </c>
      <c r="C26" s="260"/>
      <c r="D26" s="11"/>
      <c r="E26" s="11"/>
      <c r="F26" s="11"/>
    </row>
    <row r="27" spans="1:6" ht="22" customHeight="1" x14ac:dyDescent="0.2">
      <c r="A27" s="72"/>
      <c r="B27" s="88"/>
      <c r="C27" s="11"/>
      <c r="D27" s="11"/>
      <c r="E27" s="11"/>
      <c r="F27" s="11"/>
    </row>
    <row r="28" spans="1:6" ht="22" customHeight="1" x14ac:dyDescent="0.2">
      <c r="A28" s="74" t="s">
        <v>433</v>
      </c>
      <c r="B28" s="77">
        <v>15</v>
      </c>
      <c r="C28" s="64"/>
      <c r="D28" s="11"/>
      <c r="E28" s="11"/>
      <c r="F28" s="11"/>
    </row>
    <row r="29" spans="1:6" ht="22" customHeight="1" x14ac:dyDescent="0.2">
      <c r="A29" s="74" t="s">
        <v>25</v>
      </c>
      <c r="B29" s="77">
        <f>'2024'!B13</f>
        <v>132</v>
      </c>
      <c r="C29" s="64"/>
      <c r="D29" s="11"/>
      <c r="E29" s="11"/>
      <c r="F29" s="11"/>
    </row>
    <row r="30" spans="1:6" ht="22" customHeight="1" x14ac:dyDescent="0.2">
      <c r="A30" s="74" t="s">
        <v>381</v>
      </c>
      <c r="B30" s="77">
        <f>'2024'!B15</f>
        <v>372</v>
      </c>
      <c r="C30" s="76"/>
      <c r="D30" s="11"/>
      <c r="E30" s="11"/>
      <c r="F30" s="11"/>
    </row>
    <row r="31" spans="1:6" ht="22" customHeight="1" x14ac:dyDescent="0.25">
      <c r="A31" s="79" t="s">
        <v>434</v>
      </c>
      <c r="B31" s="150">
        <f>B29+B30+B28</f>
        <v>519</v>
      </c>
      <c r="D31" s="11"/>
      <c r="E31" s="11"/>
      <c r="F31" s="11"/>
    </row>
    <row r="32" spans="1:6" ht="22" customHeight="1" x14ac:dyDescent="0.2">
      <c r="A32" s="81"/>
      <c r="B32" s="151"/>
      <c r="C32" s="11"/>
      <c r="D32" s="11"/>
      <c r="E32" s="11"/>
      <c r="F32" s="11"/>
    </row>
    <row r="33" spans="1:6" ht="22" customHeight="1" x14ac:dyDescent="0.25">
      <c r="A33" s="83" t="s">
        <v>334</v>
      </c>
      <c r="B33" s="152">
        <f>B26-B31</f>
        <v>119903.22000000002</v>
      </c>
      <c r="C33" s="64"/>
      <c r="D33" s="11"/>
      <c r="E33" s="11"/>
      <c r="F33" s="11"/>
    </row>
    <row r="34" spans="1:6" ht="22" customHeight="1" x14ac:dyDescent="0.25">
      <c r="A34" s="56" t="s">
        <v>102</v>
      </c>
      <c r="B34" s="91">
        <f>ROUND((B33-99266)*0.5+34222.42,2)</f>
        <v>44541.03</v>
      </c>
      <c r="C34" s="304" t="s">
        <v>406</v>
      </c>
      <c r="D34" s="284"/>
      <c r="E34" s="11"/>
      <c r="F34" s="11"/>
    </row>
    <row r="35" spans="1:6" ht="22" customHeight="1" x14ac:dyDescent="0.25">
      <c r="A35" s="56" t="s">
        <v>104</v>
      </c>
      <c r="B35" s="91">
        <f>ROUND((B13-620)*0.06,2)</f>
        <v>1186.67</v>
      </c>
      <c r="C35" s="283" t="s">
        <v>105</v>
      </c>
      <c r="D35" s="284"/>
      <c r="E35" s="11"/>
      <c r="F35" s="11"/>
    </row>
    <row r="36" spans="1:6" ht="22" customHeight="1" x14ac:dyDescent="0.2">
      <c r="A36" s="86" t="s">
        <v>382</v>
      </c>
      <c r="B36" s="87">
        <f>463+'2024'!B16</f>
        <v>495</v>
      </c>
      <c r="C36" s="64"/>
      <c r="D36" s="11"/>
      <c r="E36" s="11"/>
      <c r="F36" s="11"/>
    </row>
    <row r="37" spans="1:6" ht="22" customHeight="1" x14ac:dyDescent="0.2">
      <c r="A37" s="72"/>
      <c r="B37" s="153"/>
      <c r="C37" s="11"/>
      <c r="D37" s="11"/>
      <c r="E37" s="11"/>
      <c r="F37" s="11"/>
    </row>
    <row r="38" spans="1:6" ht="22" customHeight="1" x14ac:dyDescent="0.25">
      <c r="A38" s="56" t="s">
        <v>107</v>
      </c>
      <c r="B38" s="91">
        <f>B34+B35-B36</f>
        <v>45232.7</v>
      </c>
      <c r="C38" s="76"/>
      <c r="D38" s="11"/>
      <c r="E38" s="11"/>
      <c r="F38" s="11"/>
    </row>
    <row r="39" spans="1:6" ht="22" customHeight="1" x14ac:dyDescent="0.2">
      <c r="A39" s="86" t="s">
        <v>175</v>
      </c>
      <c r="B39" s="87">
        <f>B18</f>
        <v>45878.89</v>
      </c>
      <c r="C39" s="64"/>
      <c r="D39" s="11"/>
      <c r="E39" s="11"/>
      <c r="F39" s="11"/>
    </row>
    <row r="40" spans="1:6" ht="22" customHeight="1" x14ac:dyDescent="0.2">
      <c r="A40" s="57" t="s">
        <v>109</v>
      </c>
      <c r="B40" s="154">
        <v>0.19</v>
      </c>
      <c r="C40" s="11"/>
      <c r="D40" s="11"/>
      <c r="E40" s="11"/>
      <c r="F40" s="11"/>
    </row>
    <row r="41" spans="1:6" ht="22" customHeight="1" x14ac:dyDescent="0.2">
      <c r="A41" s="53"/>
      <c r="B41" s="155"/>
      <c r="C41" s="11"/>
      <c r="D41" s="11"/>
      <c r="E41" s="11"/>
      <c r="F41" s="11"/>
    </row>
    <row r="42" spans="1:6" ht="22" customHeight="1" x14ac:dyDescent="0.25">
      <c r="A42" s="56" t="s">
        <v>176</v>
      </c>
      <c r="B42" s="91">
        <f>B38-B39+B40</f>
        <v>-646.00000000000227</v>
      </c>
      <c r="C42" s="76"/>
      <c r="D42" s="11"/>
      <c r="E42" s="11"/>
      <c r="F42" s="11"/>
    </row>
    <row r="43" spans="1:6" ht="22" customHeight="1" x14ac:dyDescent="0.2">
      <c r="A43" s="86" t="s">
        <v>435</v>
      </c>
      <c r="B43" s="87">
        <v>0</v>
      </c>
      <c r="C43" s="64"/>
      <c r="D43" s="11"/>
      <c r="E43" s="11"/>
      <c r="F43" s="11"/>
    </row>
    <row r="44" spans="1:6" ht="22" customHeight="1" x14ac:dyDescent="0.2">
      <c r="A44" s="72"/>
      <c r="B44" s="153"/>
      <c r="C44" s="11"/>
      <c r="D44" s="11"/>
      <c r="E44" s="11"/>
      <c r="F44" s="11"/>
    </row>
    <row r="45" spans="1:6" ht="22" customHeight="1" x14ac:dyDescent="0.3">
      <c r="A45" s="156" t="s">
        <v>112</v>
      </c>
      <c r="B45" s="157">
        <f>B42-B43</f>
        <v>-646.00000000000227</v>
      </c>
      <c r="C45" s="305" t="s">
        <v>439</v>
      </c>
      <c r="D45" s="306"/>
      <c r="E45" s="301" t="s">
        <v>423</v>
      </c>
      <c r="F45" s="302"/>
    </row>
    <row r="46" spans="1:6" ht="22" customHeight="1" x14ac:dyDescent="0.2">
      <c r="A46" s="61"/>
      <c r="B46" s="61"/>
      <c r="C46" s="271" t="s">
        <v>443</v>
      </c>
      <c r="D46" s="64"/>
      <c r="E46" s="253" t="s">
        <v>374</v>
      </c>
      <c r="F46" s="11">
        <f>20795.83+24551.94+4502.42+6105.58</f>
        <v>55955.770000000004</v>
      </c>
    </row>
    <row r="47" spans="1:6" ht="22" customHeight="1" x14ac:dyDescent="0.2">
      <c r="A47" s="11"/>
      <c r="B47" s="11"/>
      <c r="C47" s="11"/>
      <c r="D47" s="11"/>
      <c r="E47" s="253" t="s">
        <v>412</v>
      </c>
      <c r="F47" s="258">
        <f>SUM(F49:F54)+SUM(H49:H54)</f>
        <v>102751.8</v>
      </c>
    </row>
    <row r="48" spans="1:6" ht="22" customHeight="1" x14ac:dyDescent="0.2">
      <c r="A48" s="11"/>
      <c r="B48" s="11"/>
      <c r="C48" s="11"/>
      <c r="D48" s="11"/>
      <c r="E48" s="255" t="s">
        <v>376</v>
      </c>
      <c r="F48" s="259">
        <f>F46+F47</f>
        <v>158707.57</v>
      </c>
    </row>
    <row r="49" spans="1:8" ht="22" customHeight="1" x14ac:dyDescent="0.25">
      <c r="A49" s="279" t="s">
        <v>426</v>
      </c>
      <c r="B49" s="280"/>
      <c r="C49" s="11"/>
      <c r="D49" s="11"/>
      <c r="E49" s="253" t="s">
        <v>38</v>
      </c>
      <c r="F49" s="258">
        <v>6342.13</v>
      </c>
      <c r="G49" s="253" t="s">
        <v>44</v>
      </c>
      <c r="H49" s="258">
        <v>6681.5</v>
      </c>
    </row>
    <row r="50" spans="1:8" ht="22" customHeight="1" x14ac:dyDescent="0.2">
      <c r="A50" s="92" t="s">
        <v>179</v>
      </c>
      <c r="B50" s="66">
        <f>B4</f>
        <v>158076.70000000001</v>
      </c>
      <c r="C50" s="64"/>
      <c r="D50" s="11"/>
      <c r="E50" s="253" t="s">
        <v>39</v>
      </c>
      <c r="F50" s="258">
        <v>6454.29</v>
      </c>
      <c r="G50" s="253" t="s">
        <v>45</v>
      </c>
      <c r="H50" s="258">
        <v>7140.8</v>
      </c>
    </row>
    <row r="51" spans="1:8" ht="22" customHeight="1" x14ac:dyDescent="0.2">
      <c r="A51" s="94" t="s">
        <v>115</v>
      </c>
      <c r="B51" s="133">
        <f>B10</f>
        <v>15223.16</v>
      </c>
      <c r="C51" s="64"/>
      <c r="D51" s="11"/>
      <c r="E51" s="253" t="s">
        <v>40</v>
      </c>
      <c r="F51" s="258">
        <v>6379.64</v>
      </c>
      <c r="G51" s="253" t="s">
        <v>46</v>
      </c>
      <c r="H51" s="258">
        <v>6773.36</v>
      </c>
    </row>
    <row r="52" spans="1:8" ht="22" customHeight="1" x14ac:dyDescent="0.2">
      <c r="A52" s="94" t="s">
        <v>107</v>
      </c>
      <c r="B52" s="133">
        <f>B38</f>
        <v>45232.7</v>
      </c>
      <c r="C52" s="64"/>
      <c r="D52" s="11"/>
      <c r="E52" s="253" t="s">
        <v>41</v>
      </c>
      <c r="F52" s="258">
        <v>6362.83</v>
      </c>
      <c r="G52" s="253" t="s">
        <v>411</v>
      </c>
      <c r="H52" s="258">
        <v>15845.98</v>
      </c>
    </row>
    <row r="53" spans="1:8" ht="22" customHeight="1" x14ac:dyDescent="0.2">
      <c r="A53" s="92" t="s">
        <v>335</v>
      </c>
      <c r="B53" s="66">
        <f>0-'2024'!B21</f>
        <v>-42.48</v>
      </c>
      <c r="C53" s="64"/>
      <c r="D53" s="11"/>
      <c r="E53" s="253" t="s">
        <v>42</v>
      </c>
      <c r="F53" s="258">
        <v>6542.13</v>
      </c>
      <c r="G53" s="253" t="s">
        <v>410</v>
      </c>
      <c r="H53" s="258">
        <v>13546.72</v>
      </c>
    </row>
    <row r="54" spans="1:8" ht="22" customHeight="1" x14ac:dyDescent="0.2">
      <c r="A54" s="96" t="s">
        <v>377</v>
      </c>
      <c r="B54" s="88"/>
      <c r="C54" s="64"/>
      <c r="D54" s="11"/>
      <c r="E54" s="253" t="s">
        <v>422</v>
      </c>
      <c r="F54" s="258">
        <v>13702.37</v>
      </c>
      <c r="G54" s="253" t="s">
        <v>49</v>
      </c>
      <c r="H54" s="258">
        <v>6980.05</v>
      </c>
    </row>
    <row r="55" spans="1:8" ht="22" customHeight="1" x14ac:dyDescent="0.2">
      <c r="A55" s="96"/>
      <c r="B55" s="88"/>
      <c r="C55" s="11"/>
      <c r="D55" s="11"/>
      <c r="E55" s="253"/>
      <c r="F55" s="11"/>
    </row>
    <row r="56" spans="1:8" ht="22" customHeight="1" x14ac:dyDescent="0.3">
      <c r="A56" s="156" t="s">
        <v>117</v>
      </c>
      <c r="B56" s="157">
        <f>B50-B51-B52+B53+B16</f>
        <v>97578.360000000015</v>
      </c>
      <c r="C56" s="76"/>
      <c r="D56" s="11"/>
      <c r="E56" s="254"/>
      <c r="F56" s="11"/>
    </row>
  </sheetData>
  <mergeCells count="7">
    <mergeCell ref="A49:B49"/>
    <mergeCell ref="A1:E2"/>
    <mergeCell ref="A21:E22"/>
    <mergeCell ref="C34:D34"/>
    <mergeCell ref="C35:D35"/>
    <mergeCell ref="C45:D45"/>
    <mergeCell ref="E45:F45"/>
  </mergeCells>
  <pageMargins left="1" right="1" top="1" bottom="1" header="0.25" footer="0.25"/>
  <pageSetup orientation="portrait" r:id="rId1"/>
  <headerFooter>
    <oddFooter>&amp;C&amp;"Helvetica Neue,Regular"&amp;12&amp;K000000&amp;P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52099-42BD-F041-8E3E-6D5DEA47325B}">
  <sheetPr>
    <pageSetUpPr fitToPage="1"/>
  </sheetPr>
  <dimension ref="A1:W34"/>
  <sheetViews>
    <sheetView showGridLines="0" topLeftCell="A20" zoomScale="110" zoomScaleNormal="110" workbookViewId="0">
      <selection activeCell="D15" sqref="D15"/>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v>0</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v>0</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0</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0</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v>0</v>
      </c>
      <c r="F8" s="160">
        <f>B10</f>
        <v>47.4</v>
      </c>
      <c r="G8" s="160">
        <f>B9</f>
        <v>0</v>
      </c>
      <c r="H8" s="240">
        <f>B11+B12</f>
        <v>0</v>
      </c>
      <c r="I8" s="11"/>
      <c r="J8" s="11"/>
      <c r="K8" s="11"/>
      <c r="L8" s="11"/>
      <c r="M8" s="11"/>
      <c r="N8" s="11"/>
      <c r="O8" s="11"/>
      <c r="P8" s="11"/>
      <c r="Q8" s="11"/>
      <c r="R8" s="11"/>
      <c r="S8" s="11"/>
      <c r="T8" s="11"/>
      <c r="U8" s="11"/>
      <c r="V8" s="11"/>
      <c r="W8" s="11"/>
    </row>
    <row r="9" spans="1:23" ht="22.25" customHeight="1" x14ac:dyDescent="0.2">
      <c r="A9" s="9" t="s">
        <v>30</v>
      </c>
      <c r="B9" s="100">
        <v>0</v>
      </c>
      <c r="C9" s="9" t="s">
        <v>29</v>
      </c>
      <c r="D9" s="11"/>
      <c r="E9" s="11" t="s">
        <v>339</v>
      </c>
      <c r="F9" s="11"/>
      <c r="G9" s="11"/>
      <c r="H9" s="11"/>
      <c r="I9" s="11"/>
      <c r="J9" s="11"/>
      <c r="K9" s="11"/>
      <c r="L9" s="11"/>
      <c r="M9" s="11"/>
      <c r="N9" s="11"/>
      <c r="O9" s="11"/>
      <c r="P9" s="11"/>
      <c r="Q9" s="11"/>
      <c r="R9" s="11"/>
      <c r="S9" s="11"/>
      <c r="T9" s="11"/>
      <c r="U9" s="11"/>
      <c r="V9" s="11"/>
      <c r="W9" s="11"/>
    </row>
    <row r="10" spans="1:23" ht="22.25" customHeight="1" x14ac:dyDescent="0.2">
      <c r="A10" s="9" t="s">
        <v>31</v>
      </c>
      <c r="B10" s="100">
        <f>B33</f>
        <v>47.4</v>
      </c>
      <c r="C10" s="9" t="s">
        <v>62</v>
      </c>
      <c r="D10" s="11"/>
      <c r="E10" s="100" t="s">
        <v>346</v>
      </c>
      <c r="F10" s="11"/>
      <c r="G10" s="11"/>
      <c r="H10" s="11"/>
      <c r="I10" s="11"/>
      <c r="J10" s="11"/>
      <c r="K10" s="11"/>
      <c r="L10" s="11"/>
      <c r="M10" s="11"/>
      <c r="N10" s="11"/>
      <c r="O10" s="11"/>
      <c r="P10" s="11"/>
      <c r="Q10" s="11"/>
      <c r="R10" s="11"/>
      <c r="S10" s="11"/>
      <c r="T10" s="11"/>
      <c r="U10" s="11"/>
      <c r="V10" s="11"/>
      <c r="W10" s="11"/>
    </row>
    <row r="11" spans="1:23" ht="22.25" customHeight="1" x14ac:dyDescent="0.2">
      <c r="A11" s="243"/>
      <c r="B11" s="100">
        <v>0</v>
      </c>
      <c r="C11" s="9" t="s">
        <v>33</v>
      </c>
      <c r="D11" s="11"/>
      <c r="E11" s="11"/>
      <c r="F11" s="11"/>
      <c r="G11" s="11"/>
      <c r="H11" s="11"/>
      <c r="I11" s="11"/>
      <c r="J11" s="11"/>
      <c r="K11" s="11"/>
      <c r="L11" s="11"/>
      <c r="M11" s="11"/>
      <c r="N11" s="11"/>
      <c r="O11" s="11"/>
      <c r="P11" s="11"/>
      <c r="Q11" s="11"/>
      <c r="R11" s="11"/>
      <c r="S11" s="11"/>
      <c r="T11" s="11"/>
      <c r="U11" s="11"/>
      <c r="V11" s="11"/>
      <c r="W11" s="11"/>
    </row>
    <row r="12" spans="1:23" ht="22.25" customHeight="1" x14ac:dyDescent="0.2">
      <c r="A12" s="248"/>
      <c r="B12" s="101">
        <v>0</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147" t="s">
        <v>21</v>
      </c>
      <c r="B13" s="102">
        <f>IF(SUM(B9:B12)&gt;132,SUM(B9:B12),132)</f>
        <v>132</v>
      </c>
      <c r="C13" s="16"/>
      <c r="D13" s="11"/>
      <c r="E13" s="11"/>
      <c r="F13" s="11"/>
      <c r="G13" s="11"/>
      <c r="H13" s="11"/>
      <c r="I13" s="11"/>
      <c r="J13" s="11"/>
      <c r="K13" s="11"/>
      <c r="L13" s="11"/>
      <c r="M13" s="11"/>
      <c r="N13" s="11"/>
      <c r="O13" s="11"/>
      <c r="P13" s="11"/>
      <c r="Q13" s="11"/>
      <c r="R13" s="11"/>
      <c r="S13" s="11"/>
      <c r="T13" s="11"/>
      <c r="U13" s="11"/>
      <c r="V13" s="11"/>
      <c r="W13" s="11"/>
    </row>
    <row r="14" spans="1:23" ht="22.25" customHeight="1" x14ac:dyDescent="0.2">
      <c r="A14" s="267"/>
      <c r="B14" s="268"/>
      <c r="C14" s="269"/>
      <c r="D14" s="11"/>
      <c r="E14" s="11"/>
      <c r="F14" s="11"/>
      <c r="G14" s="11"/>
      <c r="H14" s="11"/>
      <c r="I14" s="11"/>
      <c r="J14" s="11"/>
      <c r="K14" s="11"/>
      <c r="L14" s="11"/>
      <c r="M14" s="11"/>
      <c r="N14" s="11"/>
      <c r="O14" s="11"/>
      <c r="P14" s="11"/>
      <c r="Q14" s="11"/>
      <c r="R14" s="11"/>
      <c r="S14" s="11"/>
      <c r="T14" s="11"/>
      <c r="U14" s="11"/>
      <c r="V14" s="11"/>
      <c r="W14" s="11"/>
    </row>
    <row r="15" spans="1:23" ht="22.25" customHeight="1" x14ac:dyDescent="0.2">
      <c r="A15" s="248" t="s">
        <v>381</v>
      </c>
      <c r="B15" s="101">
        <f>372</f>
        <v>372</v>
      </c>
      <c r="C15" s="243" t="s">
        <v>380</v>
      </c>
      <c r="D15" s="11"/>
      <c r="E15" s="253" t="s">
        <v>429</v>
      </c>
      <c r="F15" s="136"/>
      <c r="G15" s="11"/>
      <c r="H15" s="11"/>
      <c r="I15" s="11"/>
      <c r="J15" s="11"/>
      <c r="K15" s="11"/>
      <c r="L15" s="11"/>
      <c r="M15" s="11"/>
      <c r="N15" s="11"/>
      <c r="O15" s="11"/>
      <c r="P15" s="11"/>
      <c r="Q15" s="11"/>
      <c r="R15" s="11"/>
      <c r="S15" s="11"/>
      <c r="T15" s="11"/>
      <c r="U15" s="11"/>
      <c r="V15" s="11"/>
      <c r="W15" s="11"/>
    </row>
    <row r="16" spans="1:23" ht="22.25" customHeight="1" x14ac:dyDescent="0.2">
      <c r="A16" s="248" t="s">
        <v>413</v>
      </c>
      <c r="B16" s="101">
        <f>2*16</f>
        <v>32</v>
      </c>
      <c r="C16" s="243" t="s">
        <v>414</v>
      </c>
      <c r="D16" s="11"/>
      <c r="E16" s="263" t="s">
        <v>430</v>
      </c>
      <c r="F16" s="11"/>
      <c r="G16" s="11"/>
      <c r="H16" s="11"/>
      <c r="I16" s="11"/>
      <c r="J16" s="11"/>
      <c r="K16" s="11"/>
      <c r="L16" s="11"/>
      <c r="M16" s="11"/>
      <c r="N16" s="11"/>
      <c r="O16" s="11"/>
      <c r="P16" s="11"/>
      <c r="Q16" s="11"/>
      <c r="R16" s="11"/>
      <c r="S16" s="11"/>
      <c r="T16" s="11"/>
      <c r="U16" s="11"/>
      <c r="V16" s="11"/>
      <c r="W16" s="11"/>
    </row>
    <row r="17" spans="1:23" ht="22.25" customHeight="1" x14ac:dyDescent="0.2">
      <c r="A17" s="105"/>
      <c r="B17" s="101"/>
      <c r="C17" s="11"/>
      <c r="D17" s="11"/>
      <c r="E17" s="100"/>
      <c r="F17" s="11"/>
      <c r="G17" s="11"/>
      <c r="H17" s="11"/>
      <c r="I17" s="11"/>
      <c r="J17" s="11"/>
      <c r="K17" s="11"/>
      <c r="L17" s="11"/>
      <c r="M17" s="11"/>
      <c r="N17" s="11"/>
      <c r="O17" s="11"/>
      <c r="P17" s="11"/>
      <c r="Q17" s="11"/>
      <c r="R17" s="11"/>
      <c r="S17" s="11"/>
      <c r="T17" s="11"/>
      <c r="U17" s="11"/>
      <c r="V17" s="11"/>
      <c r="W17" s="11"/>
    </row>
    <row r="18" spans="1:23" ht="22.25" customHeight="1" x14ac:dyDescent="0.2">
      <c r="A18" s="147" t="s">
        <v>66</v>
      </c>
      <c r="B18" s="21">
        <v>-42.48</v>
      </c>
      <c r="C18" s="22" t="s">
        <v>67</v>
      </c>
      <c r="D18" s="11"/>
      <c r="E18" s="11" t="s">
        <v>415</v>
      </c>
      <c r="F18" s="11"/>
      <c r="G18" s="11"/>
      <c r="H18" s="11"/>
      <c r="I18" s="11"/>
      <c r="J18" s="11"/>
      <c r="K18" s="11"/>
      <c r="L18" s="11"/>
      <c r="M18" s="11"/>
      <c r="N18" s="11"/>
      <c r="O18" s="11"/>
      <c r="P18" s="11"/>
      <c r="Q18" s="11"/>
      <c r="R18" s="11"/>
      <c r="S18" s="11"/>
      <c r="T18" s="11"/>
      <c r="U18" s="11"/>
      <c r="V18" s="11"/>
      <c r="W18" s="11"/>
    </row>
    <row r="19" spans="1:23" ht="22.25" customHeight="1" x14ac:dyDescent="0.2">
      <c r="A19" s="17"/>
      <c r="B19" s="108"/>
      <c r="C19" s="11"/>
      <c r="D19" s="11"/>
      <c r="E19" s="11"/>
      <c r="F19" s="11"/>
      <c r="G19" s="11"/>
      <c r="H19" s="11"/>
      <c r="I19" s="11"/>
      <c r="J19" s="11"/>
      <c r="K19" s="11"/>
      <c r="L19" s="11"/>
      <c r="M19" s="11"/>
      <c r="N19" s="11"/>
      <c r="O19" s="11"/>
      <c r="P19" s="11"/>
      <c r="Q19" s="11"/>
      <c r="R19" s="11"/>
      <c r="S19" s="11"/>
      <c r="T19" s="11"/>
      <c r="U19" s="11"/>
      <c r="V19" s="11"/>
      <c r="W19" s="11"/>
    </row>
    <row r="20" spans="1:23" ht="22.25" customHeight="1" x14ac:dyDescent="0.25">
      <c r="A20" s="19" t="s">
        <v>34</v>
      </c>
      <c r="B20" s="101"/>
      <c r="C20" s="11"/>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25" t="s">
        <v>36</v>
      </c>
      <c r="B21" s="109">
        <v>42.48</v>
      </c>
      <c r="C21" s="16"/>
      <c r="D21" s="11"/>
      <c r="E21" s="11"/>
      <c r="F21" s="11"/>
      <c r="G21" s="11"/>
      <c r="H21" s="11"/>
      <c r="I21" s="11"/>
      <c r="J21" s="11"/>
      <c r="K21" s="11"/>
      <c r="L21" s="11"/>
      <c r="M21" s="11"/>
      <c r="N21" s="11"/>
      <c r="O21" s="11"/>
      <c r="P21" s="11"/>
      <c r="Q21" s="11"/>
      <c r="R21" s="11"/>
      <c r="S21" s="11"/>
      <c r="T21" s="11"/>
      <c r="U21" s="11"/>
      <c r="V21" s="11"/>
      <c r="W21" s="11"/>
    </row>
    <row r="22" spans="1:23" ht="22.25" customHeight="1" x14ac:dyDescent="0.2">
      <c r="A22" s="11"/>
      <c r="B22" s="17"/>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
      <c r="A23" s="11"/>
      <c r="B23" s="10"/>
      <c r="C23" s="11"/>
      <c r="D23" s="11"/>
      <c r="E23" s="11"/>
      <c r="F23" s="11"/>
      <c r="G23" s="11"/>
      <c r="H23" s="11"/>
      <c r="I23" s="11"/>
      <c r="J23" s="11"/>
      <c r="K23" s="11"/>
      <c r="L23" s="11"/>
      <c r="M23" s="11"/>
      <c r="N23" s="11"/>
      <c r="O23" s="11"/>
      <c r="P23" s="11"/>
      <c r="Q23" s="11"/>
      <c r="R23" s="11"/>
      <c r="S23" s="11"/>
      <c r="T23" s="11"/>
      <c r="U23" s="11"/>
      <c r="V23" s="11"/>
      <c r="W23" s="11"/>
    </row>
    <row r="24" spans="1:23" ht="22.25" customHeight="1" x14ac:dyDescent="0.25">
      <c r="A24" s="19" t="s">
        <v>37</v>
      </c>
      <c r="B24" s="10"/>
      <c r="C24" s="11"/>
      <c r="D24" s="11"/>
      <c r="E24" s="11"/>
      <c r="F24" s="11"/>
      <c r="G24" s="11"/>
      <c r="H24" s="11"/>
      <c r="I24" s="11"/>
      <c r="J24" s="11"/>
      <c r="K24" s="11"/>
      <c r="L24" s="11"/>
      <c r="M24" s="11"/>
      <c r="N24" s="11"/>
      <c r="O24" s="11"/>
      <c r="P24" s="11"/>
      <c r="Q24" s="11"/>
      <c r="R24" s="11"/>
      <c r="S24" s="11"/>
      <c r="T24" s="11"/>
      <c r="U24" s="11"/>
      <c r="V24" s="11"/>
      <c r="W24" s="11"/>
    </row>
    <row r="25" spans="1:23" ht="22.25" customHeight="1" x14ac:dyDescent="0.2">
      <c r="A25" s="11"/>
      <c r="B25" s="158" t="s">
        <v>38</v>
      </c>
      <c r="C25" s="158" t="s">
        <v>39</v>
      </c>
      <c r="D25" s="158" t="s">
        <v>40</v>
      </c>
      <c r="E25" s="158" t="s">
        <v>41</v>
      </c>
      <c r="F25" s="158" t="s">
        <v>42</v>
      </c>
      <c r="G25" s="158" t="s">
        <v>43</v>
      </c>
      <c r="H25" s="158" t="s">
        <v>44</v>
      </c>
      <c r="I25" s="158" t="s">
        <v>45</v>
      </c>
      <c r="J25" s="158" t="s">
        <v>46</v>
      </c>
      <c r="K25" s="158" t="s">
        <v>47</v>
      </c>
      <c r="L25" s="158" t="s">
        <v>48</v>
      </c>
      <c r="M25" s="158" t="s">
        <v>49</v>
      </c>
      <c r="N25" s="11"/>
      <c r="O25" s="11"/>
      <c r="P25" s="11"/>
      <c r="Q25" s="11"/>
      <c r="R25" s="11"/>
      <c r="S25" s="11"/>
      <c r="T25" s="11"/>
      <c r="U25" s="11"/>
      <c r="V25" s="11"/>
      <c r="W25" s="11"/>
    </row>
    <row r="26" spans="1:23" ht="22.25" customHeight="1" x14ac:dyDescent="0.2">
      <c r="A26" s="9" t="s">
        <v>180</v>
      </c>
      <c r="B26" s="100">
        <v>9.9</v>
      </c>
      <c r="C26" s="100">
        <v>9.9</v>
      </c>
      <c r="D26" s="100">
        <v>9.9</v>
      </c>
      <c r="E26" s="100">
        <v>11.9</v>
      </c>
      <c r="F26" s="100">
        <v>11.9</v>
      </c>
      <c r="G26" s="100">
        <v>11.9</v>
      </c>
      <c r="H26" s="100">
        <v>11.9</v>
      </c>
      <c r="I26" s="100">
        <v>11.9</v>
      </c>
      <c r="J26" s="100">
        <v>11.9</v>
      </c>
      <c r="K26" s="100">
        <v>11.9</v>
      </c>
      <c r="L26" s="100">
        <v>11.9</v>
      </c>
      <c r="M26" s="100">
        <v>11.9</v>
      </c>
      <c r="N26" s="11"/>
      <c r="O26" s="11"/>
      <c r="P26" s="11"/>
      <c r="Q26" s="11"/>
      <c r="R26" s="11"/>
      <c r="S26" s="11"/>
      <c r="T26" s="11"/>
      <c r="U26" s="11"/>
      <c r="V26" s="11"/>
      <c r="W26" s="11"/>
    </row>
    <row r="27" spans="1:23" ht="22.25" customHeight="1" x14ac:dyDescent="0.2">
      <c r="A27" s="9" t="s">
        <v>59</v>
      </c>
      <c r="B27" s="110">
        <f>SUM(B26:M26)</f>
        <v>136.80000000000004</v>
      </c>
      <c r="C27" s="100"/>
      <c r="D27" s="100"/>
      <c r="E27" s="100"/>
      <c r="F27" s="100"/>
      <c r="G27" s="100"/>
      <c r="H27" s="100"/>
      <c r="I27" s="100"/>
      <c r="J27" s="100"/>
      <c r="K27" s="100"/>
      <c r="L27" s="100"/>
      <c r="M27" s="100"/>
      <c r="N27" s="11"/>
      <c r="O27" s="11"/>
      <c r="P27" s="11"/>
      <c r="Q27" s="11"/>
      <c r="R27" s="11"/>
      <c r="S27" s="11"/>
      <c r="T27" s="11"/>
      <c r="U27" s="11"/>
      <c r="V27" s="11"/>
      <c r="W27" s="11"/>
    </row>
    <row r="28" spans="1:23" ht="22.25" customHeight="1" x14ac:dyDescent="0.25">
      <c r="A28" s="28" t="s">
        <v>54</v>
      </c>
      <c r="B28" s="161">
        <f>0.6*B27</f>
        <v>82.080000000000027</v>
      </c>
      <c r="C28" s="264" t="s">
        <v>436</v>
      </c>
      <c r="D28" s="100"/>
      <c r="E28" s="100"/>
      <c r="F28" s="100"/>
      <c r="G28" s="100"/>
      <c r="H28" s="100"/>
      <c r="I28" s="100"/>
      <c r="J28" s="100"/>
      <c r="K28" s="100"/>
      <c r="L28" s="100"/>
      <c r="M28" s="100"/>
      <c r="N28" s="11"/>
      <c r="O28" s="11"/>
      <c r="P28" s="11"/>
      <c r="Q28" s="11"/>
      <c r="R28" s="11"/>
      <c r="S28" s="11"/>
      <c r="T28" s="11"/>
      <c r="U28" s="11"/>
      <c r="V28" s="11"/>
      <c r="W28" s="11"/>
    </row>
    <row r="29" spans="1:23" ht="22.25" customHeight="1" x14ac:dyDescent="0.2">
      <c r="A29" s="11"/>
      <c r="B29" s="32"/>
      <c r="C29" s="253" t="s">
        <v>437</v>
      </c>
      <c r="D29" s="11"/>
      <c r="E29" s="11"/>
      <c r="F29" s="11"/>
      <c r="G29" s="11"/>
      <c r="H29" s="11"/>
      <c r="I29" s="11"/>
      <c r="J29" s="11"/>
      <c r="K29" s="11"/>
      <c r="L29" s="11"/>
      <c r="M29" s="11"/>
      <c r="N29" s="11"/>
      <c r="O29" s="11"/>
      <c r="P29" s="11"/>
      <c r="Q29" s="11"/>
      <c r="R29" s="11"/>
      <c r="S29" s="11"/>
      <c r="T29" s="11"/>
      <c r="U29" s="11"/>
      <c r="V29" s="11"/>
      <c r="W29" s="11"/>
    </row>
    <row r="30" spans="1:23" ht="22.25" customHeight="1" x14ac:dyDescent="0.2">
      <c r="A30" s="9" t="s">
        <v>56</v>
      </c>
      <c r="B30" s="10"/>
      <c r="C30" s="11"/>
      <c r="D30" s="11"/>
      <c r="E30" s="11"/>
      <c r="F30" s="11"/>
      <c r="G30" s="11"/>
      <c r="H30" s="11"/>
      <c r="I30" s="11"/>
      <c r="J30" s="11"/>
      <c r="K30" s="11"/>
      <c r="L30" s="11"/>
      <c r="M30" s="11"/>
      <c r="N30" s="11"/>
      <c r="O30" s="11"/>
      <c r="P30" s="11"/>
      <c r="Q30" s="11"/>
      <c r="R30" s="11"/>
      <c r="S30" s="11"/>
      <c r="T30" s="11"/>
      <c r="U30" s="11"/>
      <c r="V30" s="11"/>
      <c r="W30" s="11"/>
    </row>
    <row r="31" spans="1:23" ht="22.25" customHeight="1" x14ac:dyDescent="0.2">
      <c r="A31" s="243" t="s">
        <v>427</v>
      </c>
      <c r="B31" s="100">
        <v>22.7</v>
      </c>
      <c r="C31" s="11"/>
      <c r="D31" s="11"/>
      <c r="E31" s="11"/>
      <c r="F31" s="11"/>
      <c r="G31" s="11"/>
      <c r="H31" s="11"/>
      <c r="I31" s="11"/>
      <c r="J31" s="11"/>
      <c r="K31" s="11"/>
      <c r="L31" s="11"/>
      <c r="M31" s="11"/>
      <c r="N31" s="11"/>
      <c r="O31" s="11"/>
      <c r="P31" s="11"/>
      <c r="Q31" s="11"/>
      <c r="R31" s="11"/>
      <c r="S31" s="11"/>
      <c r="T31" s="11"/>
      <c r="U31" s="11"/>
      <c r="V31" s="11"/>
      <c r="W31" s="11"/>
    </row>
    <row r="32" spans="1:23" ht="22.25" customHeight="1" x14ac:dyDescent="0.2">
      <c r="A32" s="243" t="s">
        <v>428</v>
      </c>
      <c r="B32" s="100">
        <v>24.7</v>
      </c>
      <c r="C32" s="11"/>
      <c r="D32" s="11"/>
      <c r="E32" s="11"/>
      <c r="F32" s="11"/>
      <c r="G32" s="11"/>
      <c r="H32" s="11"/>
      <c r="I32" s="11"/>
      <c r="J32" s="11"/>
      <c r="K32" s="11"/>
      <c r="L32" s="11"/>
      <c r="M32" s="11"/>
      <c r="N32" s="11"/>
      <c r="O32" s="11"/>
      <c r="P32" s="11"/>
      <c r="Q32" s="11"/>
      <c r="R32" s="11"/>
      <c r="S32" s="11"/>
      <c r="T32" s="11"/>
      <c r="U32" s="11"/>
      <c r="V32" s="11"/>
      <c r="W32" s="11"/>
    </row>
    <row r="33" spans="1:23" ht="22.25" customHeight="1" x14ac:dyDescent="0.25">
      <c r="A33" s="28" t="s">
        <v>59</v>
      </c>
      <c r="B33" s="161">
        <f>B31+B32</f>
        <v>47.4</v>
      </c>
      <c r="C33" s="33"/>
      <c r="D33" s="11"/>
      <c r="E33" s="11"/>
      <c r="F33" s="11"/>
      <c r="G33" s="11"/>
      <c r="H33" s="11"/>
      <c r="I33" s="11"/>
      <c r="J33" s="11"/>
      <c r="K33" s="11"/>
      <c r="L33" s="11"/>
      <c r="M33" s="11"/>
      <c r="N33" s="11"/>
      <c r="O33" s="11"/>
      <c r="P33" s="11"/>
      <c r="Q33" s="11"/>
      <c r="R33" s="11"/>
      <c r="S33" s="11"/>
      <c r="T33" s="11"/>
      <c r="U33" s="11"/>
      <c r="V33" s="11"/>
      <c r="W33" s="11"/>
    </row>
    <row r="34" spans="1:23" ht="22.25" customHeight="1" x14ac:dyDescent="0.2">
      <c r="A34" s="11"/>
      <c r="B34" s="114"/>
      <c r="C34" s="11"/>
      <c r="D34" s="11"/>
      <c r="E34" s="11"/>
      <c r="F34" s="11"/>
      <c r="G34" s="11"/>
      <c r="H34" s="11"/>
      <c r="I34" s="11"/>
      <c r="J34" s="11"/>
      <c r="K34" s="11"/>
      <c r="L34" s="11"/>
      <c r="M34" s="11"/>
      <c r="N34" s="11"/>
      <c r="O34" s="11"/>
      <c r="P34" s="11"/>
      <c r="Q34" s="11"/>
      <c r="R34" s="11"/>
      <c r="S34" s="11"/>
      <c r="T34" s="11"/>
      <c r="U34" s="11"/>
      <c r="V34" s="11"/>
      <c r="W34" s="11"/>
    </row>
  </sheetData>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46"/>
  <sheetViews>
    <sheetView showGridLines="0" workbookViewId="0">
      <selection activeCell="A16" sqref="A16"/>
    </sheetView>
  </sheetViews>
  <sheetFormatPr baseColWidth="10" defaultColWidth="12.25" defaultRowHeight="20" customHeight="1" x14ac:dyDescent="0.2"/>
  <cols>
    <col min="1" max="1" width="38.125" style="5" customWidth="1"/>
    <col min="2" max="2" width="12.5" style="5" customWidth="1"/>
    <col min="3" max="3" width="12.625" style="5" customWidth="1"/>
    <col min="4" max="14" width="12.25" style="5" customWidth="1"/>
    <col min="15" max="16384" width="12.25" style="5"/>
  </cols>
  <sheetData>
    <row r="1" spans="1:13" ht="22.5" customHeight="1" x14ac:dyDescent="0.2">
      <c r="A1" s="6" t="s">
        <v>16</v>
      </c>
      <c r="B1" s="7"/>
      <c r="C1" s="8"/>
      <c r="D1" s="8"/>
      <c r="E1" s="8"/>
      <c r="F1" s="8"/>
      <c r="G1" s="8"/>
      <c r="H1" s="8"/>
      <c r="I1" s="8"/>
      <c r="J1" s="8"/>
      <c r="K1" s="8"/>
      <c r="L1" s="8"/>
      <c r="M1" s="8"/>
    </row>
    <row r="2" spans="1:13" ht="22.5" customHeight="1" x14ac:dyDescent="0.2">
      <c r="A2" s="9" t="s">
        <v>17</v>
      </c>
      <c r="B2" s="10">
        <v>189</v>
      </c>
      <c r="C2" s="9" t="s">
        <v>18</v>
      </c>
      <c r="D2" s="11"/>
      <c r="E2" s="11"/>
      <c r="F2" s="11"/>
      <c r="G2" s="11"/>
      <c r="H2" s="11"/>
      <c r="I2" s="11"/>
      <c r="J2" s="11"/>
      <c r="K2" s="11"/>
      <c r="L2" s="11"/>
      <c r="M2" s="11"/>
    </row>
    <row r="3" spans="1:13" ht="22.5" customHeight="1" x14ac:dyDescent="0.2">
      <c r="A3" s="9" t="s">
        <v>19</v>
      </c>
      <c r="B3" s="10">
        <v>1277.1199999999999</v>
      </c>
      <c r="C3" s="9" t="s">
        <v>18</v>
      </c>
      <c r="D3" s="11"/>
      <c r="E3" s="11"/>
      <c r="F3" s="11"/>
      <c r="G3" s="11"/>
      <c r="H3" s="11"/>
      <c r="I3" s="11"/>
      <c r="J3" s="11"/>
      <c r="K3" s="11"/>
      <c r="L3" s="11"/>
      <c r="M3" s="11"/>
    </row>
    <row r="4" spans="1:13" ht="22.5" customHeight="1" x14ac:dyDescent="0.2">
      <c r="A4" s="12" t="s">
        <v>20</v>
      </c>
      <c r="B4" s="13">
        <v>146.07</v>
      </c>
      <c r="C4" s="9" t="s">
        <v>18</v>
      </c>
      <c r="D4" s="11"/>
      <c r="E4" s="11"/>
      <c r="F4" s="11"/>
      <c r="G4" s="11"/>
      <c r="H4" s="11"/>
      <c r="I4" s="11"/>
      <c r="J4" s="11"/>
      <c r="K4" s="11"/>
      <c r="L4" s="11"/>
      <c r="M4" s="11"/>
    </row>
    <row r="5" spans="1:13" ht="22.5" customHeight="1" x14ac:dyDescent="0.2">
      <c r="A5" s="14" t="s">
        <v>21</v>
      </c>
      <c r="B5" s="15">
        <f>SUM(B2:B4)</f>
        <v>1612.1899999999998</v>
      </c>
      <c r="C5" s="16"/>
      <c r="D5" s="11"/>
      <c r="E5" s="11"/>
      <c r="F5" s="11"/>
      <c r="G5" s="11"/>
      <c r="H5" s="11"/>
      <c r="I5" s="11"/>
      <c r="J5" s="11"/>
      <c r="K5" s="11"/>
      <c r="L5" s="11"/>
      <c r="M5" s="11"/>
    </row>
    <row r="6" spans="1:13" ht="22.5" customHeight="1" x14ac:dyDescent="0.2">
      <c r="A6" s="17"/>
      <c r="B6" s="18"/>
      <c r="C6" s="11"/>
      <c r="D6" s="11"/>
      <c r="E6" s="11"/>
      <c r="F6" s="11"/>
      <c r="G6" s="11"/>
      <c r="H6" s="11"/>
      <c r="I6" s="11"/>
      <c r="J6" s="11"/>
      <c r="K6" s="11"/>
      <c r="L6" s="11"/>
      <c r="M6" s="11"/>
    </row>
    <row r="7" spans="1:13" ht="22.5" customHeight="1" x14ac:dyDescent="0.2">
      <c r="A7" s="6" t="s">
        <v>22</v>
      </c>
      <c r="B7" s="10"/>
      <c r="C7" s="11"/>
      <c r="D7" s="11"/>
      <c r="E7" s="11"/>
      <c r="F7" s="11"/>
      <c r="G7" s="11"/>
      <c r="H7" s="11"/>
      <c r="I7" s="11"/>
      <c r="J7" s="11"/>
      <c r="K7" s="11"/>
      <c r="L7" s="11"/>
      <c r="M7" s="11"/>
    </row>
    <row r="8" spans="1:13" ht="22.5" customHeight="1" x14ac:dyDescent="0.2">
      <c r="A8" s="12" t="s">
        <v>23</v>
      </c>
      <c r="B8" s="13">
        <v>300</v>
      </c>
      <c r="C8" s="9" t="s">
        <v>24</v>
      </c>
      <c r="D8" s="11"/>
      <c r="E8" s="11"/>
      <c r="F8" s="11"/>
      <c r="G8" s="11"/>
      <c r="H8" s="11"/>
      <c r="I8" s="11"/>
      <c r="J8" s="11"/>
      <c r="K8" s="11"/>
      <c r="L8" s="11"/>
      <c r="M8" s="11"/>
    </row>
    <row r="9" spans="1:13" ht="22.5" customHeight="1" x14ac:dyDescent="0.2">
      <c r="A9" s="14" t="s">
        <v>21</v>
      </c>
      <c r="B9" s="15">
        <f>SUM(B8)</f>
        <v>300</v>
      </c>
      <c r="C9" s="16"/>
      <c r="D9" s="11"/>
      <c r="E9" s="11"/>
      <c r="F9" s="11"/>
      <c r="G9" s="11"/>
      <c r="H9" s="11"/>
      <c r="I9" s="11"/>
      <c r="J9" s="11"/>
      <c r="K9" s="11"/>
      <c r="L9" s="11"/>
      <c r="M9" s="11"/>
    </row>
    <row r="10" spans="1:13" ht="22.5" customHeight="1" x14ac:dyDescent="0.2">
      <c r="A10" s="17"/>
      <c r="B10" s="18"/>
      <c r="C10" s="11"/>
      <c r="D10" s="11"/>
      <c r="E10" s="11"/>
      <c r="F10" s="11"/>
      <c r="G10" s="11"/>
      <c r="H10" s="11"/>
      <c r="I10" s="11"/>
      <c r="J10" s="11"/>
      <c r="K10" s="11"/>
      <c r="L10" s="11"/>
      <c r="M10" s="11"/>
    </row>
    <row r="11" spans="1:13" ht="22.5" customHeight="1" x14ac:dyDescent="0.25">
      <c r="A11" s="19" t="s">
        <v>25</v>
      </c>
      <c r="B11" s="10"/>
      <c r="C11" s="11"/>
      <c r="D11" s="11"/>
      <c r="E11" s="11"/>
      <c r="F11" s="11"/>
      <c r="G11" s="11"/>
      <c r="H11" s="11"/>
      <c r="I11" s="11"/>
      <c r="J11" s="11"/>
      <c r="K11" s="11"/>
      <c r="L11" s="11"/>
      <c r="M11" s="11"/>
    </row>
    <row r="12" spans="1:13" ht="22.5" customHeight="1" x14ac:dyDescent="0.2">
      <c r="A12" s="9" t="s">
        <v>26</v>
      </c>
      <c r="B12" s="10">
        <v>36</v>
      </c>
      <c r="C12" s="9" t="s">
        <v>27</v>
      </c>
      <c r="D12" s="11"/>
      <c r="E12" s="11"/>
      <c r="F12" s="11"/>
      <c r="G12" s="11"/>
      <c r="H12" s="11"/>
      <c r="I12" s="11"/>
      <c r="J12" s="11"/>
      <c r="K12" s="11"/>
      <c r="L12" s="11"/>
      <c r="M12" s="11"/>
    </row>
    <row r="13" spans="1:13" ht="22.5" customHeight="1" x14ac:dyDescent="0.2">
      <c r="A13" s="9" t="s">
        <v>28</v>
      </c>
      <c r="B13" s="10">
        <v>215.28</v>
      </c>
      <c r="C13" s="9" t="s">
        <v>29</v>
      </c>
      <c r="D13" s="11"/>
      <c r="E13" s="11"/>
      <c r="F13" s="11"/>
      <c r="G13" s="11"/>
      <c r="H13" s="11"/>
      <c r="I13" s="11"/>
      <c r="J13" s="11"/>
      <c r="K13" s="11"/>
      <c r="L13" s="11"/>
      <c r="M13" s="11"/>
    </row>
    <row r="14" spans="1:13" ht="22.5" customHeight="1" x14ac:dyDescent="0.2">
      <c r="A14" s="9" t="s">
        <v>30</v>
      </c>
      <c r="B14" s="10">
        <v>103.99</v>
      </c>
      <c r="C14" s="9" t="s">
        <v>29</v>
      </c>
      <c r="D14" s="11"/>
      <c r="E14" s="11"/>
      <c r="F14" s="11"/>
      <c r="G14" s="11"/>
      <c r="H14" s="11"/>
      <c r="I14" s="11"/>
      <c r="J14" s="11"/>
      <c r="K14" s="11"/>
      <c r="L14" s="11"/>
      <c r="M14" s="11"/>
    </row>
    <row r="15" spans="1:13" ht="22.5" customHeight="1" x14ac:dyDescent="0.2">
      <c r="A15" s="9" t="s">
        <v>31</v>
      </c>
      <c r="B15" s="10">
        <v>37.4</v>
      </c>
      <c r="C15" s="9" t="s">
        <v>29</v>
      </c>
      <c r="D15" s="11"/>
      <c r="E15" s="11"/>
      <c r="F15" s="11"/>
      <c r="G15" s="11"/>
      <c r="H15" s="11"/>
      <c r="I15" s="11"/>
      <c r="J15" s="11"/>
      <c r="K15" s="11"/>
      <c r="L15" s="11"/>
      <c r="M15" s="11"/>
    </row>
    <row r="16" spans="1:13" ht="22.5" customHeight="1" x14ac:dyDescent="0.2">
      <c r="A16" s="12" t="s">
        <v>32</v>
      </c>
      <c r="B16" s="13">
        <v>11.2</v>
      </c>
      <c r="C16" s="9" t="s">
        <v>33</v>
      </c>
      <c r="D16" s="11"/>
      <c r="E16" s="11"/>
      <c r="F16" s="11"/>
      <c r="G16" s="11"/>
      <c r="H16" s="11"/>
      <c r="I16" s="11"/>
      <c r="J16" s="11"/>
      <c r="K16" s="11"/>
      <c r="L16" s="11"/>
      <c r="M16" s="11"/>
    </row>
    <row r="17" spans="1:13" ht="22.5" customHeight="1" x14ac:dyDescent="0.2">
      <c r="A17" s="14" t="s">
        <v>21</v>
      </c>
      <c r="B17" s="15">
        <f>SUM(B12:B16)</f>
        <v>403.86999999999995</v>
      </c>
      <c r="C17" s="16"/>
      <c r="D17" s="11"/>
      <c r="E17" s="11"/>
      <c r="F17" s="11"/>
      <c r="G17" s="11"/>
      <c r="H17" s="11"/>
      <c r="I17" s="11"/>
      <c r="J17" s="11"/>
      <c r="K17" s="11"/>
      <c r="L17" s="11"/>
      <c r="M17" s="11"/>
    </row>
    <row r="18" spans="1:13" ht="22.5" customHeight="1" x14ac:dyDescent="0.2">
      <c r="A18" s="17"/>
      <c r="B18" s="18"/>
      <c r="C18" s="11"/>
      <c r="D18" s="11"/>
      <c r="E18" s="11"/>
      <c r="F18" s="11"/>
      <c r="G18" s="11"/>
      <c r="H18" s="11"/>
      <c r="I18" s="11"/>
      <c r="J18" s="11"/>
      <c r="K18" s="11"/>
      <c r="L18" s="11"/>
      <c r="M18" s="11"/>
    </row>
    <row r="19" spans="1:13" ht="22.5" customHeight="1" x14ac:dyDescent="0.25">
      <c r="A19" s="19" t="s">
        <v>34</v>
      </c>
      <c r="B19" s="10"/>
      <c r="C19" s="11"/>
      <c r="D19" s="11"/>
      <c r="E19" s="11"/>
      <c r="F19" s="11"/>
      <c r="G19" s="11"/>
      <c r="H19" s="11"/>
      <c r="I19" s="11"/>
      <c r="J19" s="11"/>
      <c r="K19" s="11"/>
      <c r="L19" s="11"/>
      <c r="M19" s="11"/>
    </row>
    <row r="20" spans="1:13" ht="22.5" customHeight="1" x14ac:dyDescent="0.2">
      <c r="A20" s="9" t="s">
        <v>35</v>
      </c>
      <c r="B20" s="10">
        <v>1230</v>
      </c>
      <c r="C20" s="11"/>
      <c r="D20" s="11"/>
      <c r="E20" s="11"/>
      <c r="F20" s="11"/>
      <c r="G20" s="11"/>
      <c r="H20" s="11"/>
      <c r="I20" s="11"/>
      <c r="J20" s="11"/>
      <c r="K20" s="11"/>
      <c r="L20" s="11"/>
      <c r="M20" s="11"/>
    </row>
    <row r="21" spans="1:13" ht="22.5" customHeight="1" x14ac:dyDescent="0.2">
      <c r="A21" s="9" t="s">
        <v>36</v>
      </c>
      <c r="B21" s="10">
        <v>39.479999999999997</v>
      </c>
      <c r="C21" s="11"/>
      <c r="D21" s="11"/>
      <c r="E21" s="11"/>
      <c r="F21" s="11"/>
      <c r="G21" s="11"/>
      <c r="H21" s="11"/>
      <c r="I21" s="11"/>
      <c r="J21" s="11"/>
      <c r="K21" s="11"/>
      <c r="L21" s="11"/>
      <c r="M21" s="11"/>
    </row>
    <row r="22" spans="1:13" ht="22.5" customHeight="1" x14ac:dyDescent="0.2">
      <c r="A22" s="11"/>
      <c r="B22" s="10"/>
      <c r="C22" s="11"/>
      <c r="D22" s="11"/>
      <c r="E22" s="11"/>
      <c r="F22" s="11"/>
      <c r="G22" s="11"/>
      <c r="H22" s="11"/>
      <c r="I22" s="11"/>
      <c r="J22" s="11"/>
      <c r="K22" s="11"/>
      <c r="L22" s="11"/>
      <c r="M22" s="11"/>
    </row>
    <row r="23" spans="1:13" ht="22.5" customHeight="1" x14ac:dyDescent="0.2">
      <c r="A23" s="11"/>
      <c r="B23" s="10"/>
      <c r="C23" s="11"/>
      <c r="D23" s="11"/>
      <c r="E23" s="11"/>
      <c r="F23" s="11"/>
      <c r="G23" s="11"/>
      <c r="H23" s="11"/>
      <c r="I23" s="11"/>
      <c r="J23" s="11"/>
      <c r="K23" s="11"/>
      <c r="L23" s="11"/>
      <c r="M23" s="11"/>
    </row>
    <row r="24" spans="1:13" ht="22.5" customHeight="1" x14ac:dyDescent="0.25">
      <c r="A24" s="19" t="s">
        <v>37</v>
      </c>
      <c r="B24" s="10"/>
      <c r="C24" s="11"/>
      <c r="D24" s="11"/>
      <c r="E24" s="11"/>
      <c r="F24" s="11"/>
      <c r="G24" s="11"/>
      <c r="H24" s="11"/>
      <c r="I24" s="11"/>
      <c r="J24" s="11"/>
      <c r="K24" s="11"/>
      <c r="L24" s="11"/>
      <c r="M24" s="11"/>
    </row>
    <row r="25" spans="1:13" ht="22.5" customHeight="1" x14ac:dyDescent="0.2">
      <c r="A25" s="11"/>
      <c r="B25" s="9" t="s">
        <v>38</v>
      </c>
      <c r="C25" s="9" t="s">
        <v>39</v>
      </c>
      <c r="D25" s="9" t="s">
        <v>40</v>
      </c>
      <c r="E25" s="9" t="s">
        <v>41</v>
      </c>
      <c r="F25" s="9" t="s">
        <v>42</v>
      </c>
      <c r="G25" s="9" t="s">
        <v>43</v>
      </c>
      <c r="H25" s="9" t="s">
        <v>44</v>
      </c>
      <c r="I25" s="9" t="s">
        <v>45</v>
      </c>
      <c r="J25" s="9" t="s">
        <v>46</v>
      </c>
      <c r="K25" s="9" t="s">
        <v>47</v>
      </c>
      <c r="L25" s="9" t="s">
        <v>48</v>
      </c>
      <c r="M25" s="9" t="s">
        <v>49</v>
      </c>
    </row>
    <row r="26" spans="1:13" ht="22.5" customHeight="1" x14ac:dyDescent="0.2">
      <c r="A26" s="9" t="s">
        <v>17</v>
      </c>
      <c r="B26" s="10">
        <v>15.75</v>
      </c>
      <c r="C26" s="10">
        <v>15.75</v>
      </c>
      <c r="D26" s="10">
        <v>15.75</v>
      </c>
      <c r="E26" s="10">
        <v>15.75</v>
      </c>
      <c r="F26" s="10">
        <v>15.75</v>
      </c>
      <c r="G26" s="10">
        <v>15.75</v>
      </c>
      <c r="H26" s="10">
        <v>15.75</v>
      </c>
      <c r="I26" s="10">
        <v>15.75</v>
      </c>
      <c r="J26" s="10">
        <v>15.75</v>
      </c>
      <c r="K26" s="10">
        <v>15.75</v>
      </c>
      <c r="L26" s="10">
        <v>15.75</v>
      </c>
      <c r="M26" s="10">
        <v>15.75</v>
      </c>
    </row>
    <row r="27" spans="1:13" ht="22.5" customHeight="1" x14ac:dyDescent="0.2">
      <c r="A27" s="9" t="s">
        <v>50</v>
      </c>
      <c r="B27" s="10">
        <f>SUM(B26:M26)</f>
        <v>189</v>
      </c>
      <c r="C27" s="10"/>
      <c r="D27" s="10"/>
      <c r="E27" s="10"/>
      <c r="F27" s="10"/>
      <c r="G27" s="10"/>
      <c r="H27" s="10"/>
      <c r="I27" s="10"/>
      <c r="J27" s="10"/>
      <c r="K27" s="10"/>
      <c r="L27" s="10"/>
      <c r="M27" s="10"/>
    </row>
    <row r="28" spans="1:13" ht="22.5" customHeight="1" x14ac:dyDescent="0.2">
      <c r="A28" s="11"/>
      <c r="B28" s="9" t="s">
        <v>38</v>
      </c>
      <c r="C28" s="9" t="s">
        <v>39</v>
      </c>
      <c r="D28" s="9" t="s">
        <v>40</v>
      </c>
      <c r="E28" s="9" t="s">
        <v>41</v>
      </c>
      <c r="F28" s="9" t="s">
        <v>42</v>
      </c>
      <c r="G28" s="9" t="s">
        <v>43</v>
      </c>
      <c r="H28" s="9" t="s">
        <v>44</v>
      </c>
      <c r="I28" s="9" t="s">
        <v>45</v>
      </c>
      <c r="J28" s="9" t="s">
        <v>46</v>
      </c>
      <c r="K28" s="9" t="s">
        <v>47</v>
      </c>
      <c r="L28" s="9" t="s">
        <v>48</v>
      </c>
      <c r="M28" s="9" t="s">
        <v>49</v>
      </c>
    </row>
    <row r="29" spans="1:13" ht="22.5" customHeight="1" x14ac:dyDescent="0.2">
      <c r="A29" s="9" t="s">
        <v>19</v>
      </c>
      <c r="B29" s="10">
        <v>104</v>
      </c>
      <c r="C29" s="10">
        <v>104</v>
      </c>
      <c r="D29" s="10">
        <v>104</v>
      </c>
      <c r="E29" s="10">
        <v>104</v>
      </c>
      <c r="F29" s="10">
        <v>104</v>
      </c>
      <c r="G29" s="10">
        <v>108.16</v>
      </c>
      <c r="H29" s="10">
        <v>108.16</v>
      </c>
      <c r="I29" s="10">
        <v>108.16</v>
      </c>
      <c r="J29" s="10">
        <v>108.16</v>
      </c>
      <c r="K29" s="10">
        <v>108.16</v>
      </c>
      <c r="L29" s="10">
        <v>108.16</v>
      </c>
      <c r="M29" s="10">
        <v>108.16</v>
      </c>
    </row>
    <row r="30" spans="1:13" ht="22.5" customHeight="1" x14ac:dyDescent="0.2">
      <c r="A30" s="9" t="s">
        <v>50</v>
      </c>
      <c r="B30" s="10">
        <f>SUM(B29:M29)</f>
        <v>1277.1200000000001</v>
      </c>
      <c r="C30" s="10"/>
      <c r="D30" s="10"/>
      <c r="E30" s="10"/>
      <c r="F30" s="10"/>
      <c r="G30" s="10"/>
      <c r="H30" s="10"/>
      <c r="I30" s="10"/>
      <c r="J30" s="10"/>
      <c r="K30" s="10"/>
      <c r="L30" s="10"/>
      <c r="M30" s="10"/>
    </row>
    <row r="31" spans="1:13" ht="22.5" customHeight="1" x14ac:dyDescent="0.2">
      <c r="A31" s="11"/>
      <c r="B31" s="10"/>
      <c r="C31" s="10"/>
      <c r="D31" s="10"/>
      <c r="E31" s="10"/>
      <c r="F31" s="10"/>
      <c r="G31" s="10"/>
      <c r="H31" s="10"/>
      <c r="I31" s="10"/>
      <c r="J31" s="10"/>
      <c r="K31" s="10"/>
      <c r="L31" s="10"/>
      <c r="M31" s="10"/>
    </row>
    <row r="32" spans="1:13" ht="22.5" customHeight="1" x14ac:dyDescent="0.2">
      <c r="A32" s="11"/>
      <c r="B32" s="10"/>
      <c r="C32" s="11"/>
      <c r="D32" s="11"/>
      <c r="E32" s="11"/>
      <c r="F32" s="11"/>
      <c r="G32" s="11"/>
      <c r="H32" s="11"/>
      <c r="I32" s="11"/>
      <c r="J32" s="11"/>
      <c r="K32" s="11"/>
      <c r="L32" s="11"/>
      <c r="M32" s="11"/>
    </row>
    <row r="33" spans="1:13" ht="22.5" customHeight="1" x14ac:dyDescent="0.2">
      <c r="A33" s="9" t="s">
        <v>51</v>
      </c>
      <c r="B33" s="10">
        <v>491.3</v>
      </c>
      <c r="C33" s="11"/>
      <c r="D33" s="11"/>
      <c r="E33" s="11"/>
      <c r="F33" s="11"/>
      <c r="G33" s="11"/>
      <c r="H33" s="11"/>
      <c r="I33" s="11"/>
      <c r="J33" s="11"/>
      <c r="K33" s="11"/>
      <c r="L33" s="11"/>
      <c r="M33" s="11"/>
    </row>
    <row r="34" spans="1:13" ht="22.5" customHeight="1" x14ac:dyDescent="0.2">
      <c r="A34" s="9" t="s">
        <v>52</v>
      </c>
      <c r="B34" s="10">
        <v>29.9</v>
      </c>
      <c r="C34" s="11"/>
      <c r="D34" s="11"/>
      <c r="E34" s="11"/>
      <c r="F34" s="11"/>
      <c r="G34" s="11"/>
      <c r="H34" s="11"/>
      <c r="I34" s="11"/>
      <c r="J34" s="11"/>
      <c r="K34" s="11"/>
      <c r="L34" s="11"/>
      <c r="M34" s="11"/>
    </row>
    <row r="35" spans="1:13" ht="22.5" customHeight="1" x14ac:dyDescent="0.2">
      <c r="A35" s="9" t="s">
        <v>53</v>
      </c>
      <c r="B35" s="10">
        <f>12*B34</f>
        <v>358.79999999999995</v>
      </c>
      <c r="C35" s="11"/>
      <c r="D35" s="11"/>
      <c r="E35" s="11"/>
      <c r="F35" s="11"/>
      <c r="G35" s="11"/>
      <c r="H35" s="11"/>
      <c r="I35" s="11"/>
      <c r="J35" s="11"/>
      <c r="K35" s="11"/>
      <c r="L35" s="11"/>
      <c r="M35" s="11"/>
    </row>
    <row r="36" spans="1:13" ht="22.5" customHeight="1" x14ac:dyDescent="0.2">
      <c r="A36" s="9" t="s">
        <v>54</v>
      </c>
      <c r="B36" s="10">
        <f>0.6*B35</f>
        <v>215.27999999999997</v>
      </c>
      <c r="C36" s="11"/>
      <c r="D36" s="11"/>
      <c r="E36" s="11"/>
      <c r="F36" s="11"/>
      <c r="G36" s="11"/>
      <c r="H36" s="11"/>
      <c r="I36" s="11"/>
      <c r="J36" s="11"/>
      <c r="K36" s="11"/>
      <c r="L36" s="11"/>
      <c r="M36" s="11"/>
    </row>
    <row r="37" spans="1:13" ht="22.5" customHeight="1" x14ac:dyDescent="0.2">
      <c r="A37" s="11"/>
      <c r="B37" s="10"/>
      <c r="C37" s="11"/>
      <c r="D37" s="11"/>
      <c r="E37" s="11"/>
      <c r="F37" s="11"/>
      <c r="G37" s="11"/>
      <c r="H37" s="11"/>
      <c r="I37" s="11"/>
      <c r="J37" s="11"/>
      <c r="K37" s="11"/>
      <c r="L37" s="11"/>
      <c r="M37" s="11"/>
    </row>
    <row r="38" spans="1:13" ht="22.5" customHeight="1" x14ac:dyDescent="0.2">
      <c r="A38" s="11"/>
      <c r="B38" s="9" t="s">
        <v>38</v>
      </c>
      <c r="C38" s="9" t="s">
        <v>39</v>
      </c>
      <c r="D38" s="9" t="s">
        <v>40</v>
      </c>
      <c r="E38" s="9" t="s">
        <v>41</v>
      </c>
      <c r="F38" s="9" t="s">
        <v>42</v>
      </c>
      <c r="G38" s="9" t="s">
        <v>43</v>
      </c>
      <c r="H38" s="9" t="s">
        <v>44</v>
      </c>
      <c r="I38" s="9" t="s">
        <v>45</v>
      </c>
      <c r="J38" s="9" t="s">
        <v>46</v>
      </c>
      <c r="K38" s="9" t="s">
        <v>47</v>
      </c>
      <c r="L38" s="9" t="s">
        <v>48</v>
      </c>
      <c r="M38" s="9" t="s">
        <v>49</v>
      </c>
    </row>
    <row r="39" spans="1:13" ht="22.5" customHeight="1" x14ac:dyDescent="0.2">
      <c r="A39" s="9" t="s">
        <v>55</v>
      </c>
      <c r="B39" s="10">
        <v>12.49</v>
      </c>
      <c r="C39" s="20">
        <v>12.49</v>
      </c>
      <c r="D39" s="20">
        <v>12.3</v>
      </c>
      <c r="E39" s="20">
        <v>12.3</v>
      </c>
      <c r="F39" s="20">
        <v>32.799999999999997</v>
      </c>
      <c r="G39" s="20">
        <v>12.5</v>
      </c>
      <c r="H39" s="20">
        <v>12.5</v>
      </c>
      <c r="I39" s="20">
        <v>12.5</v>
      </c>
      <c r="J39" s="20">
        <v>12.5</v>
      </c>
      <c r="K39" s="20">
        <v>15.94</v>
      </c>
      <c r="L39" s="20">
        <v>12.7</v>
      </c>
      <c r="M39" s="20">
        <v>12.3</v>
      </c>
    </row>
    <row r="40" spans="1:13" ht="22.5" customHeight="1" x14ac:dyDescent="0.2">
      <c r="A40" s="9" t="s">
        <v>50</v>
      </c>
      <c r="B40" s="10">
        <f>SUM(B39:M39)</f>
        <v>173.32</v>
      </c>
      <c r="C40" s="11"/>
      <c r="D40" s="11"/>
      <c r="E40" s="11"/>
      <c r="F40" s="11"/>
      <c r="G40" s="11"/>
      <c r="H40" s="11"/>
      <c r="I40" s="11"/>
      <c r="J40" s="11"/>
      <c r="K40" s="11"/>
      <c r="L40" s="11"/>
      <c r="M40" s="11"/>
    </row>
    <row r="41" spans="1:13" ht="22.5" customHeight="1" x14ac:dyDescent="0.2">
      <c r="A41" s="9" t="s">
        <v>54</v>
      </c>
      <c r="B41" s="10">
        <f>0.6*B40</f>
        <v>103.99199999999999</v>
      </c>
      <c r="C41" s="11"/>
      <c r="D41" s="11"/>
      <c r="E41" s="11"/>
      <c r="F41" s="11"/>
      <c r="G41" s="11"/>
      <c r="H41" s="11"/>
      <c r="I41" s="11"/>
      <c r="J41" s="11"/>
      <c r="K41" s="11"/>
      <c r="L41" s="11"/>
      <c r="M41" s="11"/>
    </row>
    <row r="42" spans="1:13" ht="22.5" customHeight="1" x14ac:dyDescent="0.2">
      <c r="A42" s="11"/>
      <c r="B42" s="10"/>
      <c r="C42" s="11"/>
      <c r="D42" s="11"/>
      <c r="E42" s="11"/>
      <c r="F42" s="11"/>
      <c r="G42" s="11"/>
      <c r="H42" s="11"/>
      <c r="I42" s="11"/>
      <c r="J42" s="11"/>
      <c r="K42" s="11"/>
      <c r="L42" s="11"/>
      <c r="M42" s="11"/>
    </row>
    <row r="43" spans="1:13" ht="22.5" customHeight="1" x14ac:dyDescent="0.2">
      <c r="A43" s="9" t="s">
        <v>56</v>
      </c>
      <c r="B43" s="10"/>
      <c r="C43" s="11"/>
      <c r="D43" s="11"/>
      <c r="E43" s="11"/>
      <c r="F43" s="11"/>
      <c r="G43" s="11"/>
      <c r="H43" s="11"/>
      <c r="I43" s="11"/>
      <c r="J43" s="11"/>
      <c r="K43" s="11"/>
      <c r="L43" s="11"/>
      <c r="M43" s="11"/>
    </row>
    <row r="44" spans="1:13" ht="22.5" customHeight="1" x14ac:dyDescent="0.2">
      <c r="A44" s="9" t="s">
        <v>57</v>
      </c>
      <c r="B44" s="10">
        <v>18.7</v>
      </c>
      <c r="C44" s="11"/>
      <c r="D44" s="11"/>
      <c r="E44" s="11"/>
      <c r="F44" s="11"/>
      <c r="G44" s="11"/>
      <c r="H44" s="11"/>
      <c r="I44" s="11"/>
      <c r="J44" s="11"/>
      <c r="K44" s="11"/>
      <c r="L44" s="11"/>
      <c r="M44" s="11"/>
    </row>
    <row r="45" spans="1:13" ht="22.5" customHeight="1" x14ac:dyDescent="0.2">
      <c r="A45" s="9" t="s">
        <v>58</v>
      </c>
      <c r="B45" s="10">
        <v>18.7</v>
      </c>
      <c r="C45" s="11"/>
      <c r="D45" s="11"/>
      <c r="E45" s="11"/>
      <c r="F45" s="11"/>
      <c r="G45" s="11"/>
      <c r="H45" s="11"/>
      <c r="I45" s="11"/>
      <c r="J45" s="11"/>
      <c r="K45" s="11"/>
      <c r="L45" s="11"/>
      <c r="M45" s="11"/>
    </row>
    <row r="46" spans="1:13" ht="22.5" customHeight="1" x14ac:dyDescent="0.2">
      <c r="A46" s="9" t="s">
        <v>59</v>
      </c>
      <c r="B46" s="10">
        <f>B44+B45</f>
        <v>37.4</v>
      </c>
      <c r="C46" s="11"/>
      <c r="D46" s="11"/>
      <c r="E46" s="11"/>
      <c r="F46" s="11"/>
      <c r="G46" s="11"/>
      <c r="H46" s="11"/>
      <c r="I46" s="11"/>
      <c r="J46" s="11"/>
      <c r="K46" s="11"/>
      <c r="L46" s="11"/>
      <c r="M46" s="11"/>
    </row>
  </sheetData>
  <pageMargins left="1" right="1" top="1" bottom="1" header="0.25" footer="0.25"/>
  <pageSetup orientation="portrait"/>
  <headerFooter>
    <oddFooter>&amp;C&amp;"Helvetica Neue,Regular"&amp;12&amp;K000000&amp;P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131"/>
  <sheetViews>
    <sheetView showGridLines="0" tabSelected="1" topLeftCell="A111" zoomScale="140" zoomScaleNormal="140" workbookViewId="0">
      <selection activeCell="B134" sqref="B134"/>
    </sheetView>
  </sheetViews>
  <sheetFormatPr baseColWidth="10" defaultColWidth="12.25" defaultRowHeight="20" customHeight="1" x14ac:dyDescent="0.2"/>
  <cols>
    <col min="1" max="1" width="49" style="5" customWidth="1"/>
    <col min="2" max="2" width="67.875" style="5" customWidth="1"/>
    <col min="3" max="3" width="19.75" style="5" customWidth="1"/>
    <col min="4" max="11" width="12.25" style="5" customWidth="1"/>
    <col min="12" max="16384" width="12.25" style="5"/>
  </cols>
  <sheetData>
    <row r="1" spans="1:10" ht="22.25" customHeight="1" x14ac:dyDescent="0.25">
      <c r="A1" s="308" t="s">
        <v>232</v>
      </c>
      <c r="B1" s="309"/>
      <c r="C1" s="310"/>
      <c r="D1" s="164"/>
      <c r="E1" s="41" t="s">
        <v>233</v>
      </c>
      <c r="F1" s="11"/>
      <c r="G1" s="11"/>
      <c r="H1" s="11"/>
      <c r="I1" s="11"/>
      <c r="J1" s="11"/>
    </row>
    <row r="2" spans="1:10" ht="22.25" customHeight="1" x14ac:dyDescent="0.3">
      <c r="A2" s="165" t="s">
        <v>234</v>
      </c>
      <c r="B2" s="166">
        <f>C6</f>
        <v>805</v>
      </c>
      <c r="C2" s="167"/>
      <c r="D2" s="168"/>
      <c r="E2" s="169"/>
      <c r="F2" s="170" t="s">
        <v>235</v>
      </c>
      <c r="G2" s="11"/>
      <c r="H2" s="11"/>
      <c r="I2" s="11"/>
      <c r="J2" s="11"/>
    </row>
    <row r="3" spans="1:10" ht="22.25" customHeight="1" x14ac:dyDescent="0.2">
      <c r="A3" s="171" t="s">
        <v>236</v>
      </c>
      <c r="B3" s="172">
        <f>C7</f>
        <v>-805</v>
      </c>
      <c r="C3" s="173"/>
      <c r="D3" s="168"/>
      <c r="E3" s="174"/>
      <c r="F3" s="170" t="s">
        <v>237</v>
      </c>
      <c r="G3" s="11"/>
      <c r="H3" s="11"/>
      <c r="I3" s="11"/>
      <c r="J3" s="11"/>
    </row>
    <row r="4" spans="1:10" ht="22.25" customHeight="1" x14ac:dyDescent="0.2">
      <c r="A4" s="175" t="s">
        <v>238</v>
      </c>
      <c r="B4" s="176">
        <f>B2+B3</f>
        <v>0</v>
      </c>
      <c r="C4" s="173"/>
      <c r="D4" s="168"/>
      <c r="E4" s="177"/>
      <c r="F4" s="170" t="s">
        <v>239</v>
      </c>
      <c r="G4" s="11"/>
      <c r="H4" s="11"/>
      <c r="I4" s="11"/>
      <c r="J4" s="11"/>
    </row>
    <row r="5" spans="1:10" ht="22.25" customHeight="1" x14ac:dyDescent="0.2">
      <c r="A5" s="178"/>
      <c r="B5" s="50"/>
      <c r="C5" s="179"/>
      <c r="D5" s="164"/>
      <c r="E5" s="39"/>
      <c r="F5" s="11"/>
      <c r="G5" s="11"/>
      <c r="H5" s="11"/>
      <c r="I5" s="11"/>
      <c r="J5" s="11"/>
    </row>
    <row r="6" spans="1:10" ht="22.25" customHeight="1" x14ac:dyDescent="0.2">
      <c r="A6" s="180" t="s">
        <v>240</v>
      </c>
      <c r="B6" s="125" t="s">
        <v>241</v>
      </c>
      <c r="C6" s="181">
        <v>805</v>
      </c>
      <c r="D6" s="164"/>
      <c r="E6" s="9" t="s">
        <v>242</v>
      </c>
      <c r="F6" s="11"/>
      <c r="G6" s="11"/>
      <c r="H6" s="11"/>
      <c r="I6" s="11"/>
      <c r="J6" s="11"/>
    </row>
    <row r="7" spans="1:10" ht="22.25" customHeight="1" x14ac:dyDescent="0.2">
      <c r="A7" s="182" t="s">
        <v>243</v>
      </c>
      <c r="B7" s="124" t="s">
        <v>244</v>
      </c>
      <c r="C7" s="183">
        <v>-805</v>
      </c>
      <c r="D7" s="164"/>
      <c r="E7" s="9" t="s">
        <v>245</v>
      </c>
      <c r="F7" s="11"/>
      <c r="G7" s="11"/>
      <c r="H7" s="11"/>
      <c r="I7" s="11"/>
      <c r="J7" s="11"/>
    </row>
    <row r="8" spans="1:10" ht="22.25" customHeight="1" x14ac:dyDescent="0.2">
      <c r="A8" s="184"/>
      <c r="B8" s="185" t="s">
        <v>85</v>
      </c>
      <c r="C8" s="186">
        <f>C6+C7</f>
        <v>0</v>
      </c>
      <c r="D8" s="164"/>
      <c r="E8" s="9" t="s">
        <v>246</v>
      </c>
      <c r="F8" s="11"/>
      <c r="G8" s="11"/>
      <c r="H8" s="11"/>
      <c r="I8" s="11"/>
      <c r="J8" s="11"/>
    </row>
    <row r="9" spans="1:10" ht="22.25" customHeight="1" x14ac:dyDescent="0.2">
      <c r="A9" s="187"/>
      <c r="B9" s="187"/>
      <c r="C9" s="187"/>
      <c r="D9" s="11"/>
      <c r="E9" s="243" t="s">
        <v>247</v>
      </c>
      <c r="F9" s="11"/>
      <c r="G9" s="11"/>
      <c r="H9" s="11"/>
      <c r="I9" s="11"/>
      <c r="J9" s="11"/>
    </row>
    <row r="10" spans="1:10" ht="22.25" customHeight="1" x14ac:dyDescent="0.2">
      <c r="A10" s="188"/>
      <c r="B10" s="188"/>
      <c r="C10" s="188"/>
      <c r="D10" s="11"/>
      <c r="E10" s="9" t="s">
        <v>248</v>
      </c>
      <c r="F10" s="11"/>
      <c r="G10" s="11"/>
      <c r="H10" s="11"/>
      <c r="I10" s="11"/>
      <c r="J10" s="11"/>
    </row>
    <row r="11" spans="1:10" ht="22.25" customHeight="1" x14ac:dyDescent="0.25">
      <c r="A11" s="311" t="s">
        <v>249</v>
      </c>
      <c r="B11" s="312"/>
      <c r="C11" s="310"/>
      <c r="D11" s="164"/>
      <c r="E11" s="11"/>
      <c r="F11" s="11"/>
      <c r="G11" s="11"/>
      <c r="H11" s="11"/>
      <c r="I11" s="11"/>
      <c r="J11" s="11"/>
    </row>
    <row r="12" spans="1:10" ht="22.25" customHeight="1" x14ac:dyDescent="0.2">
      <c r="A12" s="189" t="s">
        <v>250</v>
      </c>
      <c r="B12" s="190">
        <f>C18</f>
        <v>837</v>
      </c>
      <c r="C12" s="191"/>
      <c r="D12" s="164"/>
      <c r="E12" s="11"/>
      <c r="F12" s="11"/>
      <c r="G12" s="11"/>
      <c r="H12" s="11"/>
      <c r="I12" s="11"/>
      <c r="J12" s="11"/>
    </row>
    <row r="13" spans="1:10" ht="22.25" customHeight="1" x14ac:dyDescent="0.3">
      <c r="A13" s="165" t="s">
        <v>251</v>
      </c>
      <c r="B13" s="146">
        <v>740</v>
      </c>
      <c r="C13" s="192"/>
      <c r="D13" s="164"/>
      <c r="E13" s="11"/>
      <c r="F13" s="11"/>
      <c r="G13" s="11"/>
      <c r="H13" s="11"/>
      <c r="I13" s="11"/>
      <c r="J13" s="11"/>
    </row>
    <row r="14" spans="1:10" ht="22.25" customHeight="1" x14ac:dyDescent="0.2">
      <c r="A14" s="171" t="s">
        <v>252</v>
      </c>
      <c r="B14" s="68">
        <f>C17</f>
        <v>-837</v>
      </c>
      <c r="C14" s="193"/>
      <c r="D14" s="164"/>
      <c r="E14" s="11"/>
      <c r="F14" s="11"/>
      <c r="G14" s="11"/>
      <c r="H14" s="11"/>
      <c r="I14" s="11"/>
      <c r="J14" s="11"/>
    </row>
    <row r="15" spans="1:10" ht="22.25" customHeight="1" x14ac:dyDescent="0.2">
      <c r="A15" s="175" t="s">
        <v>253</v>
      </c>
      <c r="B15" s="66">
        <f>B13+B14</f>
        <v>-97</v>
      </c>
      <c r="C15" s="194"/>
      <c r="D15" s="164"/>
      <c r="E15" s="11"/>
      <c r="F15" s="11"/>
      <c r="G15" s="11"/>
      <c r="H15" s="11"/>
      <c r="I15" s="11"/>
      <c r="J15" s="11"/>
    </row>
    <row r="16" spans="1:10" ht="22.25" customHeight="1" x14ac:dyDescent="0.2">
      <c r="A16" s="178"/>
      <c r="B16" s="50"/>
      <c r="C16" s="195"/>
      <c r="D16" s="164"/>
      <c r="E16" s="11"/>
      <c r="F16" s="11"/>
      <c r="G16" s="11"/>
      <c r="H16" s="11"/>
      <c r="I16" s="11"/>
      <c r="J16" s="11"/>
    </row>
    <row r="17" spans="1:10" ht="22.25" customHeight="1" x14ac:dyDescent="0.2">
      <c r="A17" s="182" t="s">
        <v>254</v>
      </c>
      <c r="B17" s="124" t="s">
        <v>255</v>
      </c>
      <c r="C17" s="196">
        <v>-837</v>
      </c>
      <c r="D17" s="164"/>
      <c r="E17" s="11"/>
      <c r="F17" s="11"/>
      <c r="G17" s="11"/>
      <c r="H17" s="11"/>
      <c r="I17" s="11"/>
      <c r="J17" s="11"/>
    </row>
    <row r="18" spans="1:10" ht="22.25" customHeight="1" x14ac:dyDescent="0.2">
      <c r="A18" s="180" t="s">
        <v>256</v>
      </c>
      <c r="B18" s="125" t="s">
        <v>257</v>
      </c>
      <c r="C18" s="197">
        <v>837</v>
      </c>
      <c r="D18" s="164"/>
      <c r="E18" s="11"/>
      <c r="F18" s="11"/>
      <c r="G18" s="11"/>
      <c r="H18" s="11"/>
      <c r="I18" s="11"/>
      <c r="J18" s="11"/>
    </row>
    <row r="19" spans="1:10" ht="22.25" customHeight="1" x14ac:dyDescent="0.2">
      <c r="A19" s="180" t="s">
        <v>258</v>
      </c>
      <c r="B19" s="125" t="s">
        <v>259</v>
      </c>
      <c r="C19" s="197">
        <v>-97</v>
      </c>
      <c r="D19" s="164"/>
      <c r="E19" s="11"/>
      <c r="F19" s="11"/>
      <c r="G19" s="11"/>
      <c r="H19" s="11"/>
      <c r="I19" s="11"/>
      <c r="J19" s="11"/>
    </row>
    <row r="20" spans="1:10" ht="22.25" customHeight="1" x14ac:dyDescent="0.2">
      <c r="A20" s="184"/>
      <c r="B20" s="185" t="s">
        <v>85</v>
      </c>
      <c r="C20" s="198">
        <f>SUM(C17:C19)</f>
        <v>-97</v>
      </c>
      <c r="D20" s="164"/>
      <c r="E20" s="11"/>
      <c r="F20" s="11"/>
      <c r="G20" s="11"/>
      <c r="H20" s="11"/>
      <c r="I20" s="11"/>
      <c r="J20" s="11"/>
    </row>
    <row r="21" spans="1:10" ht="22.25" customHeight="1" x14ac:dyDescent="0.2">
      <c r="A21" s="187"/>
      <c r="B21" s="187"/>
      <c r="C21" s="187"/>
      <c r="D21" s="11"/>
      <c r="E21" s="11"/>
      <c r="F21" s="11"/>
      <c r="G21" s="11"/>
      <c r="H21" s="11"/>
      <c r="I21" s="11"/>
      <c r="J21" s="11"/>
    </row>
    <row r="22" spans="1:10" ht="22.25" customHeight="1" x14ac:dyDescent="0.2">
      <c r="A22" s="188"/>
      <c r="B22" s="188"/>
      <c r="C22" s="188"/>
      <c r="D22" s="11"/>
      <c r="E22" s="11"/>
      <c r="F22" s="11"/>
      <c r="G22" s="11"/>
      <c r="H22" s="11"/>
      <c r="I22" s="11"/>
      <c r="J22" s="11"/>
    </row>
    <row r="23" spans="1:10" ht="22.25" customHeight="1" x14ac:dyDescent="0.25">
      <c r="A23" s="311" t="s">
        <v>260</v>
      </c>
      <c r="B23" s="312"/>
      <c r="C23" s="310"/>
      <c r="D23" s="164"/>
      <c r="E23" s="11"/>
      <c r="F23" s="11"/>
      <c r="G23" s="11"/>
      <c r="H23" s="11"/>
      <c r="I23" s="11"/>
      <c r="J23" s="11"/>
    </row>
    <row r="24" spans="1:10" ht="22.25" customHeight="1" x14ac:dyDescent="0.2">
      <c r="A24" s="199" t="s">
        <v>261</v>
      </c>
      <c r="B24" s="200">
        <f>C30+C32+C33+C34+C35</f>
        <v>769</v>
      </c>
      <c r="C24" s="191"/>
      <c r="D24" s="164"/>
      <c r="E24" s="11"/>
      <c r="F24" s="11"/>
      <c r="G24" s="11"/>
      <c r="H24" s="11"/>
      <c r="I24" s="11"/>
      <c r="J24" s="11"/>
    </row>
    <row r="25" spans="1:10" ht="22.25" customHeight="1" x14ac:dyDescent="0.25">
      <c r="A25" s="201" t="s">
        <v>262</v>
      </c>
      <c r="B25" s="202">
        <v>581</v>
      </c>
      <c r="C25" s="192"/>
      <c r="D25" s="164"/>
      <c r="E25" s="11"/>
      <c r="F25" s="11"/>
      <c r="G25" s="11"/>
      <c r="H25" s="11"/>
      <c r="I25" s="11"/>
      <c r="J25" s="11"/>
    </row>
    <row r="26" spans="1:10" ht="22.25" customHeight="1" x14ac:dyDescent="0.2">
      <c r="A26" s="171" t="s">
        <v>263</v>
      </c>
      <c r="B26" s="203">
        <f>C29+C31</f>
        <v>-837</v>
      </c>
      <c r="C26" s="204" t="s">
        <v>264</v>
      </c>
      <c r="D26" s="164"/>
      <c r="E26" s="11"/>
      <c r="F26" s="11"/>
      <c r="G26" s="11"/>
      <c r="H26" s="11"/>
      <c r="I26" s="11"/>
      <c r="J26" s="11"/>
    </row>
    <row r="27" spans="1:10" ht="22.25" customHeight="1" x14ac:dyDescent="0.2">
      <c r="A27" s="175" t="s">
        <v>253</v>
      </c>
      <c r="B27" s="205">
        <f>B25-B24</f>
        <v>-188</v>
      </c>
      <c r="C27" s="173"/>
      <c r="D27" s="164"/>
      <c r="E27" s="11"/>
      <c r="F27" s="11"/>
      <c r="G27" s="11"/>
      <c r="H27" s="11"/>
      <c r="I27" s="11"/>
      <c r="J27" s="11"/>
    </row>
    <row r="28" spans="1:10" ht="22.25" customHeight="1" x14ac:dyDescent="0.2">
      <c r="A28" s="178"/>
      <c r="B28" s="50"/>
      <c r="C28" s="179"/>
      <c r="D28" s="164"/>
      <c r="E28" s="11"/>
      <c r="F28" s="11"/>
      <c r="G28" s="11"/>
      <c r="H28" s="11"/>
      <c r="I28" s="11"/>
      <c r="J28" s="11"/>
    </row>
    <row r="29" spans="1:10" ht="22.25" customHeight="1" x14ac:dyDescent="0.2">
      <c r="A29" s="182" t="s">
        <v>265</v>
      </c>
      <c r="B29" s="124" t="s">
        <v>266</v>
      </c>
      <c r="C29" s="183">
        <v>-209</v>
      </c>
      <c r="D29" s="164"/>
      <c r="E29" s="11"/>
      <c r="F29" s="11"/>
      <c r="G29" s="11"/>
      <c r="H29" s="11"/>
      <c r="I29" s="11"/>
      <c r="J29" s="11"/>
    </row>
    <row r="30" spans="1:10" ht="22.25" customHeight="1" x14ac:dyDescent="0.2">
      <c r="A30" s="180" t="s">
        <v>267</v>
      </c>
      <c r="B30" s="125" t="s">
        <v>268</v>
      </c>
      <c r="C30" s="181">
        <v>209</v>
      </c>
      <c r="D30" s="164"/>
      <c r="E30" s="11"/>
      <c r="F30" s="11"/>
      <c r="G30" s="11"/>
      <c r="H30" s="11"/>
      <c r="I30" s="11"/>
      <c r="J30" s="11"/>
    </row>
    <row r="31" spans="1:10" ht="22.25" customHeight="1" x14ac:dyDescent="0.2">
      <c r="A31" s="182" t="s">
        <v>269</v>
      </c>
      <c r="B31" s="124" t="s">
        <v>266</v>
      </c>
      <c r="C31" s="183">
        <v>-628</v>
      </c>
      <c r="D31" s="164"/>
      <c r="E31" s="11"/>
      <c r="F31" s="11"/>
      <c r="G31" s="11"/>
      <c r="H31" s="11"/>
      <c r="I31" s="11"/>
      <c r="J31" s="11"/>
    </row>
    <row r="32" spans="1:10" ht="22.25" customHeight="1" x14ac:dyDescent="0.2">
      <c r="A32" s="180" t="s">
        <v>270</v>
      </c>
      <c r="B32" s="125" t="s">
        <v>268</v>
      </c>
      <c r="C32" s="181">
        <v>209</v>
      </c>
      <c r="D32" s="164"/>
      <c r="E32" s="11"/>
      <c r="F32" s="11"/>
      <c r="G32" s="11"/>
      <c r="H32" s="11"/>
      <c r="I32" s="11"/>
      <c r="J32" s="11"/>
    </row>
    <row r="33" spans="1:10" ht="22.25" customHeight="1" x14ac:dyDescent="0.2">
      <c r="A33" s="180" t="s">
        <v>271</v>
      </c>
      <c r="B33" s="125" t="s">
        <v>268</v>
      </c>
      <c r="C33" s="181">
        <v>209</v>
      </c>
      <c r="D33" s="164"/>
      <c r="E33" s="11"/>
      <c r="F33" s="11"/>
      <c r="G33" s="11"/>
      <c r="H33" s="11"/>
      <c r="I33" s="11"/>
      <c r="J33" s="11"/>
    </row>
    <row r="34" spans="1:10" ht="22.25" customHeight="1" x14ac:dyDescent="0.2">
      <c r="A34" s="180" t="s">
        <v>271</v>
      </c>
      <c r="B34" s="125" t="s">
        <v>272</v>
      </c>
      <c r="C34" s="181">
        <v>-51</v>
      </c>
      <c r="D34" s="164"/>
      <c r="E34" s="11"/>
      <c r="F34" s="11"/>
      <c r="G34" s="11"/>
      <c r="H34" s="11"/>
      <c r="I34" s="11"/>
      <c r="J34" s="11"/>
    </row>
    <row r="35" spans="1:10" ht="22.25" customHeight="1" x14ac:dyDescent="0.2">
      <c r="A35" s="180" t="s">
        <v>273</v>
      </c>
      <c r="B35" s="125" t="s">
        <v>274</v>
      </c>
      <c r="C35" s="181">
        <v>193</v>
      </c>
      <c r="D35" s="164"/>
      <c r="E35" s="11"/>
      <c r="F35" s="11"/>
      <c r="G35" s="11"/>
      <c r="H35" s="11"/>
      <c r="I35" s="11"/>
      <c r="J35" s="11"/>
    </row>
    <row r="36" spans="1:10" ht="22.25" customHeight="1" x14ac:dyDescent="0.2">
      <c r="A36" s="206">
        <v>42906</v>
      </c>
      <c r="B36" s="128" t="s">
        <v>275</v>
      </c>
      <c r="C36" s="207">
        <v>-188</v>
      </c>
      <c r="D36" s="164"/>
      <c r="E36" s="11"/>
      <c r="F36" s="11"/>
      <c r="G36" s="11"/>
      <c r="H36" s="11"/>
      <c r="I36" s="11"/>
      <c r="J36" s="11"/>
    </row>
    <row r="37" spans="1:10" ht="22.25" customHeight="1" x14ac:dyDescent="0.2">
      <c r="A37" s="184"/>
      <c r="B37" s="185" t="s">
        <v>85</v>
      </c>
      <c r="C37" s="186">
        <f>SUM(C29:C36)</f>
        <v>-256</v>
      </c>
      <c r="D37" s="164"/>
      <c r="E37" s="11"/>
      <c r="F37" s="11"/>
      <c r="G37" s="11"/>
      <c r="H37" s="11"/>
      <c r="I37" s="11"/>
      <c r="J37" s="11"/>
    </row>
    <row r="38" spans="1:10" ht="22.25" customHeight="1" x14ac:dyDescent="0.2">
      <c r="A38" s="187"/>
      <c r="B38" s="187"/>
      <c r="C38" s="187"/>
      <c r="D38" s="11"/>
      <c r="E38" s="11"/>
      <c r="F38" s="11"/>
      <c r="G38" s="11"/>
      <c r="H38" s="11"/>
      <c r="I38" s="11"/>
      <c r="J38" s="11"/>
    </row>
    <row r="39" spans="1:10" ht="22.25" customHeight="1" x14ac:dyDescent="0.2">
      <c r="A39" s="188"/>
      <c r="B39" s="188"/>
      <c r="C39" s="188"/>
      <c r="D39" s="11"/>
      <c r="E39" s="11"/>
      <c r="F39" s="11"/>
      <c r="G39" s="11"/>
      <c r="H39" s="11"/>
      <c r="I39" s="11"/>
      <c r="J39" s="11"/>
    </row>
    <row r="40" spans="1:10" ht="22.25" customHeight="1" x14ac:dyDescent="0.25">
      <c r="A40" s="313" t="s">
        <v>276</v>
      </c>
      <c r="B40" s="314"/>
      <c r="C40" s="315"/>
      <c r="D40" s="164"/>
      <c r="E40" s="11"/>
      <c r="F40" s="11"/>
      <c r="G40" s="11"/>
      <c r="H40" s="11"/>
      <c r="I40" s="11"/>
      <c r="J40" s="11"/>
    </row>
    <row r="41" spans="1:10" ht="22.25" customHeight="1" x14ac:dyDescent="0.2">
      <c r="A41" s="208" t="s">
        <v>277</v>
      </c>
      <c r="B41" s="209">
        <v>604</v>
      </c>
      <c r="C41" s="173"/>
      <c r="D41" s="164"/>
      <c r="E41" s="11"/>
      <c r="F41" s="11"/>
      <c r="G41" s="11"/>
      <c r="H41" s="11"/>
      <c r="I41" s="11"/>
      <c r="J41" s="11"/>
    </row>
    <row r="42" spans="1:10" ht="22.25" customHeight="1" x14ac:dyDescent="0.2">
      <c r="A42" s="210" t="s">
        <v>278</v>
      </c>
      <c r="B42" s="211"/>
      <c r="C42" s="212"/>
      <c r="D42" s="164"/>
      <c r="E42" s="11"/>
      <c r="F42" s="11"/>
      <c r="G42" s="11"/>
      <c r="H42" s="11"/>
      <c r="I42" s="11"/>
      <c r="J42" s="11"/>
    </row>
    <row r="43" spans="1:10" ht="22.25" customHeight="1" x14ac:dyDescent="0.2">
      <c r="A43" s="213" t="s">
        <v>279</v>
      </c>
      <c r="B43" s="214">
        <f>C46</f>
        <v>-604</v>
      </c>
      <c r="C43" s="173"/>
      <c r="D43" s="164"/>
      <c r="E43" s="11"/>
      <c r="F43" s="11"/>
      <c r="G43" s="11"/>
      <c r="H43" s="11"/>
      <c r="I43" s="11"/>
      <c r="J43" s="11"/>
    </row>
    <row r="44" spans="1:10" ht="22.25" customHeight="1" x14ac:dyDescent="0.2">
      <c r="A44" s="215" t="s">
        <v>238</v>
      </c>
      <c r="B44" s="39"/>
      <c r="C44" s="212"/>
      <c r="D44" s="164"/>
      <c r="E44" s="11"/>
      <c r="F44" s="11"/>
      <c r="G44" s="11"/>
      <c r="H44" s="11"/>
      <c r="I44" s="11"/>
      <c r="J44" s="11"/>
    </row>
    <row r="45" spans="1:10" ht="22.25" customHeight="1" x14ac:dyDescent="0.2">
      <c r="A45" s="216"/>
      <c r="B45" s="60"/>
      <c r="C45" s="179"/>
      <c r="D45" s="164"/>
      <c r="E45" s="11"/>
      <c r="F45" s="11"/>
      <c r="G45" s="11"/>
      <c r="H45" s="11"/>
      <c r="I45" s="11"/>
      <c r="J45" s="11"/>
    </row>
    <row r="46" spans="1:10" ht="22.25" customHeight="1" x14ac:dyDescent="0.2">
      <c r="A46" s="182" t="s">
        <v>280</v>
      </c>
      <c r="B46" s="124" t="s">
        <v>281</v>
      </c>
      <c r="C46" s="217">
        <v>-604</v>
      </c>
      <c r="D46" s="320"/>
      <c r="E46" s="284"/>
      <c r="F46" s="284"/>
      <c r="G46" s="284"/>
      <c r="H46" s="284"/>
      <c r="I46" s="284"/>
      <c r="J46" s="284"/>
    </row>
    <row r="47" spans="1:10" ht="22.25" customHeight="1" x14ac:dyDescent="0.2">
      <c r="A47" s="180" t="s">
        <v>282</v>
      </c>
      <c r="B47" s="125" t="s">
        <v>274</v>
      </c>
      <c r="C47" s="218">
        <v>192</v>
      </c>
      <c r="D47" s="164"/>
      <c r="E47" s="11"/>
      <c r="F47" s="11"/>
      <c r="G47" s="11"/>
      <c r="H47" s="11"/>
      <c r="I47" s="11"/>
      <c r="J47" s="11"/>
    </row>
    <row r="48" spans="1:10" ht="22.25" customHeight="1" x14ac:dyDescent="0.2">
      <c r="A48" s="180" t="s">
        <v>283</v>
      </c>
      <c r="B48" s="125" t="s">
        <v>274</v>
      </c>
      <c r="C48" s="218">
        <v>192</v>
      </c>
      <c r="D48" s="164"/>
      <c r="E48" s="11"/>
      <c r="F48" s="11"/>
      <c r="G48" s="11"/>
      <c r="H48" s="11"/>
      <c r="I48" s="11"/>
      <c r="J48" s="11"/>
    </row>
    <row r="49" spans="1:10" ht="22.25" customHeight="1" x14ac:dyDescent="0.2">
      <c r="A49" s="180" t="s">
        <v>283</v>
      </c>
      <c r="B49" s="125" t="s">
        <v>284</v>
      </c>
      <c r="C49" s="181">
        <v>-82</v>
      </c>
      <c r="D49" s="164"/>
      <c r="E49" s="11"/>
      <c r="F49" s="11"/>
      <c r="G49" s="11"/>
      <c r="H49" s="11"/>
      <c r="I49" s="11"/>
      <c r="J49" s="11"/>
    </row>
    <row r="50" spans="1:10" ht="22.25" customHeight="1" x14ac:dyDescent="0.2">
      <c r="A50" s="180" t="s">
        <v>285</v>
      </c>
      <c r="B50" s="125" t="s">
        <v>286</v>
      </c>
      <c r="C50" s="218">
        <v>151</v>
      </c>
      <c r="D50" s="164"/>
      <c r="E50" s="11"/>
      <c r="F50" s="11"/>
      <c r="G50" s="11"/>
      <c r="H50" s="11"/>
      <c r="I50" s="11"/>
      <c r="J50" s="11"/>
    </row>
    <row r="51" spans="1:10" ht="22.25" customHeight="1" x14ac:dyDescent="0.2">
      <c r="A51" s="180" t="s">
        <v>287</v>
      </c>
      <c r="B51" s="125" t="s">
        <v>286</v>
      </c>
      <c r="C51" s="218">
        <v>151</v>
      </c>
      <c r="D51" s="164"/>
      <c r="E51" s="11"/>
      <c r="F51" s="11"/>
      <c r="G51" s="11"/>
      <c r="H51" s="11"/>
      <c r="I51" s="11"/>
      <c r="J51" s="11"/>
    </row>
    <row r="52" spans="1:10" ht="22.25" customHeight="1" x14ac:dyDescent="0.2">
      <c r="A52" s="184"/>
      <c r="B52" s="185" t="s">
        <v>85</v>
      </c>
      <c r="C52" s="186">
        <f>SUM(C46:C51)</f>
        <v>0</v>
      </c>
      <c r="D52" s="164"/>
      <c r="E52" s="11"/>
      <c r="F52" s="11"/>
      <c r="G52" s="11"/>
      <c r="H52" s="11"/>
      <c r="I52" s="11"/>
      <c r="J52" s="11"/>
    </row>
    <row r="53" spans="1:10" ht="22.25" customHeight="1" x14ac:dyDescent="0.2">
      <c r="A53" s="187"/>
      <c r="B53" s="187"/>
      <c r="C53" s="187"/>
      <c r="D53" s="11"/>
      <c r="E53" s="11"/>
      <c r="F53" s="11"/>
      <c r="G53" s="11"/>
      <c r="H53" s="11"/>
      <c r="I53" s="11"/>
      <c r="J53" s="11"/>
    </row>
    <row r="54" spans="1:10" ht="22.25" customHeight="1" x14ac:dyDescent="0.2">
      <c r="A54" s="219"/>
      <c r="B54" s="219"/>
      <c r="C54" s="219"/>
      <c r="D54" s="11"/>
      <c r="E54" s="11"/>
      <c r="F54" s="11"/>
      <c r="G54" s="11"/>
      <c r="H54" s="11"/>
      <c r="I54" s="11"/>
      <c r="J54" s="11"/>
    </row>
    <row r="55" spans="1:10" ht="22.25" customHeight="1" x14ac:dyDescent="0.25">
      <c r="A55" s="321" t="s">
        <v>288</v>
      </c>
      <c r="B55" s="322"/>
      <c r="C55" s="323"/>
      <c r="D55" s="220"/>
      <c r="E55" s="11"/>
      <c r="F55" s="11"/>
      <c r="G55" s="11"/>
      <c r="H55" s="11"/>
      <c r="I55" s="11"/>
      <c r="J55" s="11"/>
    </row>
    <row r="56" spans="1:10" ht="22.25" customHeight="1" x14ac:dyDescent="0.2">
      <c r="A56" s="221" t="s">
        <v>289</v>
      </c>
      <c r="B56" s="120"/>
      <c r="C56" s="222"/>
      <c r="D56" s="220"/>
      <c r="E56" s="11"/>
      <c r="F56" s="11"/>
      <c r="G56" s="11"/>
      <c r="H56" s="11"/>
      <c r="I56" s="11"/>
      <c r="J56" s="11"/>
    </row>
    <row r="57" spans="1:10" ht="22.25" customHeight="1" x14ac:dyDescent="0.2">
      <c r="A57" s="223" t="s">
        <v>290</v>
      </c>
      <c r="B57" s="120"/>
      <c r="C57" s="222"/>
      <c r="D57" s="220"/>
      <c r="E57" s="11"/>
      <c r="F57" s="11"/>
      <c r="G57" s="11"/>
      <c r="H57" s="11"/>
      <c r="I57" s="11"/>
      <c r="J57" s="11"/>
    </row>
    <row r="58" spans="1:10" ht="22.25" customHeight="1" x14ac:dyDescent="0.2">
      <c r="A58" s="223" t="s">
        <v>291</v>
      </c>
      <c r="B58" s="120"/>
      <c r="C58" s="222"/>
      <c r="D58" s="220"/>
      <c r="E58" s="11"/>
      <c r="F58" s="11"/>
      <c r="G58" s="11"/>
      <c r="H58" s="11"/>
      <c r="I58" s="11"/>
      <c r="J58" s="11"/>
    </row>
    <row r="59" spans="1:10" ht="22.25" customHeight="1" x14ac:dyDescent="0.2">
      <c r="A59" s="223" t="s">
        <v>238</v>
      </c>
      <c r="B59" s="11"/>
      <c r="C59" s="222"/>
      <c r="D59" s="220"/>
      <c r="E59" s="11"/>
      <c r="F59" s="11"/>
      <c r="G59" s="11"/>
      <c r="H59" s="11"/>
      <c r="I59" s="11"/>
      <c r="J59" s="11"/>
    </row>
    <row r="60" spans="1:10" ht="22.25" customHeight="1" x14ac:dyDescent="0.2">
      <c r="A60" s="224"/>
      <c r="B60" s="60"/>
      <c r="C60" s="225"/>
      <c r="D60" s="220"/>
      <c r="E60" s="11"/>
      <c r="F60" s="11"/>
      <c r="G60" s="11"/>
      <c r="H60" s="11"/>
      <c r="I60" s="11"/>
      <c r="J60" s="11"/>
    </row>
    <row r="61" spans="1:10" ht="22.25" customHeight="1" x14ac:dyDescent="0.2">
      <c r="A61" s="226" t="s">
        <v>292</v>
      </c>
      <c r="B61" s="125" t="s">
        <v>293</v>
      </c>
      <c r="C61" s="227">
        <v>151</v>
      </c>
      <c r="D61" s="220"/>
      <c r="E61" s="11"/>
      <c r="F61" s="11"/>
      <c r="G61" s="11"/>
      <c r="H61" s="11"/>
      <c r="I61" s="11"/>
      <c r="J61" s="11"/>
    </row>
    <row r="62" spans="1:10" ht="22.25" customHeight="1" x14ac:dyDescent="0.2">
      <c r="A62" s="228">
        <v>43592</v>
      </c>
      <c r="B62" s="125" t="s">
        <v>294</v>
      </c>
      <c r="C62" s="227">
        <v>592</v>
      </c>
      <c r="D62" s="220"/>
      <c r="E62" s="11"/>
      <c r="F62" s="11"/>
      <c r="G62" s="11"/>
      <c r="H62" s="11"/>
      <c r="I62" s="11"/>
      <c r="J62" s="11"/>
    </row>
    <row r="63" spans="1:10" ht="22.25" customHeight="1" x14ac:dyDescent="0.2">
      <c r="A63" s="229">
        <v>43594</v>
      </c>
      <c r="B63" s="124" t="s">
        <v>295</v>
      </c>
      <c r="C63" s="183">
        <f>-B74</f>
        <v>-1482</v>
      </c>
      <c r="D63" s="164"/>
      <c r="E63" s="11"/>
      <c r="F63" s="11"/>
      <c r="G63" s="11"/>
      <c r="H63" s="11"/>
      <c r="I63" s="11"/>
      <c r="J63" s="11"/>
    </row>
    <row r="64" spans="1:10" ht="22.25" customHeight="1" x14ac:dyDescent="0.2">
      <c r="A64" s="226" t="s">
        <v>296</v>
      </c>
      <c r="B64" s="125" t="s">
        <v>293</v>
      </c>
      <c r="C64" s="227">
        <v>151</v>
      </c>
      <c r="D64" s="220"/>
      <c r="E64" s="11"/>
      <c r="F64" s="11"/>
      <c r="G64" s="11"/>
      <c r="H64" s="11"/>
      <c r="I64" s="11"/>
      <c r="J64" s="11"/>
    </row>
    <row r="65" spans="1:10" ht="22.25" customHeight="1" x14ac:dyDescent="0.2">
      <c r="A65" s="39"/>
      <c r="B65" s="39"/>
      <c r="C65" s="39"/>
      <c r="D65" s="11"/>
      <c r="E65" s="11"/>
      <c r="F65" s="11"/>
      <c r="G65" s="11"/>
      <c r="H65" s="11"/>
      <c r="I65" s="11"/>
      <c r="J65" s="11"/>
    </row>
    <row r="66" spans="1:10" ht="22.25" customHeight="1" x14ac:dyDescent="0.2">
      <c r="A66" s="53"/>
      <c r="B66" s="53"/>
      <c r="C66" s="11"/>
      <c r="D66" s="11"/>
      <c r="E66" s="11"/>
      <c r="F66" s="11"/>
      <c r="G66" s="11"/>
      <c r="H66" s="11"/>
      <c r="I66" s="11"/>
      <c r="J66" s="11"/>
    </row>
    <row r="67" spans="1:10" ht="22.25" customHeight="1" x14ac:dyDescent="0.3">
      <c r="A67" s="230" t="s">
        <v>297</v>
      </c>
      <c r="B67" s="231">
        <f>C8+C20+C37+C52+SUM(C61:C64)</f>
        <v>-941</v>
      </c>
      <c r="C67" s="76"/>
      <c r="D67" s="11"/>
      <c r="E67" s="11"/>
      <c r="F67" s="11"/>
      <c r="G67" s="11"/>
      <c r="H67" s="11"/>
      <c r="I67" s="11"/>
      <c r="J67" s="11"/>
    </row>
    <row r="68" spans="1:10" ht="22.25" customHeight="1" x14ac:dyDescent="0.2">
      <c r="A68" s="61"/>
      <c r="B68" s="61"/>
      <c r="C68" s="11"/>
      <c r="D68" s="11"/>
      <c r="E68" s="11"/>
      <c r="F68" s="11"/>
      <c r="G68" s="11"/>
      <c r="H68" s="11"/>
      <c r="I68" s="11"/>
      <c r="J68" s="11"/>
    </row>
    <row r="69" spans="1:10" ht="22.25" customHeight="1" x14ac:dyDescent="0.2">
      <c r="A69" s="9" t="s">
        <v>298</v>
      </c>
      <c r="B69" s="11"/>
      <c r="C69" s="11"/>
      <c r="D69" s="11"/>
      <c r="E69" s="11"/>
      <c r="F69" s="11"/>
      <c r="G69" s="11"/>
      <c r="H69" s="11"/>
      <c r="I69" s="11"/>
      <c r="J69" s="11"/>
    </row>
    <row r="70" spans="1:10" ht="22.25" customHeight="1" x14ac:dyDescent="0.2">
      <c r="A70" s="9" t="s">
        <v>299</v>
      </c>
      <c r="B70" s="100">
        <v>592</v>
      </c>
      <c r="C70" s="11"/>
      <c r="D70" s="11"/>
      <c r="E70" s="11"/>
      <c r="F70" s="11"/>
      <c r="G70" s="11"/>
      <c r="H70" s="11"/>
      <c r="I70" s="11"/>
      <c r="J70" s="11"/>
    </row>
    <row r="71" spans="1:10" ht="22.25" customHeight="1" x14ac:dyDescent="0.2">
      <c r="A71" s="9" t="s">
        <v>300</v>
      </c>
      <c r="B71" s="100">
        <v>1243</v>
      </c>
      <c r="C71" s="11"/>
      <c r="D71" s="11"/>
      <c r="E71" s="11"/>
      <c r="F71" s="11"/>
      <c r="G71" s="11"/>
      <c r="H71" s="11"/>
      <c r="I71" s="11"/>
      <c r="J71" s="11"/>
    </row>
    <row r="72" spans="1:10" ht="22.25" customHeight="1" x14ac:dyDescent="0.2">
      <c r="A72" s="9" t="s">
        <v>301</v>
      </c>
      <c r="B72" s="100">
        <v>151</v>
      </c>
      <c r="C72" s="11"/>
      <c r="D72" s="11"/>
      <c r="E72" s="11"/>
      <c r="F72" s="11"/>
      <c r="G72" s="11"/>
      <c r="H72" s="11"/>
      <c r="I72" s="11"/>
      <c r="J72" s="11"/>
    </row>
    <row r="73" spans="1:10" ht="22.25" customHeight="1" x14ac:dyDescent="0.2">
      <c r="A73" s="9" t="s">
        <v>302</v>
      </c>
      <c r="B73" s="232">
        <v>202</v>
      </c>
      <c r="C73" s="11"/>
      <c r="D73" s="11"/>
      <c r="E73" s="11"/>
      <c r="F73" s="11"/>
      <c r="G73" s="11"/>
      <c r="H73" s="11"/>
      <c r="I73" s="11"/>
      <c r="J73" s="11"/>
    </row>
    <row r="74" spans="1:10" ht="22.25" customHeight="1" x14ac:dyDescent="0.3">
      <c r="A74" s="233"/>
      <c r="B74" s="234">
        <f>B70+B71-B72-B73</f>
        <v>1482</v>
      </c>
      <c r="C74" s="76"/>
      <c r="D74" s="11"/>
      <c r="E74" s="11"/>
      <c r="F74" s="11"/>
      <c r="G74" s="11"/>
      <c r="H74" s="11"/>
      <c r="I74" s="11"/>
      <c r="J74" s="11"/>
    </row>
    <row r="75" spans="1:10" ht="22.25" customHeight="1" x14ac:dyDescent="0.2">
      <c r="A75" s="41" t="s">
        <v>303</v>
      </c>
      <c r="B75" s="81"/>
      <c r="C75" s="11"/>
      <c r="D75" s="11"/>
      <c r="E75" s="11"/>
      <c r="F75" s="11"/>
      <c r="G75" s="11"/>
      <c r="H75" s="11"/>
      <c r="I75" s="11"/>
      <c r="J75" s="11"/>
    </row>
    <row r="76" spans="1:10" ht="22.25" customHeight="1" x14ac:dyDescent="0.2">
      <c r="A76" s="324" t="s">
        <v>304</v>
      </c>
      <c r="B76" s="325"/>
      <c r="C76" s="64"/>
      <c r="D76" s="11"/>
      <c r="E76" s="11"/>
      <c r="F76" s="11"/>
      <c r="G76" s="11"/>
      <c r="H76" s="11"/>
      <c r="I76" s="11"/>
      <c r="J76" s="11"/>
    </row>
    <row r="77" spans="1:10" ht="22.25" customHeight="1" x14ac:dyDescent="0.2">
      <c r="A77" s="326"/>
      <c r="B77" s="325"/>
      <c r="C77" s="64"/>
      <c r="D77" s="11"/>
      <c r="E77" s="11"/>
      <c r="F77" s="11"/>
      <c r="G77" s="11"/>
      <c r="H77" s="11"/>
      <c r="I77" s="11"/>
      <c r="J77" s="11"/>
    </row>
    <row r="78" spans="1:10" ht="22.25" customHeight="1" x14ac:dyDescent="0.2">
      <c r="A78" s="57" t="s">
        <v>305</v>
      </c>
      <c r="B78" s="39"/>
      <c r="C78" s="11"/>
      <c r="D78" s="11"/>
      <c r="E78" s="11"/>
      <c r="F78" s="11"/>
      <c r="G78" s="11"/>
      <c r="H78" s="11"/>
      <c r="I78" s="11"/>
      <c r="J78" s="11"/>
    </row>
    <row r="79" spans="1:10" ht="22.25" customHeight="1" x14ac:dyDescent="0.2">
      <c r="A79" s="235" t="s">
        <v>306</v>
      </c>
      <c r="B79" s="53"/>
      <c r="C79" s="11"/>
      <c r="D79" s="11"/>
      <c r="E79" s="11"/>
      <c r="F79" s="11"/>
      <c r="G79" s="11"/>
      <c r="H79" s="11"/>
      <c r="I79" s="11"/>
      <c r="J79" s="11"/>
    </row>
    <row r="80" spans="1:10" ht="22.25" customHeight="1" x14ac:dyDescent="0.2">
      <c r="A80" s="316" t="s">
        <v>307</v>
      </c>
      <c r="B80" s="327"/>
      <c r="C80" s="64"/>
      <c r="D80" s="11"/>
      <c r="E80" s="11"/>
      <c r="F80" s="11"/>
      <c r="G80" s="11"/>
      <c r="H80" s="11"/>
      <c r="I80" s="11"/>
      <c r="J80" s="11"/>
    </row>
    <row r="81" spans="1:10" ht="22.25" customHeight="1" x14ac:dyDescent="0.2">
      <c r="A81" s="326"/>
      <c r="B81" s="325"/>
      <c r="C81" s="64"/>
      <c r="D81" s="11"/>
      <c r="E81" s="11"/>
      <c r="F81" s="11"/>
      <c r="G81" s="11"/>
      <c r="H81" s="11"/>
      <c r="I81" s="11"/>
      <c r="J81" s="11"/>
    </row>
    <row r="82" spans="1:10" ht="22.25" customHeight="1" x14ac:dyDescent="0.2">
      <c r="A82" s="57" t="s">
        <v>308</v>
      </c>
      <c r="B82" s="39"/>
      <c r="C82" s="11"/>
      <c r="D82" s="11"/>
      <c r="E82" s="11"/>
      <c r="F82" s="11"/>
      <c r="G82" s="11"/>
      <c r="H82" s="11"/>
      <c r="I82" s="11"/>
      <c r="J82" s="11"/>
    </row>
    <row r="83" spans="1:10" ht="22.25" customHeight="1" x14ac:dyDescent="0.2">
      <c r="A83" s="235" t="s">
        <v>309</v>
      </c>
      <c r="B83" s="11"/>
      <c r="C83" s="11"/>
      <c r="D83" s="11"/>
      <c r="E83" s="11"/>
      <c r="F83" s="11"/>
      <c r="G83" s="11"/>
      <c r="H83" s="11"/>
      <c r="I83" s="11"/>
      <c r="J83" s="11"/>
    </row>
    <row r="84" spans="1:10" ht="22.25" customHeight="1" x14ac:dyDescent="0.3">
      <c r="A84" s="230" t="s">
        <v>310</v>
      </c>
      <c r="B84" s="76"/>
      <c r="C84" s="11"/>
      <c r="D84" s="11"/>
      <c r="E84" s="11"/>
      <c r="F84" s="11"/>
      <c r="G84" s="11"/>
      <c r="H84" s="11"/>
      <c r="I84" s="11"/>
      <c r="J84" s="11"/>
    </row>
    <row r="85" spans="1:10" ht="22.25" customHeight="1" x14ac:dyDescent="0.2">
      <c r="A85" s="236" t="s">
        <v>311</v>
      </c>
      <c r="B85" s="11"/>
      <c r="C85" s="11"/>
      <c r="D85" s="11"/>
      <c r="E85" s="11"/>
      <c r="F85" s="11"/>
      <c r="G85" s="11"/>
      <c r="H85" s="11"/>
      <c r="I85" s="11"/>
      <c r="J85" s="11"/>
    </row>
    <row r="86" spans="1:10" ht="22.25" customHeight="1" x14ac:dyDescent="0.2">
      <c r="A86" s="9" t="s">
        <v>312</v>
      </c>
      <c r="B86" s="11"/>
      <c r="C86" s="11"/>
      <c r="D86" s="11"/>
      <c r="E86" s="11"/>
      <c r="F86" s="11"/>
      <c r="G86" s="11"/>
      <c r="H86" s="11"/>
      <c r="I86" s="11"/>
      <c r="J86" s="11"/>
    </row>
    <row r="87" spans="1:10" ht="22.25" customHeight="1" x14ac:dyDescent="0.25">
      <c r="A87" s="235" t="s">
        <v>313</v>
      </c>
      <c r="B87" s="11"/>
      <c r="C87" s="11"/>
      <c r="D87" s="11"/>
      <c r="E87" s="11"/>
      <c r="F87" s="11"/>
      <c r="G87" s="11"/>
      <c r="H87" s="11"/>
      <c r="I87" s="11"/>
      <c r="J87" s="11"/>
    </row>
    <row r="88" spans="1:10" ht="22.25" customHeight="1" x14ac:dyDescent="0.3">
      <c r="A88" s="230" t="s">
        <v>314</v>
      </c>
      <c r="B88" s="76"/>
      <c r="C88" s="11"/>
      <c r="D88" s="11"/>
      <c r="E88" s="11"/>
      <c r="F88" s="11"/>
      <c r="G88" s="11"/>
      <c r="H88" s="11"/>
      <c r="I88" s="11"/>
      <c r="J88" s="11"/>
    </row>
    <row r="89" spans="1:10" ht="22.25" customHeight="1" x14ac:dyDescent="0.2">
      <c r="A89" s="236" t="s">
        <v>315</v>
      </c>
      <c r="B89" s="11"/>
      <c r="C89" s="11"/>
      <c r="D89" s="11"/>
      <c r="E89" s="11"/>
      <c r="F89" s="11"/>
      <c r="G89" s="11"/>
      <c r="H89" s="11"/>
      <c r="I89" s="11"/>
      <c r="J89" s="11"/>
    </row>
    <row r="90" spans="1:10" ht="22.25" customHeight="1" x14ac:dyDescent="0.2">
      <c r="A90" s="9" t="s">
        <v>316</v>
      </c>
      <c r="B90" s="11"/>
      <c r="C90" s="11"/>
      <c r="D90" s="11"/>
      <c r="E90" s="11"/>
      <c r="F90" s="11"/>
      <c r="G90" s="11"/>
      <c r="H90" s="11"/>
      <c r="I90" s="11"/>
      <c r="J90" s="11"/>
    </row>
    <row r="91" spans="1:10" ht="22.25" customHeight="1" x14ac:dyDescent="0.2">
      <c r="A91" s="235" t="s">
        <v>317</v>
      </c>
      <c r="B91" s="11"/>
      <c r="C91" s="11"/>
      <c r="D91" s="11"/>
      <c r="E91" s="11"/>
      <c r="F91" s="11"/>
      <c r="G91" s="11"/>
      <c r="H91" s="11"/>
      <c r="I91" s="11"/>
      <c r="J91" s="11"/>
    </row>
    <row r="92" spans="1:10" ht="22.25" customHeight="1" x14ac:dyDescent="0.3">
      <c r="A92" s="230" t="s">
        <v>318</v>
      </c>
      <c r="B92" s="76"/>
      <c r="C92" s="11"/>
      <c r="D92" s="11"/>
      <c r="E92" s="11"/>
      <c r="F92" s="11"/>
      <c r="G92" s="11"/>
      <c r="H92" s="11"/>
      <c r="I92" s="11"/>
      <c r="J92" s="11"/>
    </row>
    <row r="93" spans="1:10" ht="22.25" customHeight="1" x14ac:dyDescent="0.2">
      <c r="A93" s="236" t="s">
        <v>319</v>
      </c>
      <c r="B93" s="11"/>
      <c r="C93" s="11"/>
      <c r="D93" s="11"/>
      <c r="E93" s="11"/>
      <c r="F93" s="11"/>
      <c r="G93" s="11"/>
      <c r="H93" s="11"/>
      <c r="I93" s="11"/>
      <c r="J93" s="11"/>
    </row>
    <row r="94" spans="1:10" ht="22.25" customHeight="1" x14ac:dyDescent="0.2">
      <c r="A94" s="9" t="s">
        <v>320</v>
      </c>
      <c r="B94" s="11"/>
      <c r="C94" s="11"/>
      <c r="D94" s="11"/>
      <c r="E94" s="11"/>
      <c r="F94" s="11"/>
      <c r="G94" s="11"/>
      <c r="H94" s="11"/>
      <c r="I94" s="11"/>
      <c r="J94" s="11"/>
    </row>
    <row r="95" spans="1:10" ht="22.25" customHeight="1" x14ac:dyDescent="0.2">
      <c r="A95" s="235" t="s">
        <v>321</v>
      </c>
      <c r="B95" s="11"/>
      <c r="C95" s="11"/>
      <c r="D95" s="11"/>
      <c r="E95" s="11"/>
      <c r="F95" s="11"/>
      <c r="G95" s="11"/>
      <c r="H95" s="11"/>
      <c r="I95" s="11"/>
      <c r="J95" s="11"/>
    </row>
    <row r="96" spans="1:10" ht="22.25" customHeight="1" x14ac:dyDescent="0.2">
      <c r="A96" s="316" t="s">
        <v>322</v>
      </c>
      <c r="B96" s="317"/>
      <c r="C96" s="11"/>
      <c r="D96" s="11"/>
      <c r="E96" s="11"/>
      <c r="F96" s="11"/>
      <c r="G96" s="11"/>
      <c r="H96" s="11"/>
      <c r="I96" s="11"/>
      <c r="J96" s="11"/>
    </row>
    <row r="97" spans="1:10" ht="22.25" customHeight="1" x14ac:dyDescent="0.2">
      <c r="A97" s="318"/>
      <c r="B97" s="295"/>
      <c r="C97" s="11"/>
      <c r="D97" s="11"/>
      <c r="E97" s="11"/>
      <c r="F97" s="11"/>
      <c r="G97" s="11"/>
      <c r="H97" s="11"/>
      <c r="I97" s="11"/>
      <c r="J97" s="11"/>
    </row>
    <row r="98" spans="1:10" ht="22.25" customHeight="1" x14ac:dyDescent="0.3">
      <c r="A98" s="230" t="s">
        <v>323</v>
      </c>
      <c r="B98" s="76"/>
      <c r="C98" s="11"/>
      <c r="D98" s="11"/>
      <c r="E98" s="11"/>
      <c r="F98" s="11"/>
      <c r="G98" s="11"/>
      <c r="H98" s="11"/>
      <c r="I98" s="11"/>
      <c r="J98" s="11"/>
    </row>
    <row r="99" spans="1:10" ht="22.25" customHeight="1" x14ac:dyDescent="0.2">
      <c r="A99" s="236" t="s">
        <v>324</v>
      </c>
      <c r="B99" s="11"/>
      <c r="C99" s="11"/>
      <c r="D99" s="11"/>
      <c r="E99" s="11"/>
      <c r="F99" s="11"/>
      <c r="G99" s="11"/>
      <c r="H99" s="11"/>
      <c r="I99" s="11"/>
      <c r="J99" s="11"/>
    </row>
    <row r="100" spans="1:10" ht="22.25" customHeight="1" x14ac:dyDescent="0.2">
      <c r="A100" s="9" t="s">
        <v>342</v>
      </c>
      <c r="B100" s="11"/>
      <c r="C100" s="11"/>
      <c r="D100" s="11"/>
      <c r="E100" s="11"/>
      <c r="F100" s="11"/>
      <c r="G100" s="11"/>
      <c r="H100" s="11"/>
      <c r="I100" s="11"/>
      <c r="J100" s="11"/>
    </row>
    <row r="101" spans="1:10" ht="22.25" customHeight="1" x14ac:dyDescent="0.3">
      <c r="A101" s="230" t="s">
        <v>347</v>
      </c>
      <c r="B101" s="11"/>
      <c r="C101" s="11"/>
      <c r="D101" s="11"/>
      <c r="E101" s="11"/>
      <c r="F101" s="11"/>
      <c r="G101" s="11"/>
      <c r="H101" s="11"/>
      <c r="I101" s="11"/>
      <c r="J101" s="11"/>
    </row>
    <row r="102" spans="1:10" ht="22.25" customHeight="1" x14ac:dyDescent="0.2">
      <c r="A102" s="11" t="s">
        <v>345</v>
      </c>
      <c r="B102" s="11"/>
      <c r="C102" s="11"/>
      <c r="D102" s="11"/>
      <c r="E102" s="11"/>
      <c r="F102" s="11"/>
      <c r="G102" s="11"/>
      <c r="H102" s="11"/>
      <c r="I102" s="11"/>
      <c r="J102" s="11"/>
    </row>
    <row r="103" spans="1:10" ht="22.25" customHeight="1" x14ac:dyDescent="0.2">
      <c r="A103" s="11" t="s">
        <v>343</v>
      </c>
      <c r="B103" s="11"/>
      <c r="C103" s="11"/>
      <c r="D103" s="11"/>
      <c r="E103" s="11"/>
      <c r="F103" s="11"/>
      <c r="G103" s="11"/>
      <c r="H103" s="11"/>
      <c r="I103" s="11"/>
      <c r="J103" s="11"/>
    </row>
    <row r="104" spans="1:10" ht="22.25" customHeight="1" x14ac:dyDescent="0.2">
      <c r="A104" s="11" t="s">
        <v>344</v>
      </c>
      <c r="B104" s="11"/>
      <c r="C104" s="11"/>
      <c r="D104" s="11"/>
      <c r="E104" s="11"/>
      <c r="F104" s="11"/>
      <c r="G104" s="11"/>
      <c r="H104" s="11"/>
      <c r="I104" s="11"/>
      <c r="J104" s="11"/>
    </row>
    <row r="105" spans="1:10" ht="22.25" customHeight="1" x14ac:dyDescent="0.3">
      <c r="A105" s="230" t="s">
        <v>348</v>
      </c>
      <c r="B105" s="76"/>
      <c r="C105" s="11"/>
      <c r="D105" s="11"/>
      <c r="E105" s="11"/>
      <c r="F105" s="11"/>
      <c r="G105" s="11"/>
      <c r="H105" s="11"/>
      <c r="I105" s="11"/>
      <c r="J105" s="11"/>
    </row>
    <row r="106" spans="1:10" ht="22.25" customHeight="1" x14ac:dyDescent="0.2">
      <c r="A106" s="236" t="s">
        <v>349</v>
      </c>
      <c r="B106" s="11"/>
      <c r="C106" s="11"/>
      <c r="D106" s="11"/>
      <c r="E106" s="11"/>
      <c r="F106" s="11"/>
      <c r="G106" s="11"/>
      <c r="H106" s="11"/>
      <c r="I106" s="11"/>
      <c r="J106" s="11"/>
    </row>
    <row r="107" spans="1:10" ht="20" customHeight="1" x14ac:dyDescent="0.2">
      <c r="A107" s="9" t="s">
        <v>350</v>
      </c>
      <c r="B107" s="11"/>
    </row>
    <row r="108" spans="1:10" ht="20" customHeight="1" x14ac:dyDescent="0.2">
      <c r="A108" s="235" t="s">
        <v>351</v>
      </c>
      <c r="B108" s="11"/>
    </row>
    <row r="109" spans="1:10" ht="20" customHeight="1" x14ac:dyDescent="0.2">
      <c r="A109" s="319" t="s">
        <v>352</v>
      </c>
      <c r="B109" s="317"/>
    </row>
    <row r="110" spans="1:10" ht="20" customHeight="1" x14ac:dyDescent="0.2">
      <c r="A110" s="318"/>
      <c r="B110" s="295"/>
    </row>
    <row r="111" spans="1:10" ht="20" customHeight="1" x14ac:dyDescent="0.3">
      <c r="A111" s="241" t="s">
        <v>353</v>
      </c>
      <c r="B111" s="76"/>
    </row>
    <row r="112" spans="1:10" ht="20" customHeight="1" x14ac:dyDescent="0.2">
      <c r="A112" s="242" t="s">
        <v>354</v>
      </c>
      <c r="B112" s="11"/>
    </row>
    <row r="113" spans="1:2" ht="20" customHeight="1" x14ac:dyDescent="0.2">
      <c r="A113" s="243" t="s">
        <v>379</v>
      </c>
      <c r="B113" s="11"/>
    </row>
    <row r="114" spans="1:2" ht="20" customHeight="1" x14ac:dyDescent="0.3">
      <c r="A114" s="230" t="s">
        <v>378</v>
      </c>
    </row>
    <row r="115" spans="1:2" ht="20" customHeight="1" x14ac:dyDescent="0.2">
      <c r="A115" s="243" t="s">
        <v>388</v>
      </c>
    </row>
    <row r="116" spans="1:2" ht="20" customHeight="1" x14ac:dyDescent="0.3">
      <c r="A116" s="230" t="s">
        <v>387</v>
      </c>
      <c r="B116" s="11"/>
    </row>
    <row r="117" spans="1:2" ht="20" customHeight="1" x14ac:dyDescent="0.2">
      <c r="A117" s="243" t="s">
        <v>389</v>
      </c>
    </row>
    <row r="118" spans="1:2" ht="20" customHeight="1" x14ac:dyDescent="0.3">
      <c r="A118" s="230" t="s">
        <v>391</v>
      </c>
    </row>
    <row r="119" spans="1:2" ht="20" customHeight="1" x14ac:dyDescent="0.2">
      <c r="A119" s="243" t="s">
        <v>392</v>
      </c>
    </row>
    <row r="120" spans="1:2" ht="20" customHeight="1" x14ac:dyDescent="0.3">
      <c r="A120" s="230" t="s">
        <v>393</v>
      </c>
    </row>
    <row r="121" spans="1:2" ht="20" customHeight="1" x14ac:dyDescent="0.2">
      <c r="A121" s="243" t="s">
        <v>394</v>
      </c>
    </row>
    <row r="122" spans="1:2" ht="20" customHeight="1" x14ac:dyDescent="0.3">
      <c r="A122" s="230" t="s">
        <v>395</v>
      </c>
    </row>
    <row r="123" spans="1:2" ht="20" customHeight="1" x14ac:dyDescent="0.2">
      <c r="A123" s="243" t="s">
        <v>396</v>
      </c>
    </row>
    <row r="124" spans="1:2" ht="20" customHeight="1" x14ac:dyDescent="0.2">
      <c r="A124" s="316" t="s">
        <v>416</v>
      </c>
      <c r="B124" s="317"/>
    </row>
    <row r="125" spans="1:2" ht="20" customHeight="1" x14ac:dyDescent="0.2">
      <c r="A125" s="318"/>
      <c r="B125" s="295"/>
    </row>
    <row r="126" spans="1:2" ht="20" customHeight="1" x14ac:dyDescent="0.3">
      <c r="A126" s="230" t="s">
        <v>417</v>
      </c>
      <c r="B126" s="76" t="s">
        <v>418</v>
      </c>
    </row>
    <row r="127" spans="1:2" ht="20" customHeight="1" x14ac:dyDescent="0.3">
      <c r="A127" s="230" t="s">
        <v>419</v>
      </c>
      <c r="B127" s="76" t="s">
        <v>420</v>
      </c>
    </row>
    <row r="128" spans="1:2" ht="20" customHeight="1" x14ac:dyDescent="0.2">
      <c r="A128" s="316" t="s">
        <v>440</v>
      </c>
      <c r="B128" s="317"/>
    </row>
    <row r="129" spans="1:2" ht="20" customHeight="1" x14ac:dyDescent="0.2">
      <c r="A129" s="318"/>
      <c r="B129" s="295"/>
    </row>
    <row r="130" spans="1:2" ht="20" customHeight="1" x14ac:dyDescent="0.3">
      <c r="A130" s="230" t="s">
        <v>441</v>
      </c>
      <c r="B130" s="270" t="s">
        <v>442</v>
      </c>
    </row>
    <row r="131" spans="1:2" ht="20" customHeight="1" x14ac:dyDescent="0.3">
      <c r="A131" s="230" t="s">
        <v>444</v>
      </c>
      <c r="B131" s="270" t="s">
        <v>445</v>
      </c>
    </row>
  </sheetData>
  <mergeCells count="12">
    <mergeCell ref="A128:B129"/>
    <mergeCell ref="A124:B125"/>
    <mergeCell ref="A109:B110"/>
    <mergeCell ref="D46:J46"/>
    <mergeCell ref="A55:C55"/>
    <mergeCell ref="A76:B77"/>
    <mergeCell ref="A80:B81"/>
    <mergeCell ref="A1:C1"/>
    <mergeCell ref="A11:C11"/>
    <mergeCell ref="A23:C23"/>
    <mergeCell ref="A40:C40"/>
    <mergeCell ref="A96:B97"/>
  </mergeCells>
  <phoneticPr fontId="39" type="noConversion"/>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53"/>
  <sheetViews>
    <sheetView showGridLines="0" workbookViewId="0"/>
  </sheetViews>
  <sheetFormatPr baseColWidth="10" defaultColWidth="12.25" defaultRowHeight="20" customHeight="1" x14ac:dyDescent="0.2"/>
  <cols>
    <col min="1" max="1" width="38.25" style="5" customWidth="1"/>
    <col min="2" max="2" width="12.5" style="5" customWidth="1"/>
    <col min="3" max="3" width="13.5" style="5" customWidth="1"/>
    <col min="4" max="14" width="12.25" style="5" customWidth="1"/>
    <col min="15" max="16384" width="12.25" style="5"/>
  </cols>
  <sheetData>
    <row r="1" spans="1:13" ht="22" customHeight="1" x14ac:dyDescent="0.25">
      <c r="A1" s="19" t="s">
        <v>16</v>
      </c>
      <c r="B1" s="10"/>
      <c r="C1" s="11"/>
      <c r="D1" s="11"/>
      <c r="E1" s="11"/>
      <c r="F1" s="11"/>
      <c r="G1" s="11"/>
      <c r="H1" s="11"/>
      <c r="I1" s="11"/>
      <c r="J1" s="11"/>
      <c r="K1" s="11"/>
      <c r="L1" s="11"/>
      <c r="M1" s="11"/>
    </row>
    <row r="2" spans="1:13" ht="22" customHeight="1" x14ac:dyDescent="0.2">
      <c r="A2" s="9" t="s">
        <v>17</v>
      </c>
      <c r="B2" s="10">
        <f>B28</f>
        <v>192.72</v>
      </c>
      <c r="C2" s="11"/>
      <c r="D2" s="11"/>
      <c r="E2" s="11"/>
      <c r="F2" s="11"/>
      <c r="G2" s="11"/>
      <c r="H2" s="11"/>
      <c r="I2" s="11"/>
      <c r="J2" s="11"/>
      <c r="K2" s="11"/>
      <c r="L2" s="11"/>
      <c r="M2" s="11"/>
    </row>
    <row r="3" spans="1:13" ht="22" customHeight="1" x14ac:dyDescent="0.2">
      <c r="A3" s="9" t="s">
        <v>19</v>
      </c>
      <c r="B3" s="10">
        <f>B31</f>
        <v>1328.23</v>
      </c>
      <c r="C3" s="11"/>
      <c r="D3" s="11"/>
      <c r="E3" s="11"/>
      <c r="F3" s="11"/>
      <c r="G3" s="11"/>
      <c r="H3" s="11"/>
      <c r="I3" s="11"/>
      <c r="J3" s="11"/>
      <c r="K3" s="11"/>
      <c r="L3" s="11"/>
      <c r="M3" s="11"/>
    </row>
    <row r="4" spans="1:13" ht="22" customHeight="1" x14ac:dyDescent="0.2">
      <c r="A4" s="9" t="s">
        <v>60</v>
      </c>
      <c r="B4" s="10">
        <v>306.42</v>
      </c>
      <c r="C4" s="11"/>
      <c r="D4" s="11"/>
      <c r="E4" s="11"/>
      <c r="F4" s="11"/>
      <c r="G4" s="11"/>
      <c r="H4" s="11"/>
      <c r="I4" s="11"/>
      <c r="J4" s="11"/>
      <c r="K4" s="11"/>
      <c r="L4" s="11"/>
      <c r="M4" s="11"/>
    </row>
    <row r="5" spans="1:13" ht="22" customHeight="1" x14ac:dyDescent="0.2">
      <c r="A5" s="12" t="s">
        <v>61</v>
      </c>
      <c r="B5" s="13">
        <v>195.68</v>
      </c>
      <c r="C5" s="11"/>
      <c r="D5" s="11"/>
      <c r="E5" s="11"/>
      <c r="F5" s="11"/>
      <c r="G5" s="11"/>
      <c r="H5" s="11"/>
      <c r="I5" s="11"/>
      <c r="J5" s="11"/>
      <c r="K5" s="11"/>
      <c r="L5" s="11"/>
      <c r="M5" s="11"/>
    </row>
    <row r="6" spans="1:13" ht="22" customHeight="1" x14ac:dyDescent="0.2">
      <c r="A6" s="14" t="s">
        <v>21</v>
      </c>
      <c r="B6" s="21">
        <f>SUM(B2:B5)</f>
        <v>2023.0500000000002</v>
      </c>
      <c r="C6" s="22" t="s">
        <v>18</v>
      </c>
      <c r="D6" s="11"/>
      <c r="E6" s="11"/>
      <c r="F6" s="11"/>
      <c r="G6" s="11"/>
      <c r="H6" s="11"/>
      <c r="I6" s="11"/>
      <c r="J6" s="11"/>
      <c r="K6" s="11"/>
      <c r="L6" s="11"/>
      <c r="M6" s="11"/>
    </row>
    <row r="7" spans="1:13" ht="22" customHeight="1" x14ac:dyDescent="0.2">
      <c r="A7" s="17"/>
      <c r="B7" s="18"/>
      <c r="C7" s="11"/>
      <c r="D7" s="11"/>
      <c r="E7" s="11"/>
      <c r="F7" s="11"/>
      <c r="G7" s="11"/>
      <c r="H7" s="11"/>
      <c r="I7" s="11"/>
      <c r="J7" s="11"/>
      <c r="K7" s="11"/>
      <c r="L7" s="11"/>
      <c r="M7" s="11"/>
    </row>
    <row r="8" spans="1:13" ht="22" customHeight="1" x14ac:dyDescent="0.2">
      <c r="A8" s="11"/>
      <c r="B8" s="10"/>
      <c r="C8" s="11"/>
      <c r="D8" s="11"/>
      <c r="E8" s="11"/>
      <c r="F8" s="11"/>
      <c r="G8" s="11"/>
      <c r="H8" s="11"/>
      <c r="I8" s="11"/>
      <c r="J8" s="11"/>
      <c r="K8" s="11"/>
      <c r="L8" s="11"/>
      <c r="M8" s="11"/>
    </row>
    <row r="9" spans="1:13" ht="22" customHeight="1" x14ac:dyDescent="0.25">
      <c r="A9" s="19" t="s">
        <v>25</v>
      </c>
      <c r="B9" s="10"/>
      <c r="C9" s="11"/>
      <c r="D9" s="11"/>
      <c r="E9" s="11"/>
      <c r="F9" s="11"/>
      <c r="G9" s="11"/>
      <c r="H9" s="11"/>
      <c r="I9" s="11"/>
      <c r="J9" s="11"/>
      <c r="K9" s="11"/>
      <c r="L9" s="11"/>
      <c r="M9" s="11"/>
    </row>
    <row r="10" spans="1:13" ht="22" customHeight="1" x14ac:dyDescent="0.2">
      <c r="A10" s="9" t="s">
        <v>28</v>
      </c>
      <c r="B10" s="10">
        <f>B36</f>
        <v>224.27999999999997</v>
      </c>
      <c r="C10" s="9" t="s">
        <v>29</v>
      </c>
      <c r="D10" s="11"/>
      <c r="E10" s="11"/>
      <c r="F10" s="11"/>
      <c r="G10" s="11"/>
      <c r="H10" s="11"/>
      <c r="I10" s="11"/>
      <c r="J10" s="11"/>
      <c r="K10" s="11"/>
      <c r="L10" s="11"/>
      <c r="M10" s="11"/>
    </row>
    <row r="11" spans="1:13" ht="22" customHeight="1" x14ac:dyDescent="0.2">
      <c r="A11" s="9" t="s">
        <v>30</v>
      </c>
      <c r="B11" s="10">
        <f>B41</f>
        <v>103.08</v>
      </c>
      <c r="C11" s="9" t="s">
        <v>29</v>
      </c>
      <c r="D11" s="11"/>
      <c r="E11" s="11"/>
      <c r="F11" s="11"/>
      <c r="G11" s="11"/>
      <c r="H11" s="11"/>
      <c r="I11" s="11"/>
      <c r="J11" s="11"/>
      <c r="K11" s="11"/>
      <c r="L11" s="11"/>
      <c r="M11" s="11"/>
    </row>
    <row r="12" spans="1:13" ht="22" customHeight="1" x14ac:dyDescent="0.2">
      <c r="A12" s="9" t="s">
        <v>31</v>
      </c>
      <c r="B12" s="10">
        <f>B46</f>
        <v>37.9</v>
      </c>
      <c r="C12" s="9" t="s">
        <v>62</v>
      </c>
      <c r="D12" s="11"/>
      <c r="E12" s="11"/>
      <c r="F12" s="11"/>
      <c r="G12" s="11"/>
      <c r="H12" s="11"/>
      <c r="I12" s="11"/>
      <c r="J12" s="11"/>
      <c r="K12" s="11"/>
      <c r="L12" s="11"/>
      <c r="M12" s="11"/>
    </row>
    <row r="13" spans="1:13" ht="22" customHeight="1" x14ac:dyDescent="0.2">
      <c r="A13" s="9" t="s">
        <v>63</v>
      </c>
      <c r="B13" s="10">
        <v>83.9</v>
      </c>
      <c r="C13" s="9" t="s">
        <v>29</v>
      </c>
      <c r="D13" s="11"/>
      <c r="E13" s="11"/>
      <c r="F13" s="11"/>
      <c r="G13" s="11"/>
      <c r="H13" s="11"/>
      <c r="I13" s="11"/>
      <c r="J13" s="11"/>
      <c r="K13" s="11"/>
      <c r="L13" s="11"/>
      <c r="M13" s="11"/>
    </row>
    <row r="14" spans="1:13" ht="22" customHeight="1" x14ac:dyDescent="0.2">
      <c r="A14" s="9" t="s">
        <v>64</v>
      </c>
      <c r="B14" s="10">
        <f>B49</f>
        <v>96.86</v>
      </c>
      <c r="C14" s="9" t="s">
        <v>33</v>
      </c>
      <c r="D14" s="11"/>
      <c r="E14" s="11"/>
      <c r="F14" s="11"/>
      <c r="G14" s="11"/>
      <c r="H14" s="11"/>
      <c r="I14" s="11"/>
      <c r="J14" s="11"/>
      <c r="K14" s="11"/>
      <c r="L14" s="11"/>
      <c r="M14" s="11"/>
    </row>
    <row r="15" spans="1:13" ht="22" customHeight="1" x14ac:dyDescent="0.2">
      <c r="A15" s="12" t="s">
        <v>65</v>
      </c>
      <c r="B15" s="13">
        <v>10.82</v>
      </c>
      <c r="C15" s="9" t="s">
        <v>33</v>
      </c>
      <c r="D15" s="11"/>
      <c r="E15" s="11"/>
      <c r="F15" s="11"/>
      <c r="G15" s="11"/>
      <c r="H15" s="11"/>
      <c r="I15" s="11"/>
      <c r="J15" s="11"/>
      <c r="K15" s="11"/>
      <c r="L15" s="11"/>
      <c r="M15" s="11"/>
    </row>
    <row r="16" spans="1:13" ht="22" customHeight="1" x14ac:dyDescent="0.2">
      <c r="A16" s="14" t="s">
        <v>21</v>
      </c>
      <c r="B16" s="21">
        <f>SUM(B10:B15)</f>
        <v>556.84</v>
      </c>
      <c r="C16" s="16"/>
      <c r="D16" s="11"/>
      <c r="E16" s="11"/>
      <c r="F16" s="11"/>
      <c r="G16" s="11"/>
      <c r="H16" s="11"/>
      <c r="I16" s="11"/>
      <c r="J16" s="11"/>
      <c r="K16" s="11"/>
      <c r="L16" s="11"/>
      <c r="M16" s="11"/>
    </row>
    <row r="17" spans="1:13" ht="22" customHeight="1" x14ac:dyDescent="0.2">
      <c r="A17" s="23"/>
      <c r="B17" s="24"/>
      <c r="C17" s="11"/>
      <c r="D17" s="11"/>
      <c r="E17" s="11"/>
      <c r="F17" s="11"/>
      <c r="G17" s="11"/>
      <c r="H17" s="11"/>
      <c r="I17" s="11"/>
      <c r="J17" s="11"/>
      <c r="K17" s="11"/>
      <c r="L17" s="11"/>
      <c r="M17" s="11"/>
    </row>
    <row r="18" spans="1:13" ht="22" customHeight="1" x14ac:dyDescent="0.2">
      <c r="A18" s="14" t="s">
        <v>66</v>
      </c>
      <c r="B18" s="21">
        <v>2986.02</v>
      </c>
      <c r="C18" s="22" t="s">
        <v>67</v>
      </c>
      <c r="D18" s="11"/>
      <c r="E18" s="11"/>
      <c r="F18" s="11"/>
      <c r="G18" s="11"/>
      <c r="H18" s="11"/>
      <c r="I18" s="11"/>
      <c r="J18" s="11"/>
      <c r="K18" s="11"/>
      <c r="L18" s="11"/>
      <c r="M18" s="11"/>
    </row>
    <row r="19" spans="1:13" ht="22" customHeight="1" x14ac:dyDescent="0.2">
      <c r="A19" s="17"/>
      <c r="B19" s="18"/>
      <c r="C19" s="11"/>
      <c r="D19" s="11"/>
      <c r="E19" s="11"/>
      <c r="F19" s="11"/>
      <c r="G19" s="11"/>
      <c r="H19" s="11"/>
      <c r="I19" s="11"/>
      <c r="J19" s="11"/>
      <c r="K19" s="11"/>
      <c r="L19" s="11"/>
      <c r="M19" s="11"/>
    </row>
    <row r="20" spans="1:13" ht="22" customHeight="1" x14ac:dyDescent="0.25">
      <c r="A20" s="19" t="s">
        <v>34</v>
      </c>
      <c r="B20" s="13"/>
      <c r="C20" s="11"/>
      <c r="D20" s="11"/>
      <c r="E20" s="11"/>
      <c r="F20" s="11"/>
      <c r="G20" s="11"/>
      <c r="H20" s="11"/>
      <c r="I20" s="11"/>
      <c r="J20" s="11"/>
      <c r="K20" s="11"/>
      <c r="L20" s="11"/>
      <c r="M20" s="11"/>
    </row>
    <row r="21" spans="1:13" ht="22" customHeight="1" x14ac:dyDescent="0.2">
      <c r="A21" s="25" t="s">
        <v>35</v>
      </c>
      <c r="B21" s="26">
        <v>900</v>
      </c>
      <c r="C21" s="16"/>
      <c r="D21" s="11"/>
      <c r="E21" s="11"/>
      <c r="F21" s="11"/>
      <c r="G21" s="11"/>
      <c r="H21" s="11"/>
      <c r="I21" s="11"/>
      <c r="J21" s="11"/>
      <c r="K21" s="11"/>
      <c r="L21" s="11"/>
      <c r="M21" s="11"/>
    </row>
    <row r="22" spans="1:13" ht="22" customHeight="1" x14ac:dyDescent="0.2">
      <c r="A22" s="25" t="s">
        <v>36</v>
      </c>
      <c r="B22" s="26">
        <v>39.479999999999997</v>
      </c>
      <c r="C22" s="16"/>
      <c r="D22" s="11"/>
      <c r="E22" s="11"/>
      <c r="F22" s="11"/>
      <c r="G22" s="11"/>
      <c r="H22" s="11"/>
      <c r="I22" s="11"/>
      <c r="J22" s="11"/>
      <c r="K22" s="11"/>
      <c r="L22" s="11"/>
      <c r="M22" s="11"/>
    </row>
    <row r="23" spans="1:13" ht="22" customHeight="1" x14ac:dyDescent="0.2">
      <c r="A23" s="11"/>
      <c r="B23" s="17"/>
      <c r="C23" s="11"/>
      <c r="D23" s="11"/>
      <c r="E23" s="11"/>
      <c r="F23" s="11"/>
      <c r="G23" s="11"/>
      <c r="H23" s="11"/>
      <c r="I23" s="11"/>
      <c r="J23" s="11"/>
      <c r="K23" s="11"/>
      <c r="L23" s="11"/>
      <c r="M23" s="11"/>
    </row>
    <row r="24" spans="1:13" ht="22" customHeight="1" x14ac:dyDescent="0.2">
      <c r="A24" s="11"/>
      <c r="B24" s="10"/>
      <c r="C24" s="11"/>
      <c r="D24" s="11"/>
      <c r="E24" s="11"/>
      <c r="F24" s="11"/>
      <c r="G24" s="11"/>
      <c r="H24" s="11"/>
      <c r="I24" s="11"/>
      <c r="J24" s="11"/>
      <c r="K24" s="11"/>
      <c r="L24" s="11"/>
      <c r="M24" s="11"/>
    </row>
    <row r="25" spans="1:13" ht="22" customHeight="1" x14ac:dyDescent="0.25">
      <c r="A25" s="19" t="s">
        <v>37</v>
      </c>
      <c r="B25" s="10"/>
      <c r="C25" s="11"/>
      <c r="D25" s="11"/>
      <c r="E25" s="11"/>
      <c r="F25" s="11"/>
      <c r="G25" s="11"/>
      <c r="H25" s="11"/>
      <c r="I25" s="11"/>
      <c r="J25" s="11"/>
      <c r="K25" s="11"/>
      <c r="L25" s="11"/>
      <c r="M25" s="11"/>
    </row>
    <row r="26" spans="1:13" ht="22" customHeight="1" x14ac:dyDescent="0.2">
      <c r="A26" s="11"/>
      <c r="B26" s="9" t="s">
        <v>38</v>
      </c>
      <c r="C26" s="9" t="s">
        <v>39</v>
      </c>
      <c r="D26" s="9" t="s">
        <v>40</v>
      </c>
      <c r="E26" s="9" t="s">
        <v>41</v>
      </c>
      <c r="F26" s="9" t="s">
        <v>42</v>
      </c>
      <c r="G26" s="9" t="s">
        <v>43</v>
      </c>
      <c r="H26" s="9" t="s">
        <v>44</v>
      </c>
      <c r="I26" s="9" t="s">
        <v>45</v>
      </c>
      <c r="J26" s="9" t="s">
        <v>46</v>
      </c>
      <c r="K26" s="9" t="s">
        <v>47</v>
      </c>
      <c r="L26" s="9" t="s">
        <v>48</v>
      </c>
      <c r="M26" s="9" t="s">
        <v>49</v>
      </c>
    </row>
    <row r="27" spans="1:13" ht="22" customHeight="1" x14ac:dyDescent="0.2">
      <c r="A27" s="9" t="s">
        <v>17</v>
      </c>
      <c r="B27" s="27">
        <v>16.059999999999999</v>
      </c>
      <c r="C27" s="10">
        <v>16.059999999999999</v>
      </c>
      <c r="D27" s="10">
        <v>16.059999999999999</v>
      </c>
      <c r="E27" s="10">
        <v>16.059999999999999</v>
      </c>
      <c r="F27" s="10">
        <v>16.059999999999999</v>
      </c>
      <c r="G27" s="10">
        <v>16.059999999999999</v>
      </c>
      <c r="H27" s="10">
        <v>16.059999999999999</v>
      </c>
      <c r="I27" s="10">
        <v>16.059999999999999</v>
      </c>
      <c r="J27" s="10">
        <v>16.059999999999999</v>
      </c>
      <c r="K27" s="10">
        <v>16.059999999999999</v>
      </c>
      <c r="L27" s="10">
        <v>16.059999999999999</v>
      </c>
      <c r="M27" s="10">
        <v>16.059999999999999</v>
      </c>
    </row>
    <row r="28" spans="1:13" ht="22" customHeight="1" x14ac:dyDescent="0.2">
      <c r="A28" s="28" t="s">
        <v>68</v>
      </c>
      <c r="B28" s="29">
        <f>SUM(B27:M27)</f>
        <v>192.72</v>
      </c>
      <c r="C28" s="30"/>
      <c r="D28" s="10"/>
      <c r="E28" s="10"/>
      <c r="F28" s="10"/>
      <c r="G28" s="10"/>
      <c r="H28" s="10"/>
      <c r="I28" s="10"/>
      <c r="J28" s="10"/>
      <c r="K28" s="10"/>
      <c r="L28" s="10"/>
      <c r="M28" s="10"/>
    </row>
    <row r="29" spans="1:13" ht="22" customHeight="1" x14ac:dyDescent="0.2">
      <c r="A29" s="11"/>
      <c r="B29" s="31" t="s">
        <v>38</v>
      </c>
      <c r="C29" s="9" t="s">
        <v>39</v>
      </c>
      <c r="D29" s="9" t="s">
        <v>40</v>
      </c>
      <c r="E29" s="9" t="s">
        <v>41</v>
      </c>
      <c r="F29" s="9" t="s">
        <v>42</v>
      </c>
      <c r="G29" s="9" t="s">
        <v>43</v>
      </c>
      <c r="H29" s="9" t="s">
        <v>44</v>
      </c>
      <c r="I29" s="9" t="s">
        <v>45</v>
      </c>
      <c r="J29" s="9" t="s">
        <v>46</v>
      </c>
      <c r="K29" s="9" t="s">
        <v>47</v>
      </c>
      <c r="L29" s="9" t="s">
        <v>48</v>
      </c>
      <c r="M29" s="9" t="s">
        <v>49</v>
      </c>
    </row>
    <row r="30" spans="1:13" ht="22" customHeight="1" x14ac:dyDescent="0.2">
      <c r="A30" s="9" t="s">
        <v>19</v>
      </c>
      <c r="B30" s="27">
        <v>108.16</v>
      </c>
      <c r="C30" s="10">
        <v>108.16</v>
      </c>
      <c r="D30" s="10">
        <v>108.16</v>
      </c>
      <c r="E30" s="10">
        <v>108.16</v>
      </c>
      <c r="F30" s="10">
        <v>108.16</v>
      </c>
      <c r="G30" s="10">
        <v>112.49</v>
      </c>
      <c r="H30" s="10">
        <v>112.49</v>
      </c>
      <c r="I30" s="10">
        <v>112.49</v>
      </c>
      <c r="J30" s="10">
        <v>112.49</v>
      </c>
      <c r="K30" s="10">
        <v>112.49</v>
      </c>
      <c r="L30" s="10">
        <v>112.49</v>
      </c>
      <c r="M30" s="10">
        <v>112.49</v>
      </c>
    </row>
    <row r="31" spans="1:13" ht="22" customHeight="1" x14ac:dyDescent="0.2">
      <c r="A31" s="28" t="s">
        <v>68</v>
      </c>
      <c r="B31" s="29">
        <f>SUM(B30:M30)</f>
        <v>1328.23</v>
      </c>
      <c r="C31" s="30"/>
      <c r="D31" s="10"/>
      <c r="E31" s="10"/>
      <c r="F31" s="10"/>
      <c r="G31" s="10"/>
      <c r="H31" s="10"/>
      <c r="I31" s="10"/>
      <c r="J31" s="10"/>
      <c r="K31" s="10"/>
      <c r="L31" s="10"/>
      <c r="M31" s="10"/>
    </row>
    <row r="32" spans="1:13" ht="22" customHeight="1" x14ac:dyDescent="0.2">
      <c r="A32" s="11"/>
      <c r="B32" s="32"/>
      <c r="C32" s="10"/>
      <c r="D32" s="10"/>
      <c r="E32" s="10"/>
      <c r="F32" s="10"/>
      <c r="G32" s="10"/>
      <c r="H32" s="10"/>
      <c r="I32" s="10"/>
      <c r="J32" s="10"/>
      <c r="K32" s="10"/>
      <c r="L32" s="10"/>
      <c r="M32" s="10"/>
    </row>
    <row r="33" spans="1:13" ht="22" customHeight="1" x14ac:dyDescent="0.2">
      <c r="A33" s="9" t="s">
        <v>69</v>
      </c>
      <c r="B33" s="9" t="s">
        <v>70</v>
      </c>
      <c r="C33" s="11"/>
      <c r="D33" s="11"/>
      <c r="E33" s="11"/>
      <c r="F33" s="11"/>
      <c r="G33" s="11"/>
      <c r="H33" s="11"/>
      <c r="I33" s="11"/>
      <c r="J33" s="11"/>
      <c r="K33" s="11"/>
      <c r="L33" s="11"/>
      <c r="M33" s="11"/>
    </row>
    <row r="34" spans="1:13" ht="22" customHeight="1" x14ac:dyDescent="0.2">
      <c r="A34" s="9" t="s">
        <v>52</v>
      </c>
      <c r="B34" s="10">
        <v>31.15</v>
      </c>
      <c r="C34" s="11"/>
      <c r="D34" s="11"/>
      <c r="E34" s="11"/>
      <c r="F34" s="11"/>
      <c r="G34" s="11"/>
      <c r="H34" s="11"/>
      <c r="I34" s="11"/>
      <c r="J34" s="11"/>
      <c r="K34" s="11"/>
      <c r="L34" s="11"/>
      <c r="M34" s="11"/>
    </row>
    <row r="35" spans="1:13" ht="22" customHeight="1" x14ac:dyDescent="0.2">
      <c r="A35" s="9" t="s">
        <v>53</v>
      </c>
      <c r="B35" s="27">
        <f>12*B34</f>
        <v>373.79999999999995</v>
      </c>
      <c r="C35" s="11"/>
      <c r="D35" s="11"/>
      <c r="E35" s="11"/>
      <c r="F35" s="11"/>
      <c r="G35" s="11"/>
      <c r="H35" s="11"/>
      <c r="I35" s="11"/>
      <c r="J35" s="11"/>
      <c r="K35" s="11"/>
      <c r="L35" s="11"/>
      <c r="M35" s="11"/>
    </row>
    <row r="36" spans="1:13" ht="22" customHeight="1" x14ac:dyDescent="0.2">
      <c r="A36" s="28" t="s">
        <v>54</v>
      </c>
      <c r="B36" s="29">
        <f>0.6*B35</f>
        <v>224.27999999999997</v>
      </c>
      <c r="C36" s="33"/>
      <c r="D36" s="11"/>
      <c r="E36" s="11"/>
      <c r="F36" s="11"/>
      <c r="G36" s="11"/>
      <c r="H36" s="11"/>
      <c r="I36" s="11"/>
      <c r="J36" s="11"/>
      <c r="K36" s="11"/>
      <c r="L36" s="11"/>
      <c r="M36" s="11"/>
    </row>
    <row r="37" spans="1:13" ht="22" customHeight="1" x14ac:dyDescent="0.2">
      <c r="A37" s="11"/>
      <c r="B37" s="32"/>
      <c r="C37" s="11"/>
      <c r="D37" s="11"/>
      <c r="E37" s="11"/>
      <c r="F37" s="11"/>
      <c r="G37" s="11"/>
      <c r="H37" s="11"/>
      <c r="I37" s="11"/>
      <c r="J37" s="11"/>
      <c r="K37" s="11"/>
      <c r="L37" s="11"/>
      <c r="M37" s="11"/>
    </row>
    <row r="38" spans="1:13" ht="22" customHeight="1" x14ac:dyDescent="0.2">
      <c r="A38" s="11"/>
      <c r="B38" s="9" t="s">
        <v>38</v>
      </c>
      <c r="C38" s="9" t="s">
        <v>39</v>
      </c>
      <c r="D38" s="9" t="s">
        <v>40</v>
      </c>
      <c r="E38" s="9" t="s">
        <v>41</v>
      </c>
      <c r="F38" s="9" t="s">
        <v>42</v>
      </c>
      <c r="G38" s="9" t="s">
        <v>43</v>
      </c>
      <c r="H38" s="9" t="s">
        <v>44</v>
      </c>
      <c r="I38" s="9" t="s">
        <v>45</v>
      </c>
      <c r="J38" s="9" t="s">
        <v>46</v>
      </c>
      <c r="K38" s="9" t="s">
        <v>47</v>
      </c>
      <c r="L38" s="9" t="s">
        <v>48</v>
      </c>
      <c r="M38" s="9" t="s">
        <v>49</v>
      </c>
    </row>
    <row r="39" spans="1:13" ht="22" customHeight="1" x14ac:dyDescent="0.2">
      <c r="A39" s="9" t="s">
        <v>71</v>
      </c>
      <c r="B39" s="10">
        <v>12.7</v>
      </c>
      <c r="C39" s="20">
        <v>12.5</v>
      </c>
      <c r="D39" s="20">
        <v>10.61</v>
      </c>
      <c r="E39" s="20">
        <v>12.5</v>
      </c>
      <c r="F39" s="20">
        <v>33.799999999999997</v>
      </c>
      <c r="G39" s="20">
        <v>12.7</v>
      </c>
      <c r="H39" s="20">
        <v>12.7</v>
      </c>
      <c r="I39" s="20">
        <v>12.7</v>
      </c>
      <c r="J39" s="20">
        <v>12.9</v>
      </c>
      <c r="K39" s="20">
        <v>12.5</v>
      </c>
      <c r="L39" s="20">
        <v>13.69</v>
      </c>
      <c r="M39" s="20">
        <v>12.5</v>
      </c>
    </row>
    <row r="40" spans="1:13" ht="22" customHeight="1" x14ac:dyDescent="0.2">
      <c r="A40" s="9" t="s">
        <v>68</v>
      </c>
      <c r="B40" s="27">
        <f>SUM(B39:M39)</f>
        <v>171.8</v>
      </c>
      <c r="C40" s="11"/>
      <c r="D40" s="11"/>
      <c r="E40" s="11"/>
      <c r="F40" s="11"/>
      <c r="G40" s="11"/>
      <c r="H40" s="11"/>
      <c r="I40" s="11"/>
      <c r="J40" s="11"/>
      <c r="K40" s="11"/>
      <c r="L40" s="11"/>
      <c r="M40" s="11"/>
    </row>
    <row r="41" spans="1:13" ht="22" customHeight="1" x14ac:dyDescent="0.2">
      <c r="A41" s="28" t="s">
        <v>54</v>
      </c>
      <c r="B41" s="29">
        <f>0.6*B40</f>
        <v>103.08</v>
      </c>
      <c r="C41" s="33"/>
      <c r="D41" s="11"/>
      <c r="E41" s="11"/>
      <c r="F41" s="11"/>
      <c r="G41" s="11"/>
      <c r="H41" s="11"/>
      <c r="I41" s="11"/>
      <c r="J41" s="11"/>
      <c r="K41" s="11"/>
      <c r="L41" s="11"/>
      <c r="M41" s="11"/>
    </row>
    <row r="42" spans="1:13" ht="22" customHeight="1" x14ac:dyDescent="0.2">
      <c r="A42" s="11"/>
      <c r="B42" s="32"/>
      <c r="C42" s="11"/>
      <c r="D42" s="11"/>
      <c r="E42" s="11"/>
      <c r="F42" s="11"/>
      <c r="G42" s="11"/>
      <c r="H42" s="11"/>
      <c r="I42" s="11"/>
      <c r="J42" s="11"/>
      <c r="K42" s="11"/>
      <c r="L42" s="11"/>
      <c r="M42" s="11"/>
    </row>
    <row r="43" spans="1:13" ht="22" customHeight="1" x14ac:dyDescent="0.2">
      <c r="A43" s="9" t="s">
        <v>56</v>
      </c>
      <c r="B43" s="10"/>
      <c r="C43" s="11"/>
      <c r="D43" s="11"/>
      <c r="E43" s="11"/>
      <c r="F43" s="11"/>
      <c r="G43" s="11"/>
      <c r="H43" s="11"/>
      <c r="I43" s="11"/>
      <c r="J43" s="11"/>
      <c r="K43" s="11"/>
      <c r="L43" s="11"/>
      <c r="M43" s="11"/>
    </row>
    <row r="44" spans="1:13" ht="22" customHeight="1" x14ac:dyDescent="0.2">
      <c r="A44" s="9" t="s">
        <v>72</v>
      </c>
      <c r="B44" s="10">
        <v>18.7</v>
      </c>
      <c r="C44" s="11"/>
      <c r="D44" s="11"/>
      <c r="E44" s="11"/>
      <c r="F44" s="11"/>
      <c r="G44" s="11"/>
      <c r="H44" s="11"/>
      <c r="I44" s="11"/>
      <c r="J44" s="11"/>
      <c r="K44" s="11"/>
      <c r="L44" s="11"/>
      <c r="M44" s="11"/>
    </row>
    <row r="45" spans="1:13" ht="22" customHeight="1" x14ac:dyDescent="0.2">
      <c r="A45" s="9" t="s">
        <v>73</v>
      </c>
      <c r="B45" s="27">
        <v>19.2</v>
      </c>
      <c r="C45" s="11"/>
      <c r="D45" s="11"/>
      <c r="E45" s="11"/>
      <c r="F45" s="11"/>
      <c r="G45" s="11"/>
      <c r="H45" s="11"/>
      <c r="I45" s="11"/>
      <c r="J45" s="11"/>
      <c r="K45" s="11"/>
      <c r="L45" s="11"/>
      <c r="M45" s="11"/>
    </row>
    <row r="46" spans="1:13" ht="22" customHeight="1" x14ac:dyDescent="0.2">
      <c r="A46" s="28" t="s">
        <v>59</v>
      </c>
      <c r="B46" s="29">
        <f>B44+B45</f>
        <v>37.9</v>
      </c>
      <c r="C46" s="33"/>
      <c r="D46" s="11"/>
      <c r="E46" s="11"/>
      <c r="F46" s="11"/>
      <c r="G46" s="11"/>
      <c r="H46" s="11"/>
      <c r="I46" s="11"/>
      <c r="J46" s="11"/>
      <c r="K46" s="11"/>
      <c r="L46" s="11"/>
      <c r="M46" s="11"/>
    </row>
    <row r="47" spans="1:13" ht="22" customHeight="1" x14ac:dyDescent="0.2">
      <c r="A47" s="11"/>
      <c r="B47" s="34"/>
      <c r="C47" s="11"/>
      <c r="D47" s="11"/>
      <c r="E47" s="11"/>
      <c r="F47" s="11"/>
      <c r="G47" s="11"/>
      <c r="H47" s="11"/>
      <c r="I47" s="11"/>
      <c r="J47" s="11"/>
      <c r="K47" s="11"/>
      <c r="L47" s="11"/>
      <c r="M47" s="11"/>
    </row>
    <row r="48" spans="1:13" ht="22" customHeight="1" x14ac:dyDescent="0.2">
      <c r="A48" s="9" t="s">
        <v>74</v>
      </c>
      <c r="B48" s="35"/>
      <c r="C48" s="11"/>
      <c r="D48" s="11"/>
      <c r="E48" s="11"/>
      <c r="F48" s="11"/>
      <c r="G48" s="11"/>
      <c r="H48" s="11"/>
      <c r="I48" s="11"/>
      <c r="J48" s="11"/>
      <c r="K48" s="11"/>
      <c r="L48" s="11"/>
      <c r="M48" s="11"/>
    </row>
    <row r="49" spans="1:13" ht="22" customHeight="1" x14ac:dyDescent="0.2">
      <c r="A49" s="36">
        <v>2016</v>
      </c>
      <c r="B49" s="37">
        <v>96.86</v>
      </c>
      <c r="C49" s="33"/>
      <c r="D49" s="11"/>
      <c r="E49" s="11"/>
      <c r="F49" s="11"/>
      <c r="G49" s="11"/>
      <c r="H49" s="11"/>
      <c r="I49" s="11"/>
      <c r="J49" s="11"/>
      <c r="K49" s="11"/>
      <c r="L49" s="11"/>
      <c r="M49" s="11"/>
    </row>
    <row r="50" spans="1:13" ht="22" customHeight="1" x14ac:dyDescent="0.2">
      <c r="A50" s="20">
        <v>2017</v>
      </c>
      <c r="B50" s="34">
        <v>193.73</v>
      </c>
      <c r="C50" s="11"/>
      <c r="D50" s="11"/>
      <c r="E50" s="11"/>
      <c r="F50" s="11"/>
      <c r="G50" s="11"/>
      <c r="H50" s="11"/>
      <c r="I50" s="11"/>
      <c r="J50" s="11"/>
      <c r="K50" s="11"/>
      <c r="L50" s="11"/>
      <c r="M50" s="11"/>
    </row>
    <row r="51" spans="1:13" ht="22" customHeight="1" x14ac:dyDescent="0.2">
      <c r="A51" s="20">
        <v>2018</v>
      </c>
      <c r="B51" s="38">
        <v>193.73</v>
      </c>
      <c r="C51" s="11"/>
      <c r="D51" s="11"/>
      <c r="E51" s="11"/>
      <c r="F51" s="11"/>
      <c r="G51" s="11"/>
      <c r="H51" s="11"/>
      <c r="I51" s="11"/>
      <c r="J51" s="11"/>
      <c r="K51" s="11"/>
      <c r="L51" s="11"/>
      <c r="M51" s="11"/>
    </row>
    <row r="52" spans="1:13" ht="22" customHeight="1" x14ac:dyDescent="0.2">
      <c r="A52" s="20">
        <v>2019</v>
      </c>
      <c r="B52" s="38">
        <v>96.86</v>
      </c>
      <c r="C52" s="11"/>
      <c r="D52" s="11"/>
      <c r="E52" s="11"/>
      <c r="F52" s="11"/>
      <c r="G52" s="11"/>
      <c r="H52" s="11"/>
      <c r="I52" s="11"/>
      <c r="J52" s="11"/>
      <c r="K52" s="11"/>
      <c r="L52" s="11"/>
      <c r="M52" s="11"/>
    </row>
    <row r="53" spans="1:13" ht="22" customHeight="1" x14ac:dyDescent="0.2">
      <c r="A53" s="11"/>
      <c r="B53" s="38">
        <f>SUM(B49:B52)</f>
        <v>581.17999999999995</v>
      </c>
      <c r="C53" s="11"/>
      <c r="D53" s="11"/>
      <c r="E53" s="11"/>
      <c r="F53" s="11"/>
      <c r="G53" s="11"/>
      <c r="H53" s="11"/>
      <c r="I53" s="11"/>
      <c r="J53" s="11"/>
      <c r="K53" s="11"/>
      <c r="L53" s="11"/>
      <c r="M53" s="11"/>
    </row>
  </sheetData>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5"/>
  <sheetViews>
    <sheetView showGridLines="0" workbookViewId="0">
      <pane ySplit="1" topLeftCell="A29" activePane="bottomLeft" state="frozen"/>
      <selection pane="bottomLeft" activeCell="D46" sqref="D46"/>
    </sheetView>
  </sheetViews>
  <sheetFormatPr baseColWidth="10" defaultColWidth="12.25" defaultRowHeight="20" customHeight="1" x14ac:dyDescent="0.2"/>
  <cols>
    <col min="1" max="1" width="55.875" style="5" customWidth="1"/>
    <col min="2" max="2" width="15.375" style="5" customWidth="1"/>
    <col min="3" max="3" width="14.5" style="5" customWidth="1"/>
    <col min="4" max="4" width="13.875" style="5" customWidth="1"/>
    <col min="5" max="5" width="47.5" style="5" customWidth="1"/>
    <col min="6" max="6" width="12.25" style="5" customWidth="1"/>
    <col min="7" max="16384" width="12.25" style="5"/>
  </cols>
  <sheetData>
    <row r="1" spans="1:5" ht="22.25" customHeight="1" x14ac:dyDescent="0.2">
      <c r="A1" s="274" t="s">
        <v>75</v>
      </c>
      <c r="B1" s="275"/>
      <c r="C1" s="275"/>
      <c r="D1" s="275"/>
      <c r="E1" s="276"/>
    </row>
    <row r="2" spans="1:5" ht="22.25" customHeight="1" x14ac:dyDescent="0.2">
      <c r="A2" s="285"/>
      <c r="B2" s="286"/>
      <c r="C2" s="286"/>
      <c r="D2" s="286"/>
      <c r="E2" s="287"/>
    </row>
    <row r="3" spans="1:5" ht="22.25" customHeight="1" x14ac:dyDescent="0.2">
      <c r="A3" s="39"/>
      <c r="B3" s="39"/>
      <c r="C3" s="40" t="s">
        <v>76</v>
      </c>
      <c r="D3" s="39"/>
      <c r="E3" s="39"/>
    </row>
    <row r="4" spans="1:5" ht="22.25" customHeight="1" x14ac:dyDescent="0.2">
      <c r="A4" s="41" t="s">
        <v>77</v>
      </c>
      <c r="B4" s="42">
        <v>39896.629999999997</v>
      </c>
      <c r="C4" s="43">
        <v>210</v>
      </c>
      <c r="D4" s="11"/>
      <c r="E4" s="11"/>
    </row>
    <row r="5" spans="1:5" ht="22.25" customHeight="1" x14ac:dyDescent="0.2">
      <c r="A5" s="44" t="s">
        <v>78</v>
      </c>
      <c r="B5" s="45">
        <f>B4-B6</f>
        <v>34253.909999999996</v>
      </c>
      <c r="C5" s="46"/>
      <c r="D5" s="11"/>
      <c r="E5" s="11"/>
    </row>
    <row r="6" spans="1:5" ht="22.25" customHeight="1" x14ac:dyDescent="0.2">
      <c r="A6" s="47" t="s">
        <v>79</v>
      </c>
      <c r="B6" s="48">
        <v>5642.72</v>
      </c>
      <c r="C6" s="49">
        <v>220</v>
      </c>
      <c r="D6" s="11"/>
      <c r="E6" s="11"/>
    </row>
    <row r="7" spans="1:5" ht="22.25" customHeight="1" x14ac:dyDescent="0.2">
      <c r="A7" s="50"/>
      <c r="B7" s="51"/>
      <c r="C7" s="52"/>
      <c r="D7" s="53"/>
      <c r="E7" s="53"/>
    </row>
    <row r="8" spans="1:5" ht="22.25" customHeight="1" x14ac:dyDescent="0.25">
      <c r="A8" s="44" t="s">
        <v>80</v>
      </c>
      <c r="B8" s="45">
        <v>6213.75</v>
      </c>
      <c r="C8" s="54">
        <v>230</v>
      </c>
      <c r="D8" s="55">
        <f>ROUND(B5*0.1812,2)</f>
        <v>6206.81</v>
      </c>
      <c r="E8" s="56" t="s">
        <v>81</v>
      </c>
    </row>
    <row r="9" spans="1:5" ht="22.25" customHeight="1" x14ac:dyDescent="0.25">
      <c r="A9" s="47" t="s">
        <v>82</v>
      </c>
      <c r="B9" s="48">
        <v>950.47</v>
      </c>
      <c r="C9" s="54">
        <v>225</v>
      </c>
      <c r="D9" s="55">
        <f>ROUND(B6*0.1712,2)</f>
        <v>966.03</v>
      </c>
      <c r="E9" s="56" t="s">
        <v>83</v>
      </c>
    </row>
    <row r="10" spans="1:5" ht="22.25" customHeight="1" x14ac:dyDescent="0.25">
      <c r="A10" s="57" t="s">
        <v>84</v>
      </c>
      <c r="B10" s="58">
        <f>B8+B9</f>
        <v>7164.22</v>
      </c>
      <c r="C10" s="59"/>
      <c r="D10" s="55">
        <f>D8+D9</f>
        <v>7172.84</v>
      </c>
      <c r="E10" s="56" t="s">
        <v>85</v>
      </c>
    </row>
    <row r="11" spans="1:5" ht="22.25" customHeight="1" x14ac:dyDescent="0.2">
      <c r="A11" s="60"/>
      <c r="B11" s="42"/>
      <c r="C11" s="52"/>
      <c r="D11" s="61"/>
      <c r="E11" s="61"/>
    </row>
    <row r="12" spans="1:5" ht="22.25" customHeight="1" x14ac:dyDescent="0.2">
      <c r="A12" s="44" t="s">
        <v>86</v>
      </c>
      <c r="B12" s="45">
        <f>B5-B8</f>
        <v>28040.159999999996</v>
      </c>
      <c r="C12" s="49">
        <v>245</v>
      </c>
      <c r="D12" s="9" t="s">
        <v>87</v>
      </c>
      <c r="E12" s="11"/>
    </row>
    <row r="13" spans="1:5" ht="22.25" customHeight="1" x14ac:dyDescent="0.2">
      <c r="A13" s="47" t="s">
        <v>88</v>
      </c>
      <c r="B13" s="48">
        <f>B6-B9</f>
        <v>4692.25</v>
      </c>
      <c r="C13" s="46"/>
      <c r="D13" s="9" t="s">
        <v>89</v>
      </c>
      <c r="E13" s="11"/>
    </row>
    <row r="14" spans="1:5" ht="22.25" customHeight="1" x14ac:dyDescent="0.2">
      <c r="A14" s="50"/>
      <c r="B14" s="51"/>
      <c r="C14" s="11"/>
      <c r="D14" s="11"/>
      <c r="E14" s="11"/>
    </row>
    <row r="15" spans="1:5" ht="22.25" customHeight="1" x14ac:dyDescent="0.2">
      <c r="A15" s="62" t="s">
        <v>90</v>
      </c>
      <c r="B15" s="63">
        <v>438.04</v>
      </c>
      <c r="C15" s="281" t="s">
        <v>91</v>
      </c>
      <c r="D15" s="282"/>
      <c r="E15" s="282"/>
    </row>
    <row r="16" spans="1:5" ht="22.25" customHeight="1" x14ac:dyDescent="0.2">
      <c r="A16" s="62" t="s">
        <v>92</v>
      </c>
      <c r="B16" s="63">
        <v>13.2</v>
      </c>
      <c r="C16" s="64"/>
      <c r="D16" s="11"/>
      <c r="E16" s="11"/>
    </row>
    <row r="17" spans="1:5" ht="22.25" customHeight="1" x14ac:dyDescent="0.2">
      <c r="A17" s="50"/>
      <c r="B17" s="51"/>
      <c r="C17" s="11"/>
      <c r="D17" s="11"/>
      <c r="E17" s="11"/>
    </row>
    <row r="18" spans="1:5" ht="22.25" customHeight="1" x14ac:dyDescent="0.2">
      <c r="A18" s="65" t="s">
        <v>93</v>
      </c>
      <c r="B18" s="66">
        <v>5043.25</v>
      </c>
      <c r="C18" s="49">
        <v>260</v>
      </c>
      <c r="D18" s="11"/>
      <c r="E18" s="11"/>
    </row>
    <row r="19" spans="1:5" ht="22.25" customHeight="1" x14ac:dyDescent="0.2">
      <c r="A19" s="39"/>
      <c r="B19" s="39"/>
      <c r="C19" s="11"/>
      <c r="D19" s="11"/>
      <c r="E19" s="11"/>
    </row>
    <row r="20" spans="1:5" ht="22.25" customHeight="1" x14ac:dyDescent="0.2">
      <c r="A20" s="53"/>
      <c r="B20" s="53"/>
      <c r="C20" s="53"/>
      <c r="D20" s="53"/>
      <c r="E20" s="53"/>
    </row>
    <row r="21" spans="1:5" ht="22.25" customHeight="1" x14ac:dyDescent="0.2">
      <c r="A21" s="277" t="s">
        <v>94</v>
      </c>
      <c r="B21" s="278"/>
      <c r="C21" s="278"/>
      <c r="D21" s="278"/>
      <c r="E21" s="278"/>
    </row>
    <row r="22" spans="1:5" ht="22.25" customHeight="1" x14ac:dyDescent="0.2">
      <c r="A22" s="278"/>
      <c r="B22" s="278"/>
      <c r="C22" s="278"/>
      <c r="D22" s="278"/>
      <c r="E22" s="278"/>
    </row>
    <row r="23" spans="1:5" ht="22.25" customHeight="1" x14ac:dyDescent="0.2">
      <c r="A23" s="67" t="s">
        <v>95</v>
      </c>
      <c r="B23" s="68">
        <v>3085.52</v>
      </c>
      <c r="C23" s="69"/>
      <c r="D23" s="61"/>
      <c r="E23" s="61"/>
    </row>
    <row r="24" spans="1:5" ht="22.25" customHeight="1" x14ac:dyDescent="0.2">
      <c r="A24" s="44" t="s">
        <v>96</v>
      </c>
      <c r="B24" s="45">
        <f>B12</f>
        <v>28040.159999999996</v>
      </c>
      <c r="C24" s="64"/>
      <c r="D24" s="11"/>
      <c r="E24" s="11"/>
    </row>
    <row r="25" spans="1:5" ht="22.25" customHeight="1" x14ac:dyDescent="0.2">
      <c r="A25" s="70" t="s">
        <v>97</v>
      </c>
      <c r="B25" s="71">
        <f>B23+B24</f>
        <v>31125.679999999997</v>
      </c>
      <c r="C25" s="64"/>
      <c r="D25" s="11"/>
      <c r="E25" s="11"/>
    </row>
    <row r="26" spans="1:5" ht="22.25" customHeight="1" x14ac:dyDescent="0.2">
      <c r="A26" s="72"/>
      <c r="B26" s="73"/>
      <c r="C26" s="11"/>
      <c r="D26" s="11"/>
      <c r="E26" s="11"/>
    </row>
    <row r="27" spans="1:5" ht="22.25" customHeight="1" x14ac:dyDescent="0.2">
      <c r="A27" s="74" t="s">
        <v>98</v>
      </c>
      <c r="B27" s="75"/>
      <c r="C27" s="76"/>
      <c r="D27" s="11"/>
      <c r="E27" s="11"/>
    </row>
    <row r="28" spans="1:5" ht="22.25" customHeight="1" x14ac:dyDescent="0.2">
      <c r="A28" s="74" t="s">
        <v>25</v>
      </c>
      <c r="B28" s="77">
        <f>'2017'!B17</f>
        <v>720.678</v>
      </c>
      <c r="C28" s="76"/>
      <c r="D28" s="11"/>
      <c r="E28" s="11"/>
    </row>
    <row r="29" spans="1:5" ht="22.25" customHeight="1" x14ac:dyDescent="0.2">
      <c r="A29" s="74" t="s">
        <v>99</v>
      </c>
      <c r="B29" s="77">
        <f>ROUND('2017'!B6/4,2)</f>
        <v>523.22</v>
      </c>
      <c r="C29" s="76"/>
      <c r="D29" s="11"/>
      <c r="E29" s="11"/>
    </row>
    <row r="30" spans="1:5" ht="22.25" customHeight="1" x14ac:dyDescent="0.2">
      <c r="A30" s="74" t="s">
        <v>100</v>
      </c>
      <c r="B30" s="77">
        <f>'2017'!B20-3457.4</f>
        <v>369.19000000000005</v>
      </c>
      <c r="C30" s="78"/>
      <c r="D30" s="11"/>
      <c r="E30" s="11"/>
    </row>
    <row r="31" spans="1:5" ht="22.25" customHeight="1" x14ac:dyDescent="0.25">
      <c r="A31" s="79" t="s">
        <v>21</v>
      </c>
      <c r="B31" s="80">
        <f>SUM(B28:B30)</f>
        <v>1613.0880000000002</v>
      </c>
      <c r="C31" s="76"/>
      <c r="D31" s="11"/>
      <c r="E31" s="11"/>
    </row>
    <row r="32" spans="1:5" ht="22.25" customHeight="1" x14ac:dyDescent="0.2">
      <c r="A32" s="81"/>
      <c r="B32" s="82"/>
      <c r="C32" s="11"/>
      <c r="D32" s="11"/>
      <c r="E32" s="11"/>
    </row>
    <row r="33" spans="1:5" ht="22.25" customHeight="1" x14ac:dyDescent="0.25">
      <c r="A33" s="83" t="s">
        <v>101</v>
      </c>
      <c r="B33" s="84">
        <f>B25-B31</f>
        <v>29512.591999999997</v>
      </c>
      <c r="C33" s="64"/>
      <c r="D33" s="11"/>
      <c r="E33" s="11"/>
    </row>
    <row r="34" spans="1:5" ht="22.25" customHeight="1" x14ac:dyDescent="0.25">
      <c r="A34" s="56" t="s">
        <v>102</v>
      </c>
      <c r="B34" s="85">
        <f>ROUND((B33-18000)*0.35+1750,2)</f>
        <v>5779.41</v>
      </c>
      <c r="C34" s="283" t="s">
        <v>103</v>
      </c>
      <c r="D34" s="284"/>
      <c r="E34" s="11"/>
    </row>
    <row r="35" spans="1:5" ht="22.25" customHeight="1" x14ac:dyDescent="0.25">
      <c r="A35" s="56" t="s">
        <v>104</v>
      </c>
      <c r="B35" s="85">
        <f>ROUND((B13-620)*0.06,2)</f>
        <v>244.34</v>
      </c>
      <c r="C35" s="283" t="s">
        <v>105</v>
      </c>
      <c r="D35" s="284"/>
      <c r="E35" s="11"/>
    </row>
    <row r="36" spans="1:5" ht="22.25" customHeight="1" x14ac:dyDescent="0.2">
      <c r="A36" s="86" t="s">
        <v>106</v>
      </c>
      <c r="B36" s="87">
        <v>400</v>
      </c>
      <c r="C36" s="64"/>
      <c r="D36" s="11"/>
      <c r="E36" s="11"/>
    </row>
    <row r="37" spans="1:5" ht="22.25" customHeight="1" x14ac:dyDescent="0.2">
      <c r="A37" s="72"/>
      <c r="B37" s="88"/>
      <c r="C37" s="11"/>
      <c r="D37" s="11"/>
      <c r="E37" s="11"/>
    </row>
    <row r="38" spans="1:5" ht="22.25" customHeight="1" x14ac:dyDescent="0.25">
      <c r="A38" s="56" t="s">
        <v>107</v>
      </c>
      <c r="B38" s="85">
        <f>B34+B35-B36</f>
        <v>5623.75</v>
      </c>
      <c r="C38" s="76"/>
      <c r="D38" s="11"/>
      <c r="E38" s="11"/>
    </row>
    <row r="39" spans="1:5" ht="22.25" customHeight="1" x14ac:dyDescent="0.2">
      <c r="A39" s="86" t="s">
        <v>108</v>
      </c>
      <c r="B39" s="87">
        <f>B18</f>
        <v>5043.25</v>
      </c>
      <c r="C39" s="64"/>
      <c r="D39" s="11"/>
      <c r="E39" s="11"/>
    </row>
    <row r="40" spans="1:5" ht="22.25" customHeight="1" x14ac:dyDescent="0.2">
      <c r="A40" s="57" t="s">
        <v>109</v>
      </c>
      <c r="B40" s="58">
        <v>0.5</v>
      </c>
      <c r="C40" s="11"/>
      <c r="D40" s="11"/>
      <c r="E40" s="11"/>
    </row>
    <row r="41" spans="1:5" ht="22.25" customHeight="1" x14ac:dyDescent="0.2">
      <c r="A41" s="53"/>
      <c r="B41" s="89"/>
      <c r="C41" s="11"/>
      <c r="D41" s="11"/>
      <c r="E41" s="11"/>
    </row>
    <row r="42" spans="1:5" ht="22.25" customHeight="1" x14ac:dyDescent="0.25">
      <c r="A42" s="56" t="s">
        <v>110</v>
      </c>
      <c r="B42" s="85">
        <f>B38-B39+B40</f>
        <v>581</v>
      </c>
      <c r="C42" s="76"/>
      <c r="D42" s="11"/>
      <c r="E42" s="11"/>
    </row>
    <row r="43" spans="1:5" ht="22.25" customHeight="1" x14ac:dyDescent="0.2">
      <c r="A43" s="81"/>
      <c r="B43" s="82"/>
      <c r="C43" s="11"/>
      <c r="D43" s="11"/>
      <c r="E43" s="11"/>
    </row>
    <row r="44" spans="1:5" ht="22.25" customHeight="1" x14ac:dyDescent="0.2">
      <c r="A44" s="65" t="s">
        <v>111</v>
      </c>
      <c r="B44" s="66">
        <v>769</v>
      </c>
      <c r="C44" s="64"/>
      <c r="D44" s="11"/>
      <c r="E44" s="11"/>
    </row>
    <row r="45" spans="1:5" ht="22.25" customHeight="1" x14ac:dyDescent="0.2">
      <c r="A45" s="72"/>
      <c r="B45" s="88"/>
      <c r="C45" s="11"/>
      <c r="D45" s="11"/>
      <c r="E45" s="11"/>
    </row>
    <row r="46" spans="1:5" ht="22.25" customHeight="1" x14ac:dyDescent="0.25">
      <c r="A46" s="90" t="s">
        <v>112</v>
      </c>
      <c r="B46" s="91">
        <f>B42-B44</f>
        <v>-188</v>
      </c>
      <c r="C46" s="76"/>
      <c r="D46" s="11"/>
      <c r="E46" s="11"/>
    </row>
    <row r="47" spans="1:5" ht="22.25" customHeight="1" x14ac:dyDescent="0.2">
      <c r="A47" s="61"/>
      <c r="B47" s="61"/>
      <c r="C47" s="11"/>
      <c r="D47" s="11"/>
      <c r="E47" s="11"/>
    </row>
    <row r="48" spans="1:5" ht="22.25" customHeight="1" x14ac:dyDescent="0.2">
      <c r="A48" s="11"/>
      <c r="B48" s="11"/>
      <c r="C48" s="11"/>
      <c r="D48" s="11"/>
      <c r="E48" s="11"/>
    </row>
    <row r="49" spans="1:5" ht="22.25" customHeight="1" x14ac:dyDescent="0.25">
      <c r="A49" s="279" t="s">
        <v>113</v>
      </c>
      <c r="B49" s="280"/>
      <c r="C49" s="11"/>
      <c r="D49" s="11"/>
      <c r="E49" s="11"/>
    </row>
    <row r="50" spans="1:5" ht="22.25" customHeight="1" x14ac:dyDescent="0.2">
      <c r="A50" s="92" t="s">
        <v>114</v>
      </c>
      <c r="B50" s="93">
        <f>B4</f>
        <v>39896.629999999997</v>
      </c>
      <c r="C50" s="64"/>
      <c r="D50" s="11"/>
      <c r="E50" s="11"/>
    </row>
    <row r="51" spans="1:5" ht="22.25" customHeight="1" x14ac:dyDescent="0.2">
      <c r="A51" s="94" t="s">
        <v>115</v>
      </c>
      <c r="B51" s="95">
        <f>B10</f>
        <v>7164.22</v>
      </c>
      <c r="C51" s="64"/>
      <c r="D51" s="11"/>
      <c r="E51" s="11"/>
    </row>
    <row r="52" spans="1:5" ht="22.25" customHeight="1" x14ac:dyDescent="0.2">
      <c r="A52" s="94" t="s">
        <v>107</v>
      </c>
      <c r="B52" s="95">
        <f>B38</f>
        <v>5623.75</v>
      </c>
      <c r="C52" s="64"/>
      <c r="D52" s="11"/>
      <c r="E52" s="11"/>
    </row>
    <row r="53" spans="1:5" ht="22.25" customHeight="1" x14ac:dyDescent="0.2">
      <c r="A53" s="92" t="s">
        <v>116</v>
      </c>
      <c r="B53" s="93">
        <f>649+413+1534+354+780+154+1180+118+1180+59+1298+708+804+178+1711+118+1357+413-900-39.48</f>
        <v>12068.52</v>
      </c>
      <c r="C53" s="64"/>
      <c r="D53" s="11"/>
      <c r="E53" s="11"/>
    </row>
    <row r="54" spans="1:5" ht="22.25" customHeight="1" x14ac:dyDescent="0.2">
      <c r="A54" s="96"/>
      <c r="B54" s="97"/>
      <c r="C54" s="11"/>
      <c r="D54" s="11"/>
      <c r="E54" s="11"/>
    </row>
    <row r="55" spans="1:5" ht="22.25" customHeight="1" x14ac:dyDescent="0.25">
      <c r="A55" s="98" t="s">
        <v>117</v>
      </c>
      <c r="B55" s="99">
        <f>B50-B51-B52+B53</f>
        <v>39177.179999999993</v>
      </c>
      <c r="C55" s="76"/>
      <c r="D55" s="11"/>
      <c r="E55" s="11"/>
    </row>
  </sheetData>
  <mergeCells count="7">
    <mergeCell ref="A1:E1"/>
    <mergeCell ref="A21:E22"/>
    <mergeCell ref="A49:B49"/>
    <mergeCell ref="C15:E15"/>
    <mergeCell ref="C34:D34"/>
    <mergeCell ref="C35:D35"/>
    <mergeCell ref="A2:E2"/>
  </mergeCell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W105"/>
  <sheetViews>
    <sheetView showGridLines="0" workbookViewId="0"/>
  </sheetViews>
  <sheetFormatPr baseColWidth="10" defaultColWidth="12.25" defaultRowHeight="20" customHeight="1" x14ac:dyDescent="0.2"/>
  <cols>
    <col min="1" max="1" width="38.125" style="5" customWidth="1"/>
    <col min="2" max="2" width="12.75" style="5" customWidth="1"/>
    <col min="3" max="3" width="12.625" style="5" customWidth="1"/>
    <col min="4" max="24" width="12.25" style="5" customWidth="1"/>
    <col min="25" max="16384" width="12.25" style="5"/>
  </cols>
  <sheetData>
    <row r="1" spans="1:23" ht="22"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 customHeight="1" x14ac:dyDescent="0.2">
      <c r="A2" s="9" t="s">
        <v>17</v>
      </c>
      <c r="B2" s="100">
        <f>B32</f>
        <v>195.95999999999992</v>
      </c>
      <c r="C2" s="11"/>
      <c r="D2" s="11"/>
      <c r="E2" s="11"/>
      <c r="F2" s="11"/>
      <c r="G2" s="11"/>
      <c r="H2" s="11"/>
      <c r="I2" s="11"/>
      <c r="J2" s="11"/>
      <c r="K2" s="11"/>
      <c r="L2" s="11"/>
      <c r="M2" s="11"/>
      <c r="N2" s="11"/>
      <c r="O2" s="11"/>
      <c r="P2" s="11"/>
      <c r="Q2" s="11"/>
      <c r="R2" s="11"/>
      <c r="S2" s="11"/>
      <c r="T2" s="11"/>
      <c r="U2" s="11"/>
      <c r="V2" s="11"/>
      <c r="W2" s="11"/>
    </row>
    <row r="3" spans="1:23" ht="22" customHeight="1" x14ac:dyDescent="0.2">
      <c r="A3" s="9" t="s">
        <v>19</v>
      </c>
      <c r="B3" s="100">
        <f>B35</f>
        <v>1381.3799999999999</v>
      </c>
      <c r="C3" s="11"/>
      <c r="D3" s="11"/>
      <c r="E3" s="11"/>
      <c r="F3" s="11"/>
      <c r="G3" s="11"/>
      <c r="H3" s="11"/>
      <c r="I3" s="11"/>
      <c r="J3" s="11"/>
      <c r="K3" s="11"/>
      <c r="L3" s="11"/>
      <c r="M3" s="11"/>
      <c r="N3" s="11"/>
      <c r="O3" s="11"/>
      <c r="P3" s="11"/>
      <c r="Q3" s="11"/>
      <c r="R3" s="11"/>
      <c r="S3" s="11"/>
      <c r="T3" s="11"/>
      <c r="U3" s="11"/>
      <c r="V3" s="11"/>
      <c r="W3" s="11"/>
    </row>
    <row r="4" spans="1:23" ht="22" customHeight="1" x14ac:dyDescent="0.2">
      <c r="A4" s="9" t="s">
        <v>60</v>
      </c>
      <c r="B4" s="100">
        <v>312.54000000000002</v>
      </c>
      <c r="C4" s="11"/>
      <c r="D4" s="11"/>
      <c r="E4" s="11"/>
      <c r="F4" s="11"/>
      <c r="G4" s="11"/>
      <c r="H4" s="11"/>
      <c r="I4" s="11"/>
      <c r="J4" s="11"/>
      <c r="K4" s="11"/>
      <c r="L4" s="11"/>
      <c r="M4" s="11"/>
      <c r="N4" s="11"/>
      <c r="O4" s="11"/>
      <c r="P4" s="11"/>
      <c r="Q4" s="11"/>
      <c r="R4" s="11"/>
      <c r="S4" s="11"/>
      <c r="T4" s="11"/>
      <c r="U4" s="11"/>
      <c r="V4" s="11"/>
      <c r="W4" s="11"/>
    </row>
    <row r="5" spans="1:23" ht="22" customHeight="1" x14ac:dyDescent="0.2">
      <c r="A5" s="12" t="s">
        <v>61</v>
      </c>
      <c r="B5" s="101">
        <v>202.99</v>
      </c>
      <c r="C5" s="11"/>
      <c r="D5" s="11"/>
      <c r="E5" s="11"/>
      <c r="F5" s="11"/>
      <c r="G5" s="11"/>
      <c r="H5" s="11"/>
      <c r="I5" s="11"/>
      <c r="J5" s="11"/>
      <c r="K5" s="11"/>
      <c r="L5" s="11"/>
      <c r="M5" s="11"/>
      <c r="N5" s="11"/>
      <c r="O5" s="11"/>
      <c r="P5" s="11"/>
      <c r="Q5" s="11"/>
      <c r="R5" s="11"/>
      <c r="S5" s="11"/>
      <c r="T5" s="11"/>
      <c r="U5" s="11"/>
      <c r="V5" s="11"/>
      <c r="W5" s="11"/>
    </row>
    <row r="6" spans="1:23" ht="22" customHeight="1" x14ac:dyDescent="0.2">
      <c r="A6" s="14" t="s">
        <v>21</v>
      </c>
      <c r="B6" s="102">
        <f>SUM(B2:B5)</f>
        <v>2092.87</v>
      </c>
      <c r="C6" s="22" t="s">
        <v>18</v>
      </c>
      <c r="D6" s="11"/>
      <c r="E6" s="11"/>
      <c r="F6" s="11"/>
      <c r="G6" s="11"/>
      <c r="H6" s="11"/>
      <c r="I6" s="11"/>
      <c r="J6" s="11"/>
      <c r="K6" s="11"/>
      <c r="L6" s="11"/>
      <c r="M6" s="11"/>
      <c r="N6" s="11"/>
      <c r="O6" s="11"/>
      <c r="P6" s="11"/>
      <c r="Q6" s="11"/>
      <c r="R6" s="11"/>
      <c r="S6" s="11"/>
      <c r="T6" s="11"/>
      <c r="U6" s="11"/>
      <c r="V6" s="11"/>
      <c r="W6" s="11"/>
    </row>
    <row r="7" spans="1:23" ht="22" customHeight="1" x14ac:dyDescent="0.2">
      <c r="A7" s="17"/>
      <c r="B7" s="18"/>
      <c r="C7" s="11"/>
      <c r="D7" s="11"/>
      <c r="E7" s="11"/>
      <c r="F7" s="11"/>
      <c r="G7" s="11"/>
      <c r="H7" s="11"/>
      <c r="I7" s="11"/>
      <c r="J7" s="11"/>
      <c r="K7" s="11"/>
      <c r="L7" s="11"/>
      <c r="M7" s="11"/>
      <c r="N7" s="11"/>
      <c r="O7" s="11"/>
      <c r="P7" s="11"/>
      <c r="Q7" s="11"/>
      <c r="R7" s="11"/>
      <c r="S7" s="11"/>
      <c r="T7" s="11"/>
      <c r="U7" s="11"/>
      <c r="V7" s="11"/>
      <c r="W7" s="11"/>
    </row>
    <row r="8" spans="1:23" ht="22" customHeight="1" x14ac:dyDescent="0.2">
      <c r="A8" s="11"/>
      <c r="B8" s="10"/>
      <c r="C8" s="11"/>
      <c r="D8" s="11"/>
      <c r="E8" s="11"/>
      <c r="F8" s="11"/>
      <c r="G8" s="11"/>
      <c r="H8" s="11"/>
      <c r="I8" s="11"/>
      <c r="J8" s="11"/>
      <c r="K8" s="11"/>
      <c r="L8" s="11"/>
      <c r="M8" s="11"/>
      <c r="N8" s="11"/>
      <c r="O8" s="11"/>
      <c r="P8" s="11"/>
      <c r="Q8" s="11"/>
      <c r="R8" s="11"/>
      <c r="S8" s="11"/>
      <c r="T8" s="11"/>
      <c r="U8" s="11"/>
      <c r="V8" s="11"/>
      <c r="W8" s="11"/>
    </row>
    <row r="9" spans="1:23" ht="22" customHeight="1" x14ac:dyDescent="0.25">
      <c r="A9" s="19" t="s">
        <v>25</v>
      </c>
      <c r="B9" s="10"/>
      <c r="C9" s="11"/>
      <c r="D9" s="11"/>
      <c r="E9" s="11"/>
      <c r="F9" s="11"/>
      <c r="G9" s="11"/>
      <c r="H9" s="11"/>
      <c r="I9" s="11"/>
      <c r="J9" s="11"/>
      <c r="K9" s="11"/>
      <c r="L9" s="11"/>
      <c r="M9" s="11"/>
      <c r="N9" s="11"/>
      <c r="O9" s="11"/>
      <c r="P9" s="11"/>
      <c r="Q9" s="11"/>
      <c r="R9" s="11"/>
      <c r="S9" s="11"/>
      <c r="T9" s="11"/>
      <c r="U9" s="11"/>
      <c r="V9" s="11"/>
      <c r="W9" s="11"/>
    </row>
    <row r="10" spans="1:23" ht="22" customHeight="1" x14ac:dyDescent="0.2">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row>
    <row r="11" spans="1:23" ht="22" customHeight="1" x14ac:dyDescent="0.2">
      <c r="A11" s="9" t="s">
        <v>30</v>
      </c>
      <c r="B11" s="100">
        <f>B45</f>
        <v>66.858000000000004</v>
      </c>
      <c r="C11" s="9" t="s">
        <v>29</v>
      </c>
      <c r="D11" s="11"/>
      <c r="E11" s="11"/>
      <c r="F11" s="11"/>
      <c r="G11" s="11"/>
      <c r="H11" s="11"/>
      <c r="I11" s="11"/>
      <c r="J11" s="11"/>
      <c r="K11" s="11"/>
      <c r="L11" s="11"/>
      <c r="M11" s="11"/>
      <c r="N11" s="11"/>
      <c r="O11" s="11"/>
      <c r="P11" s="11"/>
      <c r="Q11" s="11"/>
      <c r="R11" s="11"/>
      <c r="S11" s="11"/>
      <c r="T11" s="11"/>
      <c r="U11" s="11"/>
      <c r="V11" s="11"/>
      <c r="W11" s="11"/>
    </row>
    <row r="12" spans="1:23" ht="22" customHeight="1" x14ac:dyDescent="0.2">
      <c r="A12" s="9" t="s">
        <v>31</v>
      </c>
      <c r="B12" s="100">
        <f>B50</f>
        <v>38.4</v>
      </c>
      <c r="C12" s="9" t="s">
        <v>62</v>
      </c>
      <c r="D12" s="11"/>
      <c r="E12" s="11"/>
      <c r="F12" s="11"/>
      <c r="G12" s="11"/>
      <c r="H12" s="11"/>
      <c r="I12" s="11"/>
      <c r="J12" s="11"/>
      <c r="K12" s="11"/>
      <c r="L12" s="11"/>
      <c r="M12" s="11"/>
      <c r="N12" s="11"/>
      <c r="O12" s="11"/>
      <c r="P12" s="11"/>
      <c r="Q12" s="11"/>
      <c r="R12" s="11"/>
      <c r="S12" s="11"/>
      <c r="T12" s="11"/>
      <c r="U12" s="11"/>
      <c r="V12" s="11"/>
      <c r="W12" s="11"/>
    </row>
    <row r="13" spans="1:23" ht="22" customHeight="1" x14ac:dyDescent="0.2">
      <c r="A13" s="9" t="s">
        <v>118</v>
      </c>
      <c r="B13" s="103">
        <f>B54</f>
        <v>63.200000000000024</v>
      </c>
      <c r="C13" s="9" t="s">
        <v>29</v>
      </c>
      <c r="D13" s="11"/>
      <c r="E13" s="100"/>
      <c r="F13" s="11"/>
      <c r="G13" s="11"/>
      <c r="H13" s="11"/>
      <c r="I13" s="11"/>
      <c r="J13" s="11"/>
      <c r="K13" s="11"/>
      <c r="L13" s="11"/>
      <c r="M13" s="11"/>
      <c r="N13" s="11"/>
      <c r="O13" s="11"/>
      <c r="P13" s="11"/>
      <c r="Q13" s="11"/>
      <c r="R13" s="11"/>
      <c r="S13" s="11"/>
      <c r="T13" s="11"/>
      <c r="U13" s="11"/>
      <c r="V13" s="11"/>
      <c r="W13" s="11"/>
    </row>
    <row r="14" spans="1:23" ht="22" customHeight="1" x14ac:dyDescent="0.2">
      <c r="A14" s="9" t="s">
        <v>119</v>
      </c>
      <c r="B14" s="100">
        <f>B61</f>
        <v>193.73</v>
      </c>
      <c r="C14" s="9" t="s">
        <v>33</v>
      </c>
      <c r="D14" s="11"/>
      <c r="E14" s="100"/>
      <c r="F14" s="11"/>
      <c r="G14" s="11"/>
      <c r="H14" s="11"/>
      <c r="I14" s="11"/>
      <c r="J14" s="11"/>
      <c r="K14" s="11"/>
      <c r="L14" s="11"/>
      <c r="M14" s="11"/>
      <c r="N14" s="11"/>
      <c r="O14" s="11"/>
      <c r="P14" s="11"/>
      <c r="Q14" s="11"/>
      <c r="R14" s="11"/>
      <c r="S14" s="11"/>
      <c r="T14" s="11"/>
      <c r="U14" s="11"/>
      <c r="V14" s="11"/>
      <c r="W14" s="11"/>
    </row>
    <row r="15" spans="1:23" ht="22" customHeight="1" x14ac:dyDescent="0.2">
      <c r="A15" s="9" t="s">
        <v>120</v>
      </c>
      <c r="B15" s="100">
        <f>B70</f>
        <v>45.09</v>
      </c>
      <c r="C15" s="9" t="s">
        <v>33</v>
      </c>
      <c r="D15" s="11"/>
      <c r="E15" s="11"/>
      <c r="F15" s="11"/>
      <c r="G15" s="11"/>
      <c r="H15" s="11"/>
      <c r="I15" s="11"/>
      <c r="J15" s="11"/>
      <c r="K15" s="11"/>
      <c r="L15" s="11"/>
      <c r="M15" s="11"/>
      <c r="N15" s="11"/>
      <c r="O15" s="11"/>
      <c r="P15" s="11"/>
      <c r="Q15" s="11"/>
      <c r="R15" s="11"/>
      <c r="S15" s="11"/>
      <c r="T15" s="11"/>
      <c r="U15" s="11"/>
      <c r="V15" s="11"/>
      <c r="W15" s="11"/>
    </row>
    <row r="16" spans="1:23" ht="22" customHeight="1" x14ac:dyDescent="0.2">
      <c r="A16" s="12" t="s">
        <v>121</v>
      </c>
      <c r="B16" s="101">
        <f>B80</f>
        <v>63.92</v>
      </c>
      <c r="C16" s="9" t="s">
        <v>33</v>
      </c>
      <c r="D16" s="11"/>
      <c r="E16" s="11"/>
      <c r="F16" s="11"/>
      <c r="G16" s="11"/>
      <c r="H16" s="11"/>
      <c r="I16" s="11"/>
      <c r="J16" s="11"/>
      <c r="K16" s="11"/>
      <c r="L16" s="11"/>
      <c r="M16" s="11"/>
      <c r="N16" s="11"/>
      <c r="O16" s="11"/>
      <c r="P16" s="11"/>
      <c r="Q16" s="11"/>
      <c r="R16" s="11"/>
      <c r="S16" s="11"/>
      <c r="T16" s="11"/>
      <c r="U16" s="11"/>
      <c r="V16" s="11"/>
      <c r="W16" s="11"/>
    </row>
    <row r="17" spans="1:23" ht="22" customHeight="1" x14ac:dyDescent="0.2">
      <c r="A17" s="14" t="s">
        <v>21</v>
      </c>
      <c r="B17" s="102">
        <f>SUM(B10:B16)</f>
        <v>720.678</v>
      </c>
      <c r="C17" s="16"/>
      <c r="D17" s="11"/>
      <c r="E17" s="11"/>
      <c r="F17" s="11"/>
      <c r="G17" s="11"/>
      <c r="H17" s="11"/>
      <c r="I17" s="11"/>
      <c r="J17" s="11"/>
      <c r="K17" s="11"/>
      <c r="L17" s="11"/>
      <c r="M17" s="11"/>
      <c r="N17" s="11"/>
      <c r="O17" s="11"/>
      <c r="P17" s="11"/>
      <c r="Q17" s="11"/>
      <c r="R17" s="11"/>
      <c r="S17" s="11"/>
      <c r="T17" s="11"/>
      <c r="U17" s="11"/>
      <c r="V17" s="11"/>
      <c r="W17" s="11"/>
    </row>
    <row r="18" spans="1:23" ht="22" customHeight="1" x14ac:dyDescent="0.2">
      <c r="A18" s="17"/>
      <c r="B18" s="17"/>
      <c r="C18" s="11"/>
      <c r="D18" s="11"/>
      <c r="E18" s="11"/>
      <c r="F18" s="11"/>
      <c r="G18" s="11"/>
      <c r="H18" s="11"/>
      <c r="I18" s="11"/>
      <c r="J18" s="11"/>
      <c r="K18" s="11"/>
      <c r="L18" s="11"/>
      <c r="M18" s="11"/>
      <c r="N18" s="11"/>
      <c r="O18" s="11"/>
      <c r="P18" s="11"/>
      <c r="Q18" s="11"/>
      <c r="R18" s="11"/>
      <c r="S18" s="11"/>
      <c r="T18" s="11"/>
      <c r="U18" s="11"/>
      <c r="V18" s="11"/>
      <c r="W18" s="11"/>
    </row>
    <row r="19" spans="1:23" ht="22" customHeight="1" x14ac:dyDescent="0.25">
      <c r="A19" s="104" t="s">
        <v>122</v>
      </c>
      <c r="B19" s="105"/>
      <c r="C19" s="11"/>
      <c r="D19" s="11"/>
      <c r="E19" s="11"/>
      <c r="F19" s="11"/>
      <c r="G19" s="11"/>
      <c r="H19" s="11"/>
      <c r="I19" s="11"/>
      <c r="J19" s="11"/>
      <c r="K19" s="11"/>
      <c r="L19" s="11"/>
      <c r="M19" s="11"/>
      <c r="N19" s="11"/>
      <c r="O19" s="11"/>
      <c r="P19" s="11"/>
      <c r="Q19" s="11"/>
      <c r="R19" s="11"/>
      <c r="S19" s="11"/>
      <c r="T19" s="11"/>
      <c r="U19" s="11"/>
      <c r="V19" s="11"/>
      <c r="W19" s="11"/>
    </row>
    <row r="20" spans="1:23" ht="22" customHeight="1" x14ac:dyDescent="0.2">
      <c r="A20" s="14" t="s">
        <v>21</v>
      </c>
      <c r="B20" s="106">
        <f>B105</f>
        <v>3826.59</v>
      </c>
      <c r="C20" s="22" t="s">
        <v>123</v>
      </c>
      <c r="D20" s="11"/>
      <c r="E20" s="11"/>
      <c r="F20" s="11"/>
      <c r="G20" s="11"/>
      <c r="H20" s="11"/>
      <c r="I20" s="11"/>
      <c r="J20" s="11"/>
      <c r="K20" s="11"/>
      <c r="L20" s="11"/>
      <c r="M20" s="11"/>
      <c r="N20" s="11"/>
      <c r="O20" s="11"/>
      <c r="P20" s="11"/>
      <c r="Q20" s="11"/>
      <c r="R20" s="11"/>
      <c r="S20" s="11"/>
      <c r="T20" s="11"/>
      <c r="U20" s="11"/>
      <c r="V20" s="11"/>
      <c r="W20" s="11"/>
    </row>
    <row r="21" spans="1:23" ht="22" customHeight="1" x14ac:dyDescent="0.2">
      <c r="A21" s="23"/>
      <c r="B21" s="107"/>
      <c r="C21" s="11"/>
      <c r="D21" s="11"/>
      <c r="E21" s="11"/>
      <c r="F21" s="11"/>
      <c r="G21" s="11"/>
      <c r="H21" s="11"/>
      <c r="I21" s="11"/>
      <c r="J21" s="11"/>
      <c r="K21" s="11"/>
      <c r="L21" s="11"/>
      <c r="M21" s="11"/>
      <c r="N21" s="11"/>
      <c r="O21" s="11"/>
      <c r="P21" s="11"/>
      <c r="Q21" s="11"/>
      <c r="R21" s="11"/>
      <c r="S21" s="11"/>
      <c r="T21" s="11"/>
      <c r="U21" s="11"/>
      <c r="V21" s="11"/>
      <c r="W21" s="11"/>
    </row>
    <row r="22" spans="1:23" ht="22" customHeight="1" x14ac:dyDescent="0.2">
      <c r="A22" s="14" t="s">
        <v>66</v>
      </c>
      <c r="B22" s="21">
        <v>3085.52</v>
      </c>
      <c r="C22" s="22" t="s">
        <v>67</v>
      </c>
      <c r="D22" s="11"/>
      <c r="E22" s="11"/>
      <c r="F22" s="11"/>
      <c r="G22" s="11"/>
      <c r="H22" s="11"/>
      <c r="I22" s="11"/>
      <c r="J22" s="11"/>
      <c r="K22" s="11"/>
      <c r="L22" s="11"/>
      <c r="M22" s="11"/>
      <c r="N22" s="11"/>
      <c r="O22" s="11"/>
      <c r="P22" s="11"/>
      <c r="Q22" s="11"/>
      <c r="R22" s="11"/>
      <c r="S22" s="11"/>
      <c r="T22" s="11"/>
      <c r="U22" s="11"/>
      <c r="V22" s="11"/>
      <c r="W22" s="11"/>
    </row>
    <row r="23" spans="1:23" ht="22" customHeight="1" x14ac:dyDescent="0.2">
      <c r="A23" s="17"/>
      <c r="B23" s="108"/>
      <c r="C23" s="11"/>
      <c r="D23" s="11"/>
      <c r="E23" s="11"/>
      <c r="F23" s="11"/>
      <c r="G23" s="11"/>
      <c r="H23" s="11"/>
      <c r="I23" s="11"/>
      <c r="J23" s="11"/>
      <c r="K23" s="11"/>
      <c r="L23" s="11"/>
      <c r="M23" s="11"/>
      <c r="N23" s="11"/>
      <c r="O23" s="11"/>
      <c r="P23" s="11"/>
      <c r="Q23" s="11"/>
      <c r="R23" s="11"/>
      <c r="S23" s="11"/>
      <c r="T23" s="11"/>
      <c r="U23" s="11"/>
      <c r="V23" s="11"/>
      <c r="W23" s="11"/>
    </row>
    <row r="24" spans="1:23" ht="22" customHeight="1" x14ac:dyDescent="0.25">
      <c r="A24" s="19" t="s">
        <v>34</v>
      </c>
      <c r="B24" s="101"/>
      <c r="C24" s="11"/>
      <c r="D24" s="11"/>
      <c r="E24" s="11"/>
      <c r="F24" s="11"/>
      <c r="G24" s="11"/>
      <c r="H24" s="11"/>
      <c r="I24" s="11"/>
      <c r="J24" s="11"/>
      <c r="K24" s="11"/>
      <c r="L24" s="11"/>
      <c r="M24" s="11"/>
      <c r="N24" s="11"/>
      <c r="O24" s="11"/>
      <c r="P24" s="11"/>
      <c r="Q24" s="11"/>
      <c r="R24" s="11"/>
      <c r="S24" s="11"/>
      <c r="T24" s="11"/>
      <c r="U24" s="11"/>
      <c r="V24" s="11"/>
      <c r="W24" s="11"/>
    </row>
    <row r="25" spans="1:23" ht="22" customHeight="1" x14ac:dyDescent="0.2">
      <c r="A25" s="25" t="s">
        <v>35</v>
      </c>
      <c r="B25" s="109">
        <v>900</v>
      </c>
      <c r="C25" s="16"/>
      <c r="D25" s="11"/>
      <c r="E25" s="11"/>
      <c r="F25" s="11"/>
      <c r="G25" s="11"/>
      <c r="H25" s="11"/>
      <c r="I25" s="11"/>
      <c r="J25" s="11"/>
      <c r="K25" s="11"/>
      <c r="L25" s="11"/>
      <c r="M25" s="11"/>
      <c r="N25" s="11"/>
      <c r="O25" s="11"/>
      <c r="P25" s="11"/>
      <c r="Q25" s="11"/>
      <c r="R25" s="11"/>
      <c r="S25" s="11"/>
      <c r="T25" s="11"/>
      <c r="U25" s="11"/>
      <c r="V25" s="11"/>
      <c r="W25" s="11"/>
    </row>
    <row r="26" spans="1:23" ht="22" customHeight="1" x14ac:dyDescent="0.2">
      <c r="A26" s="25" t="s">
        <v>36</v>
      </c>
      <c r="B26" s="109">
        <v>39.479999999999997</v>
      </c>
      <c r="C26" s="16"/>
      <c r="D26" s="11"/>
      <c r="E26" s="11"/>
      <c r="F26" s="11"/>
      <c r="G26" s="11"/>
      <c r="H26" s="11"/>
      <c r="I26" s="11"/>
      <c r="J26" s="11"/>
      <c r="K26" s="11"/>
      <c r="L26" s="11"/>
      <c r="M26" s="11"/>
      <c r="N26" s="11"/>
      <c r="O26" s="11"/>
      <c r="P26" s="11"/>
      <c r="Q26" s="11"/>
      <c r="R26" s="11"/>
      <c r="S26" s="11"/>
      <c r="T26" s="11"/>
      <c r="U26" s="11"/>
      <c r="V26" s="11"/>
      <c r="W26" s="11"/>
    </row>
    <row r="27" spans="1:23" ht="22" customHeight="1" x14ac:dyDescent="0.2">
      <c r="A27" s="11"/>
      <c r="B27" s="17"/>
      <c r="C27" s="11"/>
      <c r="D27" s="11"/>
      <c r="E27" s="11"/>
      <c r="F27" s="11"/>
      <c r="G27" s="11"/>
      <c r="H27" s="11"/>
      <c r="I27" s="11"/>
      <c r="J27" s="11"/>
      <c r="K27" s="11"/>
      <c r="L27" s="11"/>
      <c r="M27" s="11"/>
      <c r="N27" s="11"/>
      <c r="O27" s="11"/>
      <c r="P27" s="11"/>
      <c r="Q27" s="11"/>
      <c r="R27" s="11"/>
      <c r="S27" s="11"/>
      <c r="T27" s="11"/>
      <c r="U27" s="11"/>
      <c r="V27" s="11"/>
      <c r="W27" s="11"/>
    </row>
    <row r="28" spans="1:23" ht="22" customHeight="1" x14ac:dyDescent="0.2">
      <c r="A28" s="11"/>
      <c r="B28" s="10"/>
      <c r="C28" s="11"/>
      <c r="D28" s="11"/>
      <c r="E28" s="11"/>
      <c r="F28" s="11"/>
      <c r="G28" s="11"/>
      <c r="H28" s="11"/>
      <c r="I28" s="11"/>
      <c r="J28" s="11"/>
      <c r="K28" s="11"/>
      <c r="L28" s="11"/>
      <c r="M28" s="11"/>
      <c r="N28" s="11"/>
      <c r="O28" s="11"/>
      <c r="P28" s="11"/>
      <c r="Q28" s="11"/>
      <c r="R28" s="11"/>
      <c r="S28" s="11"/>
      <c r="T28" s="11"/>
      <c r="U28" s="11"/>
      <c r="V28" s="11"/>
      <c r="W28" s="11"/>
    </row>
    <row r="29" spans="1:23" ht="22" customHeight="1" x14ac:dyDescent="0.25">
      <c r="A29" s="19" t="s">
        <v>37</v>
      </c>
      <c r="B29" s="10"/>
      <c r="C29" s="11"/>
      <c r="D29" s="11"/>
      <c r="E29" s="11"/>
      <c r="F29" s="11"/>
      <c r="G29" s="11"/>
      <c r="H29" s="11"/>
      <c r="I29" s="11"/>
      <c r="J29" s="11"/>
      <c r="K29" s="11"/>
      <c r="L29" s="11"/>
      <c r="M29" s="11"/>
      <c r="N29" s="11"/>
      <c r="O29" s="11"/>
      <c r="P29" s="11"/>
      <c r="Q29" s="11"/>
      <c r="R29" s="11"/>
      <c r="S29" s="11"/>
      <c r="T29" s="11"/>
      <c r="U29" s="11"/>
      <c r="V29" s="11"/>
      <c r="W29" s="11"/>
    </row>
    <row r="30" spans="1:23" ht="22"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row>
    <row r="31" spans="1:23" ht="22" customHeight="1" x14ac:dyDescent="0.2">
      <c r="A31" s="9" t="s">
        <v>17</v>
      </c>
      <c r="B31" s="110">
        <v>16.329999999999998</v>
      </c>
      <c r="C31" s="100">
        <v>16.329999999999998</v>
      </c>
      <c r="D31" s="100">
        <v>16.329999999999998</v>
      </c>
      <c r="E31" s="100">
        <v>16.329999999999998</v>
      </c>
      <c r="F31" s="100">
        <v>16.329999999999998</v>
      </c>
      <c r="G31" s="100">
        <v>16.329999999999998</v>
      </c>
      <c r="H31" s="100">
        <v>16.329999999999998</v>
      </c>
      <c r="I31" s="100">
        <v>16.329999999999998</v>
      </c>
      <c r="J31" s="100">
        <v>16.329999999999998</v>
      </c>
      <c r="K31" s="100">
        <v>16.329999999999998</v>
      </c>
      <c r="L31" s="100">
        <v>16.329999999999998</v>
      </c>
      <c r="M31" s="100">
        <v>16.329999999999998</v>
      </c>
      <c r="N31" s="11"/>
      <c r="O31" s="11"/>
      <c r="P31" s="11"/>
      <c r="Q31" s="11"/>
      <c r="R31" s="11"/>
      <c r="S31" s="11"/>
      <c r="T31" s="11"/>
      <c r="U31" s="11"/>
      <c r="V31" s="11"/>
      <c r="W31" s="11"/>
    </row>
    <row r="32" spans="1:23" ht="22" customHeight="1" x14ac:dyDescent="0.2">
      <c r="A32" s="28" t="s">
        <v>59</v>
      </c>
      <c r="B32" s="111">
        <f>SUM(B31:M31)</f>
        <v>195.95999999999992</v>
      </c>
      <c r="C32" s="112"/>
      <c r="D32" s="100"/>
      <c r="E32" s="100"/>
      <c r="F32" s="100"/>
      <c r="G32" s="100"/>
      <c r="H32" s="100"/>
      <c r="I32" s="100"/>
      <c r="J32" s="100"/>
      <c r="K32" s="100"/>
      <c r="L32" s="100"/>
      <c r="M32" s="100"/>
      <c r="N32" s="11"/>
      <c r="O32" s="11"/>
      <c r="P32" s="11"/>
      <c r="Q32" s="11"/>
      <c r="R32" s="11"/>
      <c r="S32" s="11"/>
      <c r="T32" s="11"/>
      <c r="U32" s="11"/>
      <c r="V32" s="11"/>
      <c r="W32" s="11"/>
    </row>
    <row r="33" spans="1:23" ht="22"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row>
    <row r="34" spans="1:23" ht="22" customHeight="1" x14ac:dyDescent="0.2">
      <c r="A34" s="9" t="s">
        <v>19</v>
      </c>
      <c r="B34" s="110">
        <v>112.49</v>
      </c>
      <c r="C34" s="100">
        <v>112.49</v>
      </c>
      <c r="D34" s="100">
        <v>112.49</v>
      </c>
      <c r="E34" s="100">
        <v>112.49</v>
      </c>
      <c r="F34" s="100">
        <v>112.49</v>
      </c>
      <c r="G34" s="100">
        <v>116.99</v>
      </c>
      <c r="H34" s="100">
        <v>116.99</v>
      </c>
      <c r="I34" s="100">
        <v>116.99</v>
      </c>
      <c r="J34" s="100">
        <v>116.99</v>
      </c>
      <c r="K34" s="100">
        <v>116.99</v>
      </c>
      <c r="L34" s="100">
        <v>116.99</v>
      </c>
      <c r="M34" s="100">
        <v>116.99</v>
      </c>
      <c r="N34" s="11"/>
      <c r="O34" s="11"/>
      <c r="P34" s="11"/>
      <c r="Q34" s="11"/>
      <c r="R34" s="11"/>
      <c r="S34" s="11"/>
      <c r="T34" s="11"/>
      <c r="U34" s="11"/>
      <c r="V34" s="11"/>
      <c r="W34" s="11"/>
    </row>
    <row r="35" spans="1:23" ht="22" customHeight="1" x14ac:dyDescent="0.2">
      <c r="A35" s="28" t="s">
        <v>59</v>
      </c>
      <c r="B35" s="111">
        <f>SUM(B34:M34)</f>
        <v>1381.3799999999999</v>
      </c>
      <c r="C35" s="112"/>
      <c r="D35" s="100"/>
      <c r="E35" s="100"/>
      <c r="F35" s="100"/>
      <c r="G35" s="100"/>
      <c r="H35" s="100"/>
      <c r="I35" s="100"/>
      <c r="J35" s="100"/>
      <c r="K35" s="100"/>
      <c r="L35" s="100"/>
      <c r="M35" s="100"/>
      <c r="N35" s="11"/>
      <c r="O35" s="11"/>
      <c r="P35" s="11"/>
      <c r="Q35" s="11"/>
      <c r="R35" s="11"/>
      <c r="S35" s="11"/>
      <c r="T35" s="11"/>
      <c r="U35" s="11"/>
      <c r="V35" s="11"/>
      <c r="W35" s="11"/>
    </row>
    <row r="36" spans="1:23" ht="22" customHeight="1" x14ac:dyDescent="0.2">
      <c r="A36" s="11"/>
      <c r="B36" s="32"/>
      <c r="C36" s="10"/>
      <c r="D36" s="10"/>
      <c r="E36" s="10"/>
      <c r="F36" s="10"/>
      <c r="G36" s="10"/>
      <c r="H36" s="10"/>
      <c r="I36" s="10"/>
      <c r="J36" s="10"/>
      <c r="K36" s="10"/>
      <c r="L36" s="10"/>
      <c r="M36" s="10"/>
      <c r="N36" s="11"/>
      <c r="O36" s="11"/>
      <c r="P36" s="11"/>
      <c r="Q36" s="11"/>
      <c r="R36" s="11"/>
      <c r="S36" s="11"/>
      <c r="T36" s="11"/>
      <c r="U36" s="11"/>
      <c r="V36" s="11"/>
      <c r="W36" s="11"/>
    </row>
    <row r="37" spans="1:23" ht="22" customHeight="1" x14ac:dyDescent="0.2">
      <c r="A37" s="9" t="s">
        <v>124</v>
      </c>
      <c r="B37" s="20">
        <f>11*41.15+41.65</f>
        <v>494.29999999999995</v>
      </c>
      <c r="C37" s="11"/>
      <c r="D37" s="11"/>
      <c r="E37" s="11"/>
      <c r="F37" s="11"/>
      <c r="G37" s="11"/>
      <c r="H37" s="11"/>
      <c r="I37" s="11"/>
      <c r="J37" s="11"/>
      <c r="K37" s="11"/>
      <c r="L37" s="11"/>
      <c r="M37" s="11"/>
      <c r="N37" s="11"/>
      <c r="O37" s="11"/>
      <c r="P37" s="11"/>
      <c r="Q37" s="11"/>
      <c r="R37" s="11"/>
      <c r="S37" s="11"/>
      <c r="T37" s="11"/>
      <c r="U37" s="11"/>
      <c r="V37" s="11"/>
      <c r="W37" s="11"/>
    </row>
    <row r="38" spans="1:23" ht="22" customHeight="1" x14ac:dyDescent="0.2">
      <c r="A38" s="9" t="s">
        <v>125</v>
      </c>
      <c r="B38" s="100">
        <v>34.65</v>
      </c>
      <c r="C38" s="11"/>
      <c r="D38" s="11"/>
      <c r="E38" s="11"/>
      <c r="F38" s="11"/>
      <c r="G38" s="11"/>
      <c r="H38" s="11"/>
      <c r="I38" s="11"/>
      <c r="J38" s="11"/>
      <c r="K38" s="11"/>
      <c r="L38" s="11"/>
      <c r="M38" s="11"/>
      <c r="N38" s="11"/>
      <c r="O38" s="11"/>
      <c r="P38" s="11"/>
      <c r="Q38" s="11"/>
      <c r="R38" s="11"/>
      <c r="S38" s="11"/>
      <c r="T38" s="11"/>
      <c r="U38" s="11"/>
      <c r="V38" s="11"/>
      <c r="W38" s="11"/>
    </row>
    <row r="39" spans="1:23" ht="22" customHeight="1" x14ac:dyDescent="0.2">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row>
    <row r="40" spans="1:23" ht="22" customHeight="1" x14ac:dyDescent="0.2">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row>
    <row r="41" spans="1:23" ht="22" customHeight="1" x14ac:dyDescent="0.2">
      <c r="A41" s="11"/>
      <c r="B41" s="113"/>
      <c r="C41" s="11"/>
      <c r="D41" s="11"/>
      <c r="E41" s="11"/>
      <c r="F41" s="11"/>
      <c r="G41" s="11"/>
      <c r="H41" s="11"/>
      <c r="I41" s="11"/>
      <c r="J41" s="11"/>
      <c r="K41" s="11"/>
      <c r="L41" s="11"/>
      <c r="M41" s="11"/>
      <c r="N41" s="11"/>
      <c r="O41" s="11"/>
      <c r="P41" s="11"/>
      <c r="Q41" s="11"/>
      <c r="R41" s="11"/>
      <c r="S41" s="11"/>
      <c r="T41" s="11"/>
      <c r="U41" s="11"/>
      <c r="V41" s="11"/>
      <c r="W41" s="11"/>
    </row>
    <row r="42" spans="1:23" ht="22"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row>
    <row r="43" spans="1:23" ht="22" customHeight="1" x14ac:dyDescent="0.2">
      <c r="A43" s="9" t="s">
        <v>126</v>
      </c>
      <c r="B43" s="100">
        <v>12.5</v>
      </c>
      <c r="C43" s="100">
        <v>12.7</v>
      </c>
      <c r="D43" s="100">
        <v>12.7</v>
      </c>
      <c r="E43" s="100">
        <v>12.5</v>
      </c>
      <c r="F43" s="100">
        <v>5.53</v>
      </c>
      <c r="G43" s="100">
        <v>7.9</v>
      </c>
      <c r="H43" s="100">
        <v>7.9</v>
      </c>
      <c r="I43" s="100">
        <v>8.1</v>
      </c>
      <c r="J43" s="100">
        <v>7.9</v>
      </c>
      <c r="K43" s="100">
        <v>7.9</v>
      </c>
      <c r="L43" s="100">
        <v>7.9</v>
      </c>
      <c r="M43" s="100">
        <v>7.9</v>
      </c>
      <c r="N43" s="11"/>
      <c r="O43" s="11"/>
      <c r="P43" s="11"/>
      <c r="Q43" s="11"/>
      <c r="R43" s="11"/>
      <c r="S43" s="11"/>
      <c r="T43" s="11"/>
      <c r="U43" s="11"/>
      <c r="V43" s="11"/>
      <c r="W43" s="11"/>
    </row>
    <row r="44" spans="1:23" ht="22" customHeight="1" x14ac:dyDescent="0.2">
      <c r="A44" s="9" t="s">
        <v>59</v>
      </c>
      <c r="B44" s="110">
        <f>SUM(B43:M43)</f>
        <v>111.43000000000002</v>
      </c>
      <c r="C44" s="100"/>
      <c r="D44" s="100"/>
      <c r="E44" s="100"/>
      <c r="F44" s="100"/>
      <c r="G44" s="100"/>
      <c r="H44" s="100"/>
      <c r="I44" s="100"/>
      <c r="J44" s="100"/>
      <c r="K44" s="100"/>
      <c r="L44" s="100"/>
      <c r="M44" s="100"/>
      <c r="N44" s="11"/>
      <c r="O44" s="11"/>
      <c r="P44" s="11"/>
      <c r="Q44" s="11"/>
      <c r="R44" s="11"/>
      <c r="S44" s="11"/>
      <c r="T44" s="11"/>
      <c r="U44" s="11"/>
      <c r="V44" s="11"/>
      <c r="W44" s="11"/>
    </row>
    <row r="45" spans="1:23" ht="22" customHeight="1" x14ac:dyDescent="0.2">
      <c r="A45" s="28" t="s">
        <v>54</v>
      </c>
      <c r="B45" s="111">
        <f>0.6*B44</f>
        <v>66.858000000000004</v>
      </c>
      <c r="C45" s="112"/>
      <c r="D45" s="100"/>
      <c r="E45" s="100"/>
      <c r="F45" s="100"/>
      <c r="G45" s="100"/>
      <c r="H45" s="100"/>
      <c r="I45" s="100"/>
      <c r="J45" s="100"/>
      <c r="K45" s="100"/>
      <c r="L45" s="100"/>
      <c r="M45" s="100"/>
      <c r="N45" s="11"/>
      <c r="O45" s="11"/>
      <c r="P45" s="11"/>
      <c r="Q45" s="11"/>
      <c r="R45" s="11"/>
      <c r="S45" s="11"/>
      <c r="T45" s="11"/>
      <c r="U45" s="11"/>
      <c r="V45" s="11"/>
      <c r="W45" s="11"/>
    </row>
    <row r="46" spans="1:23" ht="22" customHeight="1" x14ac:dyDescent="0.2">
      <c r="A46" s="11"/>
      <c r="B46" s="32"/>
      <c r="C46" s="11"/>
      <c r="D46" s="11"/>
      <c r="E46" s="11"/>
      <c r="F46" s="11"/>
      <c r="G46" s="11"/>
      <c r="H46" s="11"/>
      <c r="I46" s="11"/>
      <c r="J46" s="11"/>
      <c r="K46" s="11"/>
      <c r="L46" s="11"/>
      <c r="M46" s="11"/>
      <c r="N46" s="11"/>
      <c r="O46" s="11"/>
      <c r="P46" s="11"/>
      <c r="Q46" s="11"/>
      <c r="R46" s="11"/>
      <c r="S46" s="11"/>
      <c r="T46" s="11"/>
      <c r="U46" s="11"/>
      <c r="V46" s="11"/>
      <c r="W46" s="11"/>
    </row>
    <row r="47" spans="1:23" ht="22" customHeight="1" x14ac:dyDescent="0.2">
      <c r="A47" s="9" t="s">
        <v>56</v>
      </c>
      <c r="B47" s="10"/>
      <c r="C47" s="11"/>
      <c r="D47" s="11"/>
      <c r="E47" s="11"/>
      <c r="F47" s="11"/>
      <c r="G47" s="11"/>
      <c r="H47" s="11"/>
      <c r="I47" s="11"/>
      <c r="J47" s="11"/>
      <c r="K47" s="11"/>
      <c r="L47" s="11"/>
      <c r="M47" s="11"/>
      <c r="N47" s="11"/>
      <c r="O47" s="11"/>
      <c r="P47" s="11"/>
      <c r="Q47" s="11"/>
      <c r="R47" s="11"/>
      <c r="S47" s="11"/>
      <c r="T47" s="11"/>
      <c r="U47" s="11"/>
      <c r="V47" s="11"/>
      <c r="W47" s="11"/>
    </row>
    <row r="48" spans="1:23" ht="22" customHeight="1" x14ac:dyDescent="0.2">
      <c r="A48" s="9" t="s">
        <v>127</v>
      </c>
      <c r="B48" s="100">
        <v>19.2</v>
      </c>
      <c r="C48" s="11"/>
      <c r="D48" s="11"/>
      <c r="E48" s="11"/>
      <c r="F48" s="11"/>
      <c r="G48" s="11"/>
      <c r="H48" s="11"/>
      <c r="I48" s="11"/>
      <c r="J48" s="11"/>
      <c r="K48" s="11"/>
      <c r="L48" s="11"/>
      <c r="M48" s="11"/>
      <c r="N48" s="11"/>
      <c r="O48" s="11"/>
      <c r="P48" s="11"/>
      <c r="Q48" s="11"/>
      <c r="R48" s="11"/>
      <c r="S48" s="11"/>
      <c r="T48" s="11"/>
      <c r="U48" s="11"/>
      <c r="V48" s="11"/>
      <c r="W48" s="11"/>
    </row>
    <row r="49" spans="1:23" ht="22" customHeight="1" x14ac:dyDescent="0.2">
      <c r="A49" s="9" t="s">
        <v>128</v>
      </c>
      <c r="B49" s="110">
        <v>19.2</v>
      </c>
      <c r="C49" s="11"/>
      <c r="D49" s="11"/>
      <c r="E49" s="11"/>
      <c r="F49" s="11"/>
      <c r="G49" s="11"/>
      <c r="H49" s="11"/>
      <c r="I49" s="11"/>
      <c r="J49" s="11"/>
      <c r="K49" s="11"/>
      <c r="L49" s="11"/>
      <c r="M49" s="11"/>
      <c r="N49" s="11"/>
      <c r="O49" s="11"/>
      <c r="P49" s="11"/>
      <c r="Q49" s="11"/>
      <c r="R49" s="11"/>
      <c r="S49" s="11"/>
      <c r="T49" s="11"/>
      <c r="U49" s="11"/>
      <c r="V49" s="11"/>
      <c r="W49" s="11"/>
    </row>
    <row r="50" spans="1:23" ht="22" customHeight="1" x14ac:dyDescent="0.2">
      <c r="A50" s="28" t="s">
        <v>59</v>
      </c>
      <c r="B50" s="111">
        <f>B48+B49</f>
        <v>38.4</v>
      </c>
      <c r="C50" s="33"/>
      <c r="D50" s="11"/>
      <c r="E50" s="11"/>
      <c r="F50" s="11"/>
      <c r="G50" s="11"/>
      <c r="H50" s="11"/>
      <c r="I50" s="11"/>
      <c r="J50" s="11"/>
      <c r="K50" s="11"/>
      <c r="L50" s="11"/>
      <c r="M50" s="11"/>
      <c r="N50" s="11"/>
      <c r="O50" s="11"/>
      <c r="P50" s="11"/>
      <c r="Q50" s="11"/>
      <c r="R50" s="11"/>
      <c r="S50" s="11"/>
      <c r="T50" s="11"/>
      <c r="U50" s="11"/>
      <c r="V50" s="11"/>
      <c r="W50" s="11"/>
    </row>
    <row r="51" spans="1:23" ht="22" customHeight="1" x14ac:dyDescent="0.2">
      <c r="A51" s="11"/>
      <c r="B51" s="114"/>
      <c r="C51" s="11"/>
      <c r="D51" s="11"/>
      <c r="E51" s="11"/>
      <c r="F51" s="11"/>
      <c r="G51" s="11"/>
      <c r="H51" s="11"/>
      <c r="I51" s="11"/>
      <c r="J51" s="11"/>
      <c r="K51" s="11"/>
      <c r="L51" s="11"/>
      <c r="M51" s="11"/>
      <c r="N51" s="11"/>
      <c r="O51" s="11"/>
      <c r="P51" s="11"/>
      <c r="Q51" s="11"/>
      <c r="R51" s="11"/>
      <c r="S51" s="11"/>
      <c r="T51" s="11"/>
      <c r="U51" s="11"/>
      <c r="V51" s="11"/>
      <c r="W51" s="11"/>
    </row>
    <row r="52" spans="1:23" ht="22" customHeight="1" x14ac:dyDescent="0.2">
      <c r="A52" s="9" t="s">
        <v>118</v>
      </c>
      <c r="B52" s="9" t="s">
        <v>129</v>
      </c>
      <c r="C52" s="9" t="s">
        <v>130</v>
      </c>
      <c r="D52" s="9" t="s">
        <v>131</v>
      </c>
      <c r="E52" s="9" t="s">
        <v>132</v>
      </c>
      <c r="F52" s="9" t="s">
        <v>133</v>
      </c>
      <c r="G52" s="9" t="s">
        <v>134</v>
      </c>
      <c r="H52" s="9" t="s">
        <v>135</v>
      </c>
      <c r="I52" s="9" t="s">
        <v>136</v>
      </c>
      <c r="J52" s="9" t="s">
        <v>137</v>
      </c>
      <c r="K52" s="9" t="s">
        <v>138</v>
      </c>
      <c r="L52" s="9" t="s">
        <v>139</v>
      </c>
      <c r="M52" s="9" t="s">
        <v>140</v>
      </c>
      <c r="N52" s="9" t="s">
        <v>141</v>
      </c>
      <c r="O52" s="9" t="s">
        <v>142</v>
      </c>
      <c r="P52" s="9" t="s">
        <v>143</v>
      </c>
      <c r="Q52" s="9" t="s">
        <v>144</v>
      </c>
      <c r="R52" s="9" t="s">
        <v>145</v>
      </c>
      <c r="S52" s="9" t="s">
        <v>146</v>
      </c>
      <c r="T52" s="9" t="s">
        <v>147</v>
      </c>
      <c r="U52" s="9" t="s">
        <v>148</v>
      </c>
      <c r="V52" s="9" t="s">
        <v>149</v>
      </c>
      <c r="W52" s="9" t="s">
        <v>150</v>
      </c>
    </row>
    <row r="53" spans="1:23" ht="22" customHeight="1" x14ac:dyDescent="0.2">
      <c r="A53" s="9" t="s">
        <v>151</v>
      </c>
      <c r="B53" s="115">
        <v>3.1</v>
      </c>
      <c r="C53" s="103">
        <v>3.1</v>
      </c>
      <c r="D53" s="103">
        <v>3.1</v>
      </c>
      <c r="E53" s="103">
        <v>3.1</v>
      </c>
      <c r="F53" s="103">
        <v>3.1</v>
      </c>
      <c r="G53" s="103">
        <v>2.1</v>
      </c>
      <c r="H53" s="103">
        <v>3.1</v>
      </c>
      <c r="I53" s="103">
        <v>3.1</v>
      </c>
      <c r="J53" s="103">
        <v>3.1</v>
      </c>
      <c r="K53" s="103">
        <v>3.1</v>
      </c>
      <c r="L53" s="103">
        <v>3.1</v>
      </c>
      <c r="M53" s="103">
        <v>3.1</v>
      </c>
      <c r="N53" s="103">
        <v>2.1</v>
      </c>
      <c r="O53" s="103">
        <v>3.1</v>
      </c>
      <c r="P53" s="103">
        <v>3.1</v>
      </c>
      <c r="Q53" s="103">
        <v>3.1</v>
      </c>
      <c r="R53" s="103">
        <v>2.1</v>
      </c>
      <c r="S53" s="103">
        <v>2.1</v>
      </c>
      <c r="T53" s="103">
        <v>2.1</v>
      </c>
      <c r="U53" s="103">
        <v>3.1</v>
      </c>
      <c r="V53" s="103">
        <v>3.1</v>
      </c>
      <c r="W53" s="103">
        <v>3.1</v>
      </c>
    </row>
    <row r="54" spans="1:23" ht="22" customHeight="1" x14ac:dyDescent="0.2">
      <c r="A54" s="28" t="s">
        <v>59</v>
      </c>
      <c r="B54" s="116">
        <f>SUM(B53:W53)</f>
        <v>63.200000000000024</v>
      </c>
      <c r="C54" s="33"/>
      <c r="D54" s="11"/>
      <c r="E54" s="11"/>
      <c r="F54" s="11"/>
      <c r="G54" s="11"/>
      <c r="H54" s="11"/>
      <c r="I54" s="11"/>
      <c r="J54" s="11"/>
      <c r="K54" s="11"/>
      <c r="L54" s="11"/>
      <c r="M54" s="11"/>
      <c r="N54" s="11"/>
      <c r="O54" s="11"/>
      <c r="P54" s="11"/>
      <c r="Q54" s="11"/>
      <c r="R54" s="11"/>
      <c r="S54" s="11"/>
      <c r="T54" s="11"/>
      <c r="U54" s="11"/>
      <c r="V54" s="11"/>
      <c r="W54" s="11"/>
    </row>
    <row r="55" spans="1:23" ht="22" customHeight="1" x14ac:dyDescent="0.2">
      <c r="A55" s="11"/>
      <c r="B55" s="113"/>
      <c r="C55" s="11"/>
      <c r="D55" s="11"/>
      <c r="E55" s="11"/>
      <c r="F55" s="11"/>
      <c r="G55" s="11"/>
      <c r="H55" s="11"/>
      <c r="I55" s="11"/>
      <c r="J55" s="11"/>
      <c r="K55" s="11"/>
      <c r="L55" s="11"/>
      <c r="M55" s="11"/>
      <c r="N55" s="11"/>
      <c r="O55" s="11"/>
      <c r="P55" s="11"/>
      <c r="Q55" s="11"/>
      <c r="R55" s="11"/>
      <c r="S55" s="11"/>
      <c r="T55" s="11"/>
      <c r="U55" s="11"/>
      <c r="V55" s="11"/>
      <c r="W55" s="11"/>
    </row>
    <row r="56" spans="1:23" ht="22" customHeight="1" x14ac:dyDescent="0.2">
      <c r="A56" s="9" t="s">
        <v>74</v>
      </c>
      <c r="B56" s="11"/>
      <c r="C56" s="11"/>
      <c r="D56" s="11"/>
      <c r="E56" s="11"/>
      <c r="F56" s="11"/>
      <c r="G56" s="11"/>
      <c r="H56" s="11"/>
      <c r="I56" s="11"/>
      <c r="J56" s="11"/>
      <c r="K56" s="11"/>
      <c r="L56" s="11"/>
      <c r="M56" s="11"/>
      <c r="N56" s="11"/>
      <c r="O56" s="11"/>
      <c r="P56" s="11"/>
      <c r="Q56" s="11"/>
      <c r="R56" s="11"/>
      <c r="S56" s="11"/>
      <c r="T56" s="11"/>
      <c r="U56" s="11"/>
      <c r="V56" s="11"/>
      <c r="W56" s="11"/>
    </row>
    <row r="57" spans="1:23" ht="22" customHeight="1" x14ac:dyDescent="0.2">
      <c r="A57" s="9" t="s">
        <v>152</v>
      </c>
      <c r="B57" s="117">
        <v>968.63</v>
      </c>
      <c r="C57" s="11"/>
      <c r="D57" s="11"/>
      <c r="E57" s="11"/>
      <c r="F57" s="11"/>
      <c r="G57" s="11"/>
      <c r="H57" s="11"/>
      <c r="I57" s="11"/>
      <c r="J57" s="11"/>
      <c r="K57" s="11"/>
      <c r="L57" s="11"/>
      <c r="M57" s="11"/>
      <c r="N57" s="11"/>
      <c r="O57" s="11"/>
      <c r="P57" s="11"/>
      <c r="Q57" s="11"/>
      <c r="R57" s="11"/>
      <c r="S57" s="11"/>
      <c r="T57" s="11"/>
      <c r="U57" s="11"/>
      <c r="V57" s="11"/>
      <c r="W57" s="11"/>
    </row>
    <row r="58" spans="1:23" ht="22" customHeight="1" x14ac:dyDescent="0.2">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row>
    <row r="59" spans="1:23" ht="22"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row>
    <row r="60" spans="1:23" ht="22" customHeight="1" x14ac:dyDescent="0.2">
      <c r="A60" s="20">
        <v>2016</v>
      </c>
      <c r="B60" s="110">
        <v>96.86</v>
      </c>
      <c r="C60" s="11"/>
      <c r="D60" s="11"/>
      <c r="E60" s="11"/>
      <c r="F60" s="11"/>
      <c r="G60" s="11"/>
      <c r="H60" s="11"/>
      <c r="I60" s="11"/>
      <c r="J60" s="11"/>
      <c r="K60" s="11"/>
      <c r="L60" s="11"/>
      <c r="M60" s="11"/>
      <c r="N60" s="11"/>
      <c r="O60" s="11"/>
      <c r="P60" s="11"/>
      <c r="Q60" s="11"/>
      <c r="R60" s="11"/>
      <c r="S60" s="11"/>
      <c r="T60" s="11"/>
      <c r="U60" s="11"/>
      <c r="V60" s="11"/>
      <c r="W60" s="11"/>
    </row>
    <row r="61" spans="1:23" ht="22" customHeight="1" x14ac:dyDescent="0.2">
      <c r="A61" s="36">
        <v>2017</v>
      </c>
      <c r="B61" s="111">
        <v>193.73</v>
      </c>
      <c r="C61" s="33"/>
      <c r="D61" s="11"/>
      <c r="E61" s="11"/>
      <c r="F61" s="11"/>
      <c r="G61" s="11"/>
      <c r="H61" s="103"/>
      <c r="I61" s="11"/>
      <c r="J61" s="11"/>
      <c r="K61" s="11"/>
      <c r="L61" s="11"/>
      <c r="M61" s="11"/>
      <c r="N61" s="11"/>
      <c r="O61" s="11"/>
      <c r="P61" s="11"/>
      <c r="Q61" s="11"/>
      <c r="R61" s="11"/>
      <c r="S61" s="11"/>
      <c r="T61" s="11"/>
      <c r="U61" s="11"/>
      <c r="V61" s="11"/>
      <c r="W61" s="11"/>
    </row>
    <row r="62" spans="1:23" ht="22" customHeight="1" x14ac:dyDescent="0.2">
      <c r="A62" s="20">
        <v>2018</v>
      </c>
      <c r="B62" s="114">
        <v>193.73</v>
      </c>
      <c r="C62" s="11"/>
      <c r="D62" s="11"/>
      <c r="E62" s="11"/>
      <c r="F62" s="11"/>
      <c r="G62" s="11"/>
      <c r="H62" s="103"/>
      <c r="I62" s="11"/>
      <c r="J62" s="11"/>
      <c r="K62" s="11"/>
      <c r="L62" s="11"/>
      <c r="M62" s="11"/>
      <c r="N62" s="11"/>
      <c r="O62" s="11"/>
      <c r="P62" s="11"/>
      <c r="Q62" s="11"/>
      <c r="R62" s="11"/>
      <c r="S62" s="11"/>
      <c r="T62" s="11"/>
      <c r="U62" s="11"/>
      <c r="V62" s="11"/>
      <c r="W62" s="11"/>
    </row>
    <row r="63" spans="1:23" ht="22" customHeight="1" x14ac:dyDescent="0.2">
      <c r="A63" s="20">
        <v>2019</v>
      </c>
      <c r="B63" s="100">
        <v>96.86</v>
      </c>
      <c r="C63" s="11"/>
      <c r="D63" s="11"/>
      <c r="E63" s="11"/>
      <c r="F63" s="11"/>
      <c r="G63" s="11"/>
      <c r="H63" s="103"/>
      <c r="I63" s="11"/>
      <c r="J63" s="11"/>
      <c r="K63" s="11"/>
      <c r="L63" s="11"/>
      <c r="M63" s="11"/>
      <c r="N63" s="11"/>
      <c r="O63" s="11"/>
      <c r="P63" s="11"/>
      <c r="Q63" s="11"/>
      <c r="R63" s="11"/>
      <c r="S63" s="11"/>
      <c r="T63" s="11"/>
      <c r="U63" s="11"/>
      <c r="V63" s="11"/>
      <c r="W63" s="11"/>
    </row>
    <row r="64" spans="1:23" ht="22" customHeight="1" x14ac:dyDescent="0.2">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row>
    <row r="65" spans="1:23" ht="22"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row>
    <row r="66" spans="1:23" ht="22" customHeight="1" x14ac:dyDescent="0.2">
      <c r="A66" s="9" t="s">
        <v>153</v>
      </c>
      <c r="B66" s="11"/>
      <c r="C66" s="11"/>
      <c r="D66" s="11"/>
      <c r="E66" s="11"/>
      <c r="F66" s="11"/>
      <c r="G66" s="11"/>
      <c r="H66" s="103"/>
      <c r="I66" s="11"/>
      <c r="J66" s="11"/>
      <c r="K66" s="11"/>
      <c r="L66" s="11"/>
      <c r="M66" s="11"/>
      <c r="N66" s="11"/>
      <c r="O66" s="11"/>
      <c r="P66" s="11"/>
      <c r="Q66" s="11"/>
      <c r="R66" s="11"/>
      <c r="S66" s="11"/>
      <c r="T66" s="11"/>
      <c r="U66" s="11"/>
      <c r="V66" s="11"/>
      <c r="W66" s="11"/>
    </row>
    <row r="67" spans="1:23" ht="22" customHeight="1" x14ac:dyDescent="0.2">
      <c r="A67" s="9" t="s">
        <v>152</v>
      </c>
      <c r="B67" s="100">
        <v>450.97</v>
      </c>
      <c r="C67" s="11"/>
      <c r="D67" s="11"/>
      <c r="E67" s="11"/>
      <c r="F67" s="11"/>
      <c r="G67" s="11"/>
      <c r="H67" s="103"/>
      <c r="I67" s="11"/>
      <c r="J67" s="11"/>
      <c r="K67" s="11"/>
      <c r="L67" s="11"/>
      <c r="M67" s="11"/>
      <c r="N67" s="11"/>
      <c r="O67" s="11"/>
      <c r="P67" s="11"/>
      <c r="Q67" s="11"/>
      <c r="R67" s="11"/>
      <c r="S67" s="11"/>
      <c r="T67" s="11"/>
      <c r="U67" s="11"/>
      <c r="V67" s="11"/>
      <c r="W67" s="11"/>
    </row>
    <row r="68" spans="1:23" ht="22" customHeight="1" x14ac:dyDescent="0.2">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row>
    <row r="69" spans="1:23" ht="22" customHeight="1" x14ac:dyDescent="0.2">
      <c r="A69" s="11"/>
      <c r="B69" s="110"/>
      <c r="C69" s="11"/>
      <c r="D69" s="11"/>
      <c r="E69" s="11"/>
      <c r="F69" s="11"/>
      <c r="G69" s="11"/>
      <c r="H69" s="103"/>
      <c r="I69" s="11"/>
      <c r="J69" s="11"/>
      <c r="K69" s="11"/>
      <c r="L69" s="11"/>
      <c r="M69" s="11"/>
      <c r="N69" s="11"/>
      <c r="O69" s="11"/>
      <c r="P69" s="11"/>
      <c r="Q69" s="11"/>
      <c r="R69" s="11"/>
      <c r="S69" s="11"/>
      <c r="T69" s="11"/>
      <c r="U69" s="11"/>
      <c r="V69" s="11"/>
      <c r="W69" s="11"/>
    </row>
    <row r="70" spans="1:23" ht="22" customHeight="1" x14ac:dyDescent="0.2">
      <c r="A70" s="36">
        <v>2017</v>
      </c>
      <c r="B70" s="111">
        <v>45.09</v>
      </c>
      <c r="C70" s="33"/>
      <c r="D70" s="11"/>
      <c r="E70" s="11"/>
      <c r="F70" s="11"/>
      <c r="G70" s="11"/>
      <c r="H70" s="103"/>
      <c r="I70" s="11"/>
      <c r="J70" s="11"/>
      <c r="K70" s="11"/>
      <c r="L70" s="11"/>
      <c r="M70" s="11"/>
      <c r="N70" s="11"/>
      <c r="O70" s="11"/>
      <c r="P70" s="11"/>
      <c r="Q70" s="11"/>
      <c r="R70" s="11"/>
      <c r="S70" s="11"/>
      <c r="T70" s="11"/>
      <c r="U70" s="11"/>
      <c r="V70" s="11"/>
      <c r="W70" s="11"/>
    </row>
    <row r="71" spans="1:23" ht="22" customHeight="1" x14ac:dyDescent="0.2">
      <c r="A71" s="20">
        <v>2018</v>
      </c>
      <c r="B71" s="114">
        <v>90.2</v>
      </c>
      <c r="C71" s="11"/>
      <c r="D71" s="11"/>
      <c r="E71" s="11"/>
      <c r="F71" s="11"/>
      <c r="G71" s="11"/>
      <c r="H71" s="103"/>
      <c r="I71" s="11"/>
      <c r="J71" s="11"/>
      <c r="K71" s="11"/>
      <c r="L71" s="11"/>
      <c r="M71" s="11"/>
      <c r="N71" s="11"/>
      <c r="O71" s="11"/>
      <c r="P71" s="11"/>
      <c r="Q71" s="11"/>
      <c r="R71" s="11"/>
      <c r="S71" s="11"/>
      <c r="T71" s="11"/>
      <c r="U71" s="11"/>
      <c r="V71" s="11"/>
      <c r="W71" s="11"/>
    </row>
    <row r="72" spans="1:23" ht="22" customHeight="1" x14ac:dyDescent="0.2">
      <c r="A72" s="20">
        <v>2019</v>
      </c>
      <c r="B72" s="100">
        <v>90.2</v>
      </c>
      <c r="C72" s="11"/>
      <c r="D72" s="11"/>
      <c r="E72" s="11"/>
      <c r="F72" s="11"/>
      <c r="G72" s="11"/>
      <c r="H72" s="103"/>
      <c r="I72" s="11"/>
      <c r="J72" s="11"/>
      <c r="K72" s="11"/>
      <c r="L72" s="11"/>
      <c r="M72" s="11"/>
      <c r="N72" s="11"/>
      <c r="O72" s="11"/>
      <c r="P72" s="11"/>
      <c r="Q72" s="11"/>
      <c r="R72" s="11"/>
      <c r="S72" s="11"/>
      <c r="T72" s="11"/>
      <c r="U72" s="11"/>
      <c r="V72" s="11"/>
      <c r="W72" s="11"/>
    </row>
    <row r="73" spans="1:23" ht="22" customHeight="1" x14ac:dyDescent="0.2">
      <c r="A73" s="20">
        <v>2020</v>
      </c>
      <c r="B73" s="100">
        <v>45.09</v>
      </c>
      <c r="C73" s="11"/>
      <c r="D73" s="11"/>
      <c r="E73" s="11"/>
      <c r="F73" s="11"/>
      <c r="G73" s="11"/>
      <c r="H73" s="103"/>
      <c r="I73" s="11"/>
      <c r="J73" s="11"/>
      <c r="K73" s="11"/>
      <c r="L73" s="11"/>
      <c r="M73" s="11"/>
      <c r="N73" s="11"/>
      <c r="O73" s="11"/>
      <c r="P73" s="11"/>
      <c r="Q73" s="11"/>
      <c r="R73" s="11"/>
      <c r="S73" s="11"/>
      <c r="T73" s="11"/>
      <c r="U73" s="11"/>
      <c r="V73" s="11"/>
      <c r="W73" s="11"/>
    </row>
    <row r="74" spans="1:23" ht="22" customHeight="1" x14ac:dyDescent="0.2">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row>
    <row r="75" spans="1:23" ht="22" customHeight="1" x14ac:dyDescent="0.2">
      <c r="A75" s="11"/>
      <c r="B75" s="11"/>
      <c r="C75" s="11"/>
      <c r="D75" s="11"/>
      <c r="E75" s="11"/>
      <c r="F75" s="11"/>
      <c r="G75" s="11"/>
      <c r="H75" s="103"/>
      <c r="I75" s="11"/>
      <c r="J75" s="11"/>
      <c r="K75" s="11"/>
      <c r="L75" s="11"/>
      <c r="M75" s="11"/>
      <c r="N75" s="11"/>
      <c r="O75" s="11"/>
      <c r="P75" s="11"/>
      <c r="Q75" s="11"/>
      <c r="R75" s="11"/>
      <c r="S75" s="11"/>
      <c r="T75" s="11"/>
      <c r="U75" s="11"/>
      <c r="V75" s="11"/>
      <c r="W75" s="11"/>
    </row>
    <row r="76" spans="1:23" ht="22" customHeight="1" x14ac:dyDescent="0.2">
      <c r="A76" s="9" t="s">
        <v>154</v>
      </c>
      <c r="B76" s="11"/>
      <c r="C76" s="11"/>
      <c r="D76" s="11"/>
      <c r="E76" s="11"/>
      <c r="F76" s="11"/>
      <c r="G76" s="11"/>
      <c r="H76" s="103"/>
      <c r="I76" s="11"/>
      <c r="J76" s="11"/>
      <c r="K76" s="11"/>
      <c r="L76" s="11"/>
      <c r="M76" s="11"/>
      <c r="N76" s="11"/>
      <c r="O76" s="11"/>
      <c r="P76" s="11"/>
      <c r="Q76" s="11"/>
      <c r="R76" s="11"/>
      <c r="S76" s="11"/>
      <c r="T76" s="11"/>
      <c r="U76" s="11"/>
      <c r="V76" s="11"/>
      <c r="W76" s="11"/>
    </row>
    <row r="77" spans="1:23" ht="22" customHeight="1" x14ac:dyDescent="0.2">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row>
    <row r="78" spans="1:23" ht="22" customHeight="1" x14ac:dyDescent="0.2">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row>
    <row r="79" spans="1:23" ht="22" customHeight="1" x14ac:dyDescent="0.2">
      <c r="A79" s="11"/>
      <c r="B79" s="118"/>
      <c r="C79" s="11"/>
      <c r="D79" s="11"/>
      <c r="E79" s="11"/>
      <c r="F79" s="11"/>
      <c r="G79" s="11"/>
      <c r="H79" s="103"/>
      <c r="I79" s="11"/>
      <c r="J79" s="11"/>
      <c r="K79" s="11"/>
      <c r="L79" s="11"/>
      <c r="M79" s="11"/>
      <c r="N79" s="11"/>
      <c r="O79" s="11"/>
      <c r="P79" s="11"/>
      <c r="Q79" s="11"/>
      <c r="R79" s="11"/>
      <c r="S79" s="11"/>
      <c r="T79" s="11"/>
      <c r="U79" s="11"/>
      <c r="V79" s="11"/>
      <c r="W79" s="11"/>
    </row>
    <row r="80" spans="1:23" ht="22" customHeight="1" x14ac:dyDescent="0.2">
      <c r="A80" s="36">
        <v>2017</v>
      </c>
      <c r="B80" s="111">
        <v>63.92</v>
      </c>
      <c r="C80" s="33"/>
      <c r="D80" s="11"/>
      <c r="E80" s="11"/>
      <c r="F80" s="11"/>
      <c r="G80" s="11"/>
      <c r="H80" s="103"/>
      <c r="I80" s="11"/>
      <c r="J80" s="11"/>
      <c r="K80" s="11"/>
      <c r="L80" s="11"/>
      <c r="M80" s="11"/>
      <c r="N80" s="11"/>
      <c r="O80" s="11"/>
      <c r="P80" s="11"/>
      <c r="Q80" s="11"/>
      <c r="R80" s="11"/>
      <c r="S80" s="11"/>
      <c r="T80" s="11"/>
      <c r="U80" s="11"/>
      <c r="V80" s="11"/>
      <c r="W80" s="11"/>
    </row>
    <row r="81" spans="1:23" ht="22" customHeight="1" x14ac:dyDescent="0.2">
      <c r="A81" s="20">
        <v>2018</v>
      </c>
      <c r="B81" s="114">
        <v>127.84</v>
      </c>
      <c r="C81" s="11"/>
      <c r="D81" s="11"/>
      <c r="E81" s="11"/>
      <c r="F81" s="11"/>
      <c r="G81" s="11"/>
      <c r="H81" s="103"/>
      <c r="I81" s="11"/>
      <c r="J81" s="11"/>
      <c r="K81" s="11"/>
      <c r="L81" s="11"/>
      <c r="M81" s="11"/>
      <c r="N81" s="11"/>
      <c r="O81" s="11"/>
      <c r="P81" s="11"/>
      <c r="Q81" s="11"/>
      <c r="R81" s="11"/>
      <c r="S81" s="11"/>
      <c r="T81" s="11"/>
      <c r="U81" s="11"/>
      <c r="V81" s="11"/>
      <c r="W81" s="11"/>
    </row>
    <row r="82" spans="1:23" ht="22" customHeight="1" x14ac:dyDescent="0.2">
      <c r="A82" s="20">
        <v>2019</v>
      </c>
      <c r="B82" s="100">
        <v>127.84</v>
      </c>
      <c r="C82" s="11"/>
      <c r="D82" s="11"/>
      <c r="E82" s="11"/>
      <c r="F82" s="11"/>
      <c r="G82" s="11"/>
      <c r="H82" s="11"/>
      <c r="I82" s="11"/>
      <c r="J82" s="11"/>
      <c r="K82" s="11"/>
      <c r="L82" s="11"/>
      <c r="M82" s="11"/>
      <c r="N82" s="11"/>
      <c r="O82" s="11"/>
      <c r="P82" s="11"/>
      <c r="Q82" s="11"/>
      <c r="R82" s="11"/>
      <c r="S82" s="11"/>
      <c r="T82" s="11"/>
      <c r="U82" s="11"/>
      <c r="V82" s="11"/>
      <c r="W82" s="11"/>
    </row>
    <row r="83" spans="1:23" ht="22" customHeight="1" x14ac:dyDescent="0.2">
      <c r="A83" s="20">
        <v>2020</v>
      </c>
      <c r="B83" s="100">
        <v>63.92</v>
      </c>
      <c r="C83" s="11"/>
      <c r="D83" s="11"/>
      <c r="E83" s="11"/>
      <c r="F83" s="11"/>
      <c r="G83" s="11"/>
      <c r="H83" s="11"/>
      <c r="I83" s="11"/>
      <c r="J83" s="11"/>
      <c r="K83" s="11"/>
      <c r="L83" s="11"/>
      <c r="M83" s="11"/>
      <c r="N83" s="11"/>
      <c r="O83" s="11"/>
      <c r="P83" s="11"/>
      <c r="Q83" s="11"/>
      <c r="R83" s="11"/>
      <c r="S83" s="11"/>
      <c r="T83" s="11"/>
      <c r="U83" s="11"/>
      <c r="V83" s="11"/>
      <c r="W83" s="11"/>
    </row>
    <row r="84" spans="1:23" ht="22" customHeight="1" x14ac:dyDescent="0.2">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row>
    <row r="85" spans="1:23" ht="22"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row>
    <row r="86" spans="1:23" ht="22" customHeight="1" x14ac:dyDescent="0.2">
      <c r="A86" s="9" t="s">
        <v>155</v>
      </c>
      <c r="B86" s="11"/>
      <c r="C86" s="11"/>
      <c r="D86" s="11"/>
      <c r="E86" s="11"/>
      <c r="F86" s="11"/>
      <c r="G86" s="11"/>
      <c r="H86" s="11"/>
      <c r="I86" s="11"/>
      <c r="J86" s="11"/>
      <c r="K86" s="11"/>
      <c r="L86" s="11"/>
      <c r="M86" s="11"/>
      <c r="N86" s="11"/>
      <c r="O86" s="11"/>
      <c r="P86" s="11"/>
      <c r="Q86" s="11"/>
      <c r="R86" s="11"/>
      <c r="S86" s="11"/>
      <c r="T86" s="11"/>
      <c r="U86" s="11"/>
      <c r="V86" s="11"/>
      <c r="W86" s="11"/>
    </row>
    <row r="87" spans="1:23" ht="22" customHeight="1" x14ac:dyDescent="0.2">
      <c r="A87" s="11"/>
      <c r="B87" s="20">
        <v>42740</v>
      </c>
      <c r="C87" s="20">
        <v>42765</v>
      </c>
      <c r="D87" s="20">
        <v>42822</v>
      </c>
      <c r="E87" s="20">
        <v>42979</v>
      </c>
      <c r="F87" s="20">
        <v>43060</v>
      </c>
      <c r="G87" s="11"/>
      <c r="H87" s="11"/>
      <c r="I87" s="11"/>
      <c r="J87" s="11"/>
      <c r="K87" s="11"/>
      <c r="L87" s="11"/>
      <c r="M87" s="11"/>
      <c r="N87" s="11"/>
      <c r="O87" s="11"/>
      <c r="P87" s="11"/>
      <c r="Q87" s="11"/>
      <c r="R87" s="11"/>
      <c r="S87" s="11"/>
      <c r="T87" s="11"/>
      <c r="U87" s="11"/>
      <c r="V87" s="11"/>
      <c r="W87" s="11"/>
    </row>
    <row r="88" spans="1:23" ht="22" customHeight="1" x14ac:dyDescent="0.2">
      <c r="A88" s="9" t="s">
        <v>156</v>
      </c>
      <c r="B88" s="119">
        <v>4.4000000000000004</v>
      </c>
      <c r="C88" s="119">
        <v>2.6</v>
      </c>
      <c r="D88" s="119">
        <v>4.4000000000000004</v>
      </c>
      <c r="E88" s="119">
        <v>4.4000000000000004</v>
      </c>
      <c r="F88" s="119">
        <v>4.4000000000000004</v>
      </c>
      <c r="G88" s="11"/>
      <c r="H88" s="11"/>
      <c r="I88" s="11"/>
      <c r="J88" s="11"/>
      <c r="K88" s="11"/>
      <c r="L88" s="11"/>
      <c r="M88" s="11"/>
      <c r="N88" s="11"/>
      <c r="O88" s="11"/>
      <c r="P88" s="11"/>
      <c r="Q88" s="11"/>
      <c r="R88" s="11"/>
      <c r="S88" s="11"/>
      <c r="T88" s="11"/>
      <c r="U88" s="11"/>
      <c r="V88" s="11"/>
      <c r="W88" s="11"/>
    </row>
    <row r="89" spans="1:23" ht="22" customHeight="1" x14ac:dyDescent="0.2">
      <c r="A89" s="9" t="s">
        <v>21</v>
      </c>
      <c r="B89" s="119">
        <f>SUM(B88:F88)</f>
        <v>20.200000000000003</v>
      </c>
      <c r="C89" s="11"/>
      <c r="D89" s="11"/>
      <c r="E89" s="11"/>
      <c r="F89" s="11"/>
      <c r="G89" s="11"/>
      <c r="H89" s="11"/>
      <c r="I89" s="11"/>
      <c r="J89" s="11"/>
      <c r="K89" s="11"/>
      <c r="L89" s="11"/>
      <c r="M89" s="11"/>
      <c r="N89" s="11"/>
      <c r="O89" s="11"/>
      <c r="P89" s="11"/>
      <c r="Q89" s="11"/>
      <c r="R89" s="11"/>
      <c r="S89" s="11"/>
      <c r="T89" s="11"/>
      <c r="U89" s="11"/>
      <c r="V89" s="11"/>
      <c r="W89" s="11"/>
    </row>
    <row r="90" spans="1:23" ht="22"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row>
    <row r="91" spans="1:23" ht="22" customHeight="1" x14ac:dyDescent="0.2">
      <c r="A91" s="9" t="s">
        <v>157</v>
      </c>
      <c r="B91" s="20">
        <v>42747</v>
      </c>
      <c r="C91" s="20">
        <v>42749</v>
      </c>
      <c r="D91" s="20">
        <v>42895</v>
      </c>
      <c r="E91" s="20">
        <v>43042</v>
      </c>
      <c r="F91" s="20">
        <v>43064</v>
      </c>
      <c r="G91" s="20">
        <v>43085</v>
      </c>
      <c r="H91" s="20">
        <v>43074</v>
      </c>
      <c r="I91" s="11"/>
      <c r="J91" s="11"/>
      <c r="K91" s="11"/>
      <c r="L91" s="11"/>
      <c r="M91" s="11"/>
      <c r="N91" s="11"/>
      <c r="O91" s="11"/>
      <c r="P91" s="11"/>
      <c r="Q91" s="11"/>
      <c r="R91" s="11"/>
      <c r="S91" s="11"/>
      <c r="T91" s="11"/>
      <c r="U91" s="11"/>
      <c r="V91" s="11"/>
      <c r="W91" s="11"/>
    </row>
    <row r="92" spans="1:23" ht="22" customHeight="1" x14ac:dyDescent="0.2">
      <c r="A92" s="9" t="s">
        <v>158</v>
      </c>
      <c r="B92" s="120">
        <v>10</v>
      </c>
      <c r="C92" s="120">
        <v>6.16</v>
      </c>
      <c r="D92" s="120">
        <v>13.6</v>
      </c>
      <c r="E92" s="120">
        <v>8.9</v>
      </c>
      <c r="F92" s="120">
        <v>27.9</v>
      </c>
      <c r="G92" s="120">
        <v>21.7</v>
      </c>
      <c r="H92" s="120">
        <f>9.1+7.61+5.78+8.59</f>
        <v>31.080000000000002</v>
      </c>
      <c r="I92" s="11"/>
      <c r="J92" s="11"/>
      <c r="K92" s="11"/>
      <c r="L92" s="11"/>
      <c r="M92" s="11"/>
      <c r="N92" s="11"/>
      <c r="O92" s="11"/>
      <c r="P92" s="11"/>
      <c r="Q92" s="11"/>
      <c r="R92" s="11"/>
      <c r="S92" s="11"/>
      <c r="T92" s="11"/>
      <c r="U92" s="11"/>
      <c r="V92" s="11"/>
      <c r="W92" s="11"/>
    </row>
    <row r="93" spans="1:23" ht="22" customHeight="1" x14ac:dyDescent="0.2">
      <c r="A93" s="9" t="s">
        <v>21</v>
      </c>
      <c r="B93" s="120">
        <f>SUM(B92:H92)</f>
        <v>119.34</v>
      </c>
      <c r="C93" s="11"/>
      <c r="D93" s="11"/>
      <c r="E93" s="11"/>
      <c r="F93" s="11"/>
      <c r="G93" s="11"/>
      <c r="H93" s="11"/>
      <c r="I93" s="11"/>
      <c r="J93" s="11"/>
      <c r="K93" s="11"/>
      <c r="L93" s="11"/>
      <c r="M93" s="11"/>
      <c r="N93" s="11"/>
      <c r="O93" s="11"/>
      <c r="P93" s="11"/>
      <c r="Q93" s="11"/>
      <c r="R93" s="11"/>
      <c r="S93" s="11"/>
      <c r="T93" s="11"/>
      <c r="U93" s="11"/>
      <c r="V93" s="11"/>
      <c r="W93" s="11"/>
    </row>
    <row r="94" spans="1:23" ht="22"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row>
    <row r="95" spans="1:23" ht="22" customHeight="1" x14ac:dyDescent="0.2">
      <c r="A95" s="9" t="s">
        <v>159</v>
      </c>
      <c r="B95" s="100">
        <v>350</v>
      </c>
      <c r="C95" s="11"/>
      <c r="D95" s="11"/>
      <c r="E95" s="11"/>
      <c r="F95" s="11"/>
      <c r="G95" s="11"/>
      <c r="H95" s="11"/>
      <c r="I95" s="11"/>
      <c r="J95" s="11"/>
      <c r="K95" s="11"/>
      <c r="L95" s="11"/>
      <c r="M95" s="11"/>
      <c r="N95" s="11"/>
      <c r="O95" s="11"/>
      <c r="P95" s="11"/>
      <c r="Q95" s="11"/>
      <c r="R95" s="11"/>
      <c r="S95" s="11"/>
      <c r="T95" s="11"/>
      <c r="U95" s="11"/>
      <c r="V95" s="11"/>
      <c r="W95" s="11"/>
    </row>
    <row r="96" spans="1:23" ht="22" customHeight="1" x14ac:dyDescent="0.2">
      <c r="A96" s="9" t="s">
        <v>160</v>
      </c>
      <c r="B96" s="100">
        <v>164.15</v>
      </c>
      <c r="C96" s="11"/>
      <c r="D96" s="11"/>
      <c r="E96" s="11"/>
      <c r="F96" s="11"/>
      <c r="G96" s="11"/>
      <c r="H96" s="11"/>
      <c r="I96" s="11"/>
      <c r="J96" s="11"/>
      <c r="K96" s="11"/>
      <c r="L96" s="11"/>
      <c r="M96" s="11"/>
      <c r="N96" s="11"/>
      <c r="O96" s="11"/>
      <c r="P96" s="11"/>
      <c r="Q96" s="11"/>
      <c r="R96" s="11"/>
      <c r="S96" s="11"/>
      <c r="T96" s="11"/>
      <c r="U96" s="11"/>
      <c r="V96" s="11"/>
      <c r="W96" s="11"/>
    </row>
    <row r="97" spans="1:23" ht="22" customHeight="1" x14ac:dyDescent="0.2">
      <c r="A97" s="9" t="s">
        <v>152</v>
      </c>
      <c r="B97" s="100">
        <f>B95-B96</f>
        <v>185.85</v>
      </c>
      <c r="C97" s="11"/>
      <c r="D97" s="11"/>
      <c r="E97" s="11"/>
      <c r="F97" s="11"/>
      <c r="G97" s="11"/>
      <c r="H97" s="11"/>
      <c r="I97" s="11"/>
      <c r="J97" s="11"/>
      <c r="K97" s="11"/>
      <c r="L97" s="11"/>
      <c r="M97" s="11"/>
      <c r="N97" s="11"/>
      <c r="O97" s="11"/>
      <c r="P97" s="11"/>
      <c r="Q97" s="11"/>
      <c r="R97" s="11"/>
      <c r="S97" s="11"/>
      <c r="T97" s="11"/>
      <c r="U97" s="11"/>
      <c r="V97" s="11"/>
      <c r="W97" s="11"/>
    </row>
    <row r="98" spans="1:23" ht="22"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row>
    <row r="99" spans="1:23" ht="22" customHeight="1" x14ac:dyDescent="0.2">
      <c r="A99" s="9" t="s">
        <v>161</v>
      </c>
      <c r="B99" s="20">
        <v>3700</v>
      </c>
      <c r="C99" s="11"/>
      <c r="D99" s="11"/>
      <c r="E99" s="11"/>
      <c r="F99" s="11"/>
      <c r="G99" s="11"/>
      <c r="H99" s="11"/>
      <c r="I99" s="11"/>
      <c r="J99" s="11"/>
      <c r="K99" s="11"/>
      <c r="L99" s="11"/>
      <c r="M99" s="11"/>
      <c r="N99" s="11"/>
      <c r="O99" s="11"/>
      <c r="P99" s="11"/>
      <c r="Q99" s="11"/>
      <c r="R99" s="11"/>
      <c r="S99" s="11"/>
      <c r="T99" s="11"/>
      <c r="U99" s="11"/>
      <c r="V99" s="11"/>
      <c r="W99" s="11"/>
    </row>
    <row r="100" spans="1:23" ht="22" customHeight="1" x14ac:dyDescent="0.2">
      <c r="A100" s="9" t="s">
        <v>162</v>
      </c>
      <c r="B100" s="100">
        <v>347.2</v>
      </c>
      <c r="C100" s="11"/>
      <c r="D100" s="11"/>
      <c r="E100" s="11"/>
      <c r="F100" s="11"/>
      <c r="G100" s="11"/>
      <c r="H100" s="11"/>
      <c r="I100" s="11"/>
      <c r="J100" s="11"/>
      <c r="K100" s="11"/>
      <c r="L100" s="11"/>
      <c r="M100" s="11"/>
      <c r="N100" s="11"/>
      <c r="O100" s="11"/>
      <c r="P100" s="11"/>
      <c r="Q100" s="11"/>
      <c r="R100" s="11"/>
      <c r="S100" s="11"/>
      <c r="T100" s="11"/>
      <c r="U100" s="11"/>
      <c r="V100" s="11"/>
      <c r="W100" s="11"/>
    </row>
    <row r="101" spans="1:23" ht="22" customHeight="1" x14ac:dyDescent="0.2">
      <c r="A101" s="9" t="s">
        <v>163</v>
      </c>
      <c r="B101" s="100">
        <v>500</v>
      </c>
      <c r="C101" s="11"/>
      <c r="D101" s="11"/>
      <c r="E101" s="11"/>
      <c r="F101" s="11"/>
      <c r="G101" s="11"/>
      <c r="H101" s="11"/>
      <c r="I101" s="11"/>
      <c r="J101" s="11"/>
      <c r="K101" s="11"/>
      <c r="L101" s="11"/>
      <c r="M101" s="11"/>
      <c r="N101" s="11"/>
      <c r="O101" s="11"/>
      <c r="P101" s="11"/>
      <c r="Q101" s="11"/>
      <c r="R101" s="11"/>
      <c r="S101" s="11"/>
      <c r="T101" s="11"/>
      <c r="U101" s="11"/>
      <c r="V101" s="11"/>
      <c r="W101" s="11"/>
    </row>
    <row r="102" spans="1:23" ht="22" customHeight="1" x14ac:dyDescent="0.2">
      <c r="A102" s="9" t="s">
        <v>164</v>
      </c>
      <c r="B102" s="100">
        <v>351.6</v>
      </c>
      <c r="C102" s="11"/>
      <c r="D102" s="11"/>
      <c r="E102" s="11"/>
      <c r="F102" s="11"/>
      <c r="G102" s="11"/>
      <c r="H102" s="11"/>
      <c r="I102" s="11"/>
      <c r="J102" s="11"/>
      <c r="K102" s="11"/>
      <c r="L102" s="11"/>
      <c r="M102" s="11"/>
      <c r="N102" s="11"/>
      <c r="O102" s="11"/>
      <c r="P102" s="11"/>
      <c r="Q102" s="11"/>
      <c r="R102" s="11"/>
      <c r="S102" s="11"/>
      <c r="T102" s="11"/>
      <c r="U102" s="11"/>
      <c r="V102" s="11"/>
      <c r="W102" s="11"/>
    </row>
    <row r="103" spans="1:23" ht="22" customHeight="1" x14ac:dyDescent="0.2">
      <c r="A103" s="9" t="s">
        <v>152</v>
      </c>
      <c r="B103" s="100">
        <f>B99-B100+B101-B102</f>
        <v>3501.2000000000003</v>
      </c>
      <c r="C103" s="11"/>
      <c r="D103" s="11"/>
      <c r="E103" s="11"/>
      <c r="F103" s="11"/>
      <c r="G103" s="11"/>
      <c r="H103" s="11"/>
      <c r="I103" s="11"/>
      <c r="J103" s="11"/>
      <c r="K103" s="11"/>
      <c r="L103" s="11"/>
      <c r="M103" s="11"/>
      <c r="N103" s="11"/>
      <c r="O103" s="11"/>
      <c r="P103" s="11"/>
      <c r="Q103" s="11"/>
      <c r="R103" s="11"/>
      <c r="S103" s="11"/>
      <c r="T103" s="11"/>
      <c r="U103" s="11"/>
      <c r="V103" s="11"/>
      <c r="W103" s="11"/>
    </row>
    <row r="104" spans="1:23" ht="22" customHeight="1" x14ac:dyDescent="0.2">
      <c r="A104" s="11"/>
      <c r="B104" s="118"/>
      <c r="C104" s="11"/>
      <c r="D104" s="11"/>
      <c r="E104" s="11"/>
      <c r="F104" s="11"/>
      <c r="G104" s="11"/>
      <c r="H104" s="11"/>
      <c r="I104" s="11"/>
      <c r="J104" s="11"/>
      <c r="K104" s="11"/>
      <c r="L104" s="11"/>
      <c r="M104" s="11"/>
      <c r="N104" s="11"/>
      <c r="O104" s="11"/>
      <c r="P104" s="11"/>
      <c r="Q104" s="11"/>
      <c r="R104" s="11"/>
      <c r="S104" s="11"/>
      <c r="T104" s="11"/>
      <c r="U104" s="11"/>
      <c r="V104" s="11"/>
      <c r="W104" s="11"/>
    </row>
    <row r="105" spans="1:23" ht="22" customHeight="1" x14ac:dyDescent="0.2">
      <c r="A105" s="28" t="s">
        <v>165</v>
      </c>
      <c r="B105" s="121">
        <f>B89+B93+B97+B103</f>
        <v>3826.59</v>
      </c>
      <c r="C105" s="33"/>
      <c r="D105" s="11"/>
      <c r="E105" s="11"/>
      <c r="F105" s="11"/>
      <c r="G105" s="11"/>
      <c r="H105" s="11"/>
      <c r="I105" s="11"/>
      <c r="J105" s="11"/>
      <c r="K105" s="11"/>
      <c r="L105" s="11"/>
      <c r="M105" s="11"/>
      <c r="N105" s="11"/>
      <c r="O105" s="11"/>
      <c r="P105" s="11"/>
      <c r="Q105" s="11"/>
      <c r="R105" s="11"/>
      <c r="S105" s="11"/>
      <c r="T105" s="11"/>
      <c r="U105" s="11"/>
      <c r="V105" s="11"/>
      <c r="W105" s="11"/>
    </row>
  </sheetData>
  <conditionalFormatting sqref="B57:B58">
    <cfRule type="cellIs" dxfId="2"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56"/>
  <sheetViews>
    <sheetView showGridLines="0" workbookViewId="0">
      <selection sqref="A1:E2"/>
    </sheetView>
  </sheetViews>
  <sheetFormatPr baseColWidth="10" defaultColWidth="12.25" defaultRowHeight="20" customHeight="1" x14ac:dyDescent="0.2"/>
  <cols>
    <col min="1" max="1" width="57.375" style="5" customWidth="1"/>
    <col min="2" max="2" width="16.375" style="5" customWidth="1"/>
    <col min="3" max="3" width="12.25" style="5" customWidth="1"/>
    <col min="4" max="4" width="14.875" style="5" customWidth="1"/>
    <col min="5" max="5" width="46.25" style="5" customWidth="1"/>
    <col min="6" max="6" width="7.5" style="5" customWidth="1"/>
    <col min="7" max="7" width="57.5" style="5" customWidth="1"/>
    <col min="8" max="10" width="12.25" style="5" customWidth="1"/>
    <col min="11" max="11" width="48.875" style="5" customWidth="1"/>
    <col min="12" max="12" width="12.25" style="5" customWidth="1"/>
    <col min="13" max="16384" width="12.25" style="5"/>
  </cols>
  <sheetData>
    <row r="1" spans="1:11" ht="22" customHeight="1" x14ac:dyDescent="0.2">
      <c r="A1" s="293" t="s">
        <v>166</v>
      </c>
      <c r="B1" s="289"/>
      <c r="C1" s="289"/>
      <c r="D1" s="289"/>
      <c r="E1" s="289"/>
      <c r="F1" s="122"/>
      <c r="G1" s="288" t="s">
        <v>167</v>
      </c>
      <c r="H1" s="289"/>
      <c r="I1" s="289"/>
      <c r="J1" s="289"/>
      <c r="K1" s="290"/>
    </row>
    <row r="2" spans="1:11" ht="22" customHeight="1" x14ac:dyDescent="0.2">
      <c r="A2" s="285"/>
      <c r="B2" s="291"/>
      <c r="C2" s="291"/>
      <c r="D2" s="291"/>
      <c r="E2" s="291"/>
      <c r="F2" s="122"/>
      <c r="G2" s="291"/>
      <c r="H2" s="291"/>
      <c r="I2" s="291"/>
      <c r="J2" s="291"/>
      <c r="K2" s="292"/>
    </row>
    <row r="3" spans="1:11" ht="22" customHeight="1" x14ac:dyDescent="0.2">
      <c r="A3" s="39"/>
      <c r="B3" s="39"/>
      <c r="C3" s="40" t="s">
        <v>76</v>
      </c>
      <c r="D3" s="39"/>
      <c r="E3" s="39"/>
      <c r="F3" s="11"/>
      <c r="G3" s="39"/>
      <c r="H3" s="39"/>
      <c r="I3" s="40" t="s">
        <v>76</v>
      </c>
      <c r="J3" s="39"/>
      <c r="K3" s="39"/>
    </row>
    <row r="4" spans="1:11" ht="22" customHeight="1" x14ac:dyDescent="0.2">
      <c r="A4" s="41" t="s">
        <v>77</v>
      </c>
      <c r="B4" s="42">
        <v>6484.81</v>
      </c>
      <c r="C4" s="43">
        <v>210</v>
      </c>
      <c r="D4" s="11"/>
      <c r="E4" s="11"/>
      <c r="F4" s="11"/>
      <c r="G4" s="41" t="s">
        <v>168</v>
      </c>
      <c r="H4" s="42">
        <v>43236.65</v>
      </c>
      <c r="I4" s="43">
        <v>210</v>
      </c>
      <c r="J4" s="11"/>
      <c r="K4" s="11"/>
    </row>
    <row r="5" spans="1:11" ht="22" customHeight="1" x14ac:dyDescent="0.2">
      <c r="A5" s="44" t="s">
        <v>78</v>
      </c>
      <c r="B5" s="45">
        <f>B4-B6</f>
        <v>5735.21</v>
      </c>
      <c r="C5" s="46"/>
      <c r="D5" s="11"/>
      <c r="E5" s="11"/>
      <c r="F5" s="123"/>
      <c r="G5" s="124" t="s">
        <v>169</v>
      </c>
      <c r="H5" s="45">
        <f>H4-H6</f>
        <v>37119.910000000003</v>
      </c>
      <c r="I5" s="46"/>
      <c r="J5" s="11"/>
      <c r="K5" s="11"/>
    </row>
    <row r="6" spans="1:11" ht="22" customHeight="1" x14ac:dyDescent="0.2">
      <c r="A6" s="47" t="s">
        <v>79</v>
      </c>
      <c r="B6" s="48">
        <v>749.6</v>
      </c>
      <c r="C6" s="49">
        <v>220</v>
      </c>
      <c r="D6" s="11"/>
      <c r="E6" s="11"/>
      <c r="F6" s="123"/>
      <c r="G6" s="125" t="s">
        <v>79</v>
      </c>
      <c r="H6" s="48">
        <v>6116.74</v>
      </c>
      <c r="I6" s="49">
        <v>220</v>
      </c>
      <c r="J6" s="11"/>
      <c r="K6" s="11"/>
    </row>
    <row r="7" spans="1:11" ht="22" customHeight="1" x14ac:dyDescent="0.2">
      <c r="A7" s="50"/>
      <c r="B7" s="51"/>
      <c r="C7" s="52"/>
      <c r="D7" s="53"/>
      <c r="E7" s="53"/>
      <c r="F7" s="11"/>
      <c r="G7" s="50"/>
      <c r="H7" s="51"/>
      <c r="I7" s="52"/>
      <c r="J7" s="53"/>
      <c r="K7" s="53"/>
    </row>
    <row r="8" spans="1:11" ht="22" customHeight="1" x14ac:dyDescent="0.25">
      <c r="A8" s="44" t="s">
        <v>80</v>
      </c>
      <c r="B8" s="45">
        <v>767.28</v>
      </c>
      <c r="C8" s="54">
        <v>230</v>
      </c>
      <c r="D8" s="55">
        <f>ROUND(B5*0.1812,2)</f>
        <v>1039.22</v>
      </c>
      <c r="E8" s="56" t="s">
        <v>81</v>
      </c>
      <c r="F8" s="126"/>
      <c r="G8" s="124" t="s">
        <v>80</v>
      </c>
      <c r="H8" s="45">
        <v>6794.81</v>
      </c>
      <c r="I8" s="54">
        <v>230</v>
      </c>
      <c r="J8" s="55">
        <f>ROUND(H5*0.1812,2)</f>
        <v>6726.13</v>
      </c>
      <c r="K8" s="56" t="s">
        <v>81</v>
      </c>
    </row>
    <row r="9" spans="1:11" ht="22" customHeight="1" x14ac:dyDescent="0.25">
      <c r="A9" s="47" t="s">
        <v>82</v>
      </c>
      <c r="B9" s="48">
        <v>105.84</v>
      </c>
      <c r="C9" s="54">
        <v>225</v>
      </c>
      <c r="D9" s="55">
        <f>ROUND(B6*0.1712,2)</f>
        <v>128.33000000000001</v>
      </c>
      <c r="E9" s="56" t="s">
        <v>83</v>
      </c>
      <c r="F9" s="126"/>
      <c r="G9" s="125" t="s">
        <v>82</v>
      </c>
      <c r="H9" s="48">
        <v>939.07</v>
      </c>
      <c r="I9" s="54">
        <v>225</v>
      </c>
      <c r="J9" s="55">
        <f>ROUND(H6*0.1712,2)</f>
        <v>1047.19</v>
      </c>
      <c r="K9" s="56" t="s">
        <v>83</v>
      </c>
    </row>
    <row r="10" spans="1:11" ht="22" customHeight="1" x14ac:dyDescent="0.25">
      <c r="A10" s="57" t="s">
        <v>84</v>
      </c>
      <c r="B10" s="58">
        <f>B8+B9</f>
        <v>873.12</v>
      </c>
      <c r="C10" s="59"/>
      <c r="D10" s="55">
        <f>D8+D9</f>
        <v>1167.55</v>
      </c>
      <c r="E10" s="56" t="s">
        <v>85</v>
      </c>
      <c r="F10" s="76"/>
      <c r="G10" s="57" t="s">
        <v>84</v>
      </c>
      <c r="H10" s="58">
        <f>H8+H9</f>
        <v>7733.88</v>
      </c>
      <c r="I10" s="59"/>
      <c r="J10" s="55">
        <f>J8+J9</f>
        <v>7773.32</v>
      </c>
      <c r="K10" s="56" t="s">
        <v>85</v>
      </c>
    </row>
    <row r="11" spans="1:11" ht="22" customHeight="1" x14ac:dyDescent="0.2">
      <c r="A11" s="60"/>
      <c r="B11" s="42"/>
      <c r="C11" s="52"/>
      <c r="D11" s="61"/>
      <c r="E11" s="61"/>
      <c r="F11" s="11"/>
      <c r="G11" s="60"/>
      <c r="H11" s="42"/>
      <c r="I11" s="52"/>
      <c r="J11" s="61"/>
      <c r="K11" s="61"/>
    </row>
    <row r="12" spans="1:11" ht="22" customHeight="1" x14ac:dyDescent="0.2">
      <c r="A12" s="44" t="s">
        <v>86</v>
      </c>
      <c r="B12" s="45">
        <f>B5-B8</f>
        <v>4967.93</v>
      </c>
      <c r="C12" s="49">
        <v>245</v>
      </c>
      <c r="D12" s="9" t="s">
        <v>87</v>
      </c>
      <c r="E12" s="11"/>
      <c r="F12" s="123"/>
      <c r="G12" s="124" t="s">
        <v>170</v>
      </c>
      <c r="H12" s="45">
        <f>H5-H8</f>
        <v>30325.100000000002</v>
      </c>
      <c r="I12" s="49">
        <v>245</v>
      </c>
      <c r="J12" s="9" t="s">
        <v>87</v>
      </c>
      <c r="K12" s="11"/>
    </row>
    <row r="13" spans="1:11" ht="22" customHeight="1" x14ac:dyDescent="0.2">
      <c r="A13" s="47" t="s">
        <v>88</v>
      </c>
      <c r="B13" s="48">
        <f>B6-B9</f>
        <v>643.76</v>
      </c>
      <c r="C13" s="46"/>
      <c r="D13" s="9" t="s">
        <v>89</v>
      </c>
      <c r="E13" s="11"/>
      <c r="F13" s="123"/>
      <c r="G13" s="125" t="s">
        <v>88</v>
      </c>
      <c r="H13" s="48">
        <f>H6-H9</f>
        <v>5177.67</v>
      </c>
      <c r="I13" s="46"/>
      <c r="J13" s="9" t="s">
        <v>89</v>
      </c>
      <c r="K13" s="11"/>
    </row>
    <row r="14" spans="1:11" ht="22" customHeight="1" x14ac:dyDescent="0.2">
      <c r="A14" s="50"/>
      <c r="B14" s="51"/>
      <c r="C14" s="11"/>
      <c r="D14" s="11"/>
      <c r="E14" s="11"/>
      <c r="F14" s="11"/>
      <c r="G14" s="50"/>
      <c r="H14" s="51"/>
      <c r="I14" s="11"/>
      <c r="J14" s="11"/>
      <c r="K14" s="11"/>
    </row>
    <row r="15" spans="1:11" ht="22" customHeight="1" x14ac:dyDescent="0.2">
      <c r="A15" s="62" t="s">
        <v>90</v>
      </c>
      <c r="B15" s="63">
        <v>1535.69</v>
      </c>
      <c r="C15" s="281" t="s">
        <v>91</v>
      </c>
      <c r="D15" s="282"/>
      <c r="E15" s="282"/>
      <c r="F15" s="123"/>
      <c r="G15" s="127" t="s">
        <v>90</v>
      </c>
      <c r="H15" s="63">
        <v>413.13</v>
      </c>
      <c r="I15" s="281" t="s">
        <v>91</v>
      </c>
      <c r="J15" s="282"/>
      <c r="K15" s="282"/>
    </row>
    <row r="16" spans="1:11" ht="22" customHeight="1" x14ac:dyDescent="0.2">
      <c r="A16" s="62" t="s">
        <v>92</v>
      </c>
      <c r="B16" s="63">
        <v>0</v>
      </c>
      <c r="C16" s="64"/>
      <c r="D16" s="11"/>
      <c r="E16" s="11"/>
      <c r="F16" s="123"/>
      <c r="G16" s="127" t="s">
        <v>92</v>
      </c>
      <c r="H16" s="63">
        <v>261</v>
      </c>
      <c r="I16" s="64"/>
      <c r="J16" s="11"/>
      <c r="K16" s="11"/>
    </row>
    <row r="17" spans="1:11" ht="22" customHeight="1" x14ac:dyDescent="0.2">
      <c r="A17" s="50"/>
      <c r="B17" s="51"/>
      <c r="C17" s="11"/>
      <c r="D17" s="11"/>
      <c r="E17" s="11"/>
      <c r="F17" s="11"/>
      <c r="G17" s="50"/>
      <c r="H17" s="51"/>
      <c r="I17" s="11"/>
      <c r="J17" s="11"/>
      <c r="K17" s="11"/>
    </row>
    <row r="18" spans="1:11" ht="22" customHeight="1" x14ac:dyDescent="0.2">
      <c r="A18" s="65" t="s">
        <v>93</v>
      </c>
      <c r="B18" s="66">
        <v>22.76</v>
      </c>
      <c r="C18" s="49">
        <v>260</v>
      </c>
      <c r="D18" s="11"/>
      <c r="E18" s="11"/>
      <c r="F18" s="123"/>
      <c r="G18" s="128" t="s">
        <v>93</v>
      </c>
      <c r="H18" s="66">
        <v>5888.01</v>
      </c>
      <c r="I18" s="49">
        <v>260</v>
      </c>
      <c r="J18" s="11"/>
      <c r="K18" s="11"/>
    </row>
    <row r="19" spans="1:11" ht="22" customHeight="1" x14ac:dyDescent="0.2">
      <c r="A19" s="39"/>
      <c r="B19" s="39"/>
      <c r="C19" s="11"/>
      <c r="D19" s="11"/>
      <c r="E19" s="11"/>
      <c r="F19" s="11"/>
      <c r="G19" s="39"/>
      <c r="H19" s="39"/>
      <c r="I19" s="11"/>
      <c r="J19" s="11"/>
      <c r="K19" s="11"/>
    </row>
    <row r="20" spans="1:11" ht="22" customHeight="1" x14ac:dyDescent="0.2">
      <c r="A20" s="53"/>
      <c r="B20" s="53"/>
      <c r="C20" s="53"/>
      <c r="D20" s="53"/>
      <c r="E20" s="53"/>
      <c r="F20" s="11"/>
      <c r="G20" s="11"/>
      <c r="H20" s="11"/>
      <c r="I20" s="11"/>
      <c r="J20" s="11"/>
      <c r="K20" s="11"/>
    </row>
    <row r="21" spans="1:11" ht="22" customHeight="1" x14ac:dyDescent="0.2">
      <c r="A21" s="277" t="s">
        <v>171</v>
      </c>
      <c r="B21" s="294"/>
      <c r="C21" s="294"/>
      <c r="D21" s="294"/>
      <c r="E21" s="294"/>
      <c r="F21" s="76"/>
      <c r="G21" s="11"/>
      <c r="H21" s="11"/>
      <c r="I21" s="11"/>
      <c r="J21" s="11"/>
      <c r="K21" s="11"/>
    </row>
    <row r="22" spans="1:11" ht="22" customHeight="1" x14ac:dyDescent="0.2">
      <c r="A22" s="294"/>
      <c r="B22" s="294"/>
      <c r="C22" s="294"/>
      <c r="D22" s="294"/>
      <c r="E22" s="294"/>
      <c r="F22" s="76"/>
      <c r="G22" s="11"/>
      <c r="H22" s="11"/>
      <c r="I22" s="11"/>
      <c r="J22" s="11"/>
      <c r="K22" s="11"/>
    </row>
    <row r="23" spans="1:11" ht="22" customHeight="1" x14ac:dyDescent="0.2">
      <c r="A23" s="67" t="s">
        <v>95</v>
      </c>
      <c r="B23" s="68">
        <f>'2018'!B22</f>
        <v>2809.02</v>
      </c>
      <c r="C23" s="69"/>
      <c r="D23" s="61"/>
      <c r="E23" s="61"/>
      <c r="F23" s="11"/>
      <c r="G23" s="11"/>
      <c r="H23" s="11"/>
      <c r="I23" s="11"/>
      <c r="J23" s="11"/>
      <c r="K23" s="11"/>
    </row>
    <row r="24" spans="1:11" ht="22" customHeight="1" x14ac:dyDescent="0.2">
      <c r="A24" s="44" t="s">
        <v>172</v>
      </c>
      <c r="B24" s="45">
        <f>B12+H12</f>
        <v>35293.03</v>
      </c>
      <c r="C24" s="64"/>
      <c r="D24" s="11"/>
      <c r="E24" s="11"/>
      <c r="F24" s="11"/>
      <c r="G24" s="11"/>
      <c r="H24" s="11"/>
      <c r="I24" s="11"/>
      <c r="J24" s="11"/>
      <c r="K24" s="11"/>
    </row>
    <row r="25" spans="1:11" ht="22" customHeight="1" x14ac:dyDescent="0.25">
      <c r="A25" s="129" t="s">
        <v>97</v>
      </c>
      <c r="B25" s="130">
        <f>B23+B24</f>
        <v>38102.049999999996</v>
      </c>
      <c r="C25" s="64"/>
      <c r="D25" s="11"/>
      <c r="E25" s="11"/>
      <c r="F25" s="11"/>
      <c r="G25" s="11"/>
      <c r="H25" s="11"/>
      <c r="I25" s="11"/>
      <c r="J25" s="11"/>
      <c r="K25" s="11"/>
    </row>
    <row r="26" spans="1:11" ht="22" customHeight="1" x14ac:dyDescent="0.2">
      <c r="A26" s="72"/>
      <c r="B26" s="88"/>
      <c r="C26" s="11"/>
      <c r="D26" s="11"/>
      <c r="E26" s="11"/>
      <c r="F26" s="11"/>
      <c r="G26" s="11"/>
      <c r="H26" s="11"/>
      <c r="I26" s="11"/>
      <c r="J26" s="11"/>
      <c r="K26" s="11"/>
    </row>
    <row r="27" spans="1:11" ht="22" customHeight="1" x14ac:dyDescent="0.2">
      <c r="A27" s="74" t="s">
        <v>98</v>
      </c>
      <c r="B27" s="77"/>
      <c r="C27" s="76"/>
      <c r="D27" s="11"/>
      <c r="E27" s="11"/>
      <c r="F27" s="11"/>
      <c r="G27" s="11"/>
      <c r="H27" s="11"/>
      <c r="I27" s="11"/>
      <c r="J27" s="11"/>
      <c r="K27" s="11"/>
    </row>
    <row r="28" spans="1:11" ht="22" customHeight="1" x14ac:dyDescent="0.2">
      <c r="A28" s="74" t="s">
        <v>25</v>
      </c>
      <c r="B28" s="77">
        <f>'2018'!B17</f>
        <v>825.23599999999999</v>
      </c>
      <c r="C28" s="76"/>
      <c r="D28" s="11"/>
      <c r="E28" s="11"/>
      <c r="F28" s="11"/>
      <c r="G28" s="11"/>
      <c r="H28" s="11"/>
      <c r="I28" s="11"/>
      <c r="J28" s="11"/>
      <c r="K28" s="11"/>
    </row>
    <row r="29" spans="1:11" ht="22" customHeight="1" x14ac:dyDescent="0.2">
      <c r="A29" s="74" t="s">
        <v>99</v>
      </c>
      <c r="B29" s="77">
        <f>(60000-(B25-B28))*('2018'!B6/4-60)/23600+60</f>
        <v>523.79611323326276</v>
      </c>
      <c r="C29" s="78"/>
      <c r="D29" s="131"/>
      <c r="E29" s="11"/>
      <c r="F29" s="11"/>
      <c r="G29" s="11"/>
      <c r="H29" s="11"/>
      <c r="I29" s="11"/>
      <c r="J29" s="11"/>
      <c r="K29" s="11"/>
    </row>
    <row r="30" spans="1:11" ht="22" customHeight="1" x14ac:dyDescent="0.2">
      <c r="A30" s="74" t="s">
        <v>173</v>
      </c>
      <c r="B30" s="77">
        <f>'2018'!B20-(B25+B13+H13-B28-B29)*0.12</f>
        <v>3617.9362535879927</v>
      </c>
      <c r="C30" s="78"/>
      <c r="D30" s="11"/>
      <c r="E30" s="11"/>
      <c r="F30" s="11"/>
      <c r="G30" s="11"/>
      <c r="H30" s="11"/>
      <c r="I30" s="11"/>
      <c r="J30" s="11"/>
      <c r="K30" s="11"/>
    </row>
    <row r="31" spans="1:11" ht="22" customHeight="1" x14ac:dyDescent="0.25">
      <c r="A31" s="79" t="s">
        <v>21</v>
      </c>
      <c r="B31" s="80">
        <f>SUM(B28:B30)</f>
        <v>4966.9683668212556</v>
      </c>
      <c r="C31" s="76"/>
      <c r="D31" s="11"/>
      <c r="E31" s="11"/>
      <c r="F31" s="11"/>
      <c r="G31" s="11"/>
      <c r="H31" s="11"/>
      <c r="I31" s="11"/>
      <c r="J31" s="11"/>
      <c r="K31" s="11"/>
    </row>
    <row r="32" spans="1:11" ht="22" customHeight="1" x14ac:dyDescent="0.2">
      <c r="A32" s="81"/>
      <c r="B32" s="82"/>
      <c r="C32" s="11"/>
      <c r="D32" s="11"/>
      <c r="E32" s="11"/>
      <c r="F32" s="11"/>
      <c r="G32" s="11"/>
      <c r="H32" s="11"/>
      <c r="I32" s="11"/>
      <c r="J32" s="11"/>
      <c r="K32" s="11"/>
    </row>
    <row r="33" spans="1:11" ht="22" customHeight="1" x14ac:dyDescent="0.25">
      <c r="A33" s="83" t="s">
        <v>101</v>
      </c>
      <c r="B33" s="84">
        <f>B25-B31</f>
        <v>33135.081633178743</v>
      </c>
      <c r="C33" s="64"/>
      <c r="D33" s="11"/>
      <c r="E33" s="11"/>
      <c r="F33" s="11"/>
      <c r="G33" s="11"/>
      <c r="H33" s="11"/>
      <c r="I33" s="11"/>
      <c r="J33" s="11"/>
      <c r="K33" s="11"/>
    </row>
    <row r="34" spans="1:11" ht="22" customHeight="1" x14ac:dyDescent="0.25">
      <c r="A34" s="56" t="s">
        <v>102</v>
      </c>
      <c r="B34" s="85">
        <f>ROUND((B33-31000)*0.42+6300,2)</f>
        <v>7196.73</v>
      </c>
      <c r="C34" s="283" t="s">
        <v>174</v>
      </c>
      <c r="D34" s="284"/>
      <c r="E34" s="11"/>
      <c r="F34" s="11"/>
      <c r="G34" s="11"/>
      <c r="H34" s="11"/>
      <c r="I34" s="11"/>
      <c r="J34" s="11"/>
      <c r="K34" s="11"/>
    </row>
    <row r="35" spans="1:11" ht="22" customHeight="1" x14ac:dyDescent="0.25">
      <c r="A35" s="56" t="s">
        <v>104</v>
      </c>
      <c r="B35" s="85">
        <f>ROUND((B13+H13-620)*0.06,2)</f>
        <v>312.08999999999997</v>
      </c>
      <c r="C35" s="283" t="s">
        <v>105</v>
      </c>
      <c r="D35" s="284"/>
      <c r="E35" s="11"/>
      <c r="F35" s="11"/>
      <c r="G35" s="11"/>
      <c r="H35" s="11"/>
      <c r="I35" s="11"/>
      <c r="J35" s="11"/>
      <c r="K35" s="11"/>
    </row>
    <row r="36" spans="1:11" ht="22" customHeight="1" x14ac:dyDescent="0.2">
      <c r="A36" s="86" t="s">
        <v>106</v>
      </c>
      <c r="B36" s="87">
        <v>400</v>
      </c>
      <c r="C36" s="64"/>
      <c r="D36" s="11"/>
      <c r="E36" s="11"/>
      <c r="F36" s="11"/>
      <c r="G36" s="11"/>
      <c r="H36" s="11"/>
      <c r="I36" s="11"/>
      <c r="J36" s="11"/>
      <c r="K36" s="11"/>
    </row>
    <row r="37" spans="1:11" ht="22" customHeight="1" x14ac:dyDescent="0.2">
      <c r="A37" s="72"/>
      <c r="B37" s="88"/>
      <c r="C37" s="11"/>
      <c r="D37" s="11"/>
      <c r="E37" s="11"/>
      <c r="F37" s="11"/>
      <c r="G37" s="11"/>
      <c r="H37" s="11"/>
      <c r="I37" s="11"/>
      <c r="J37" s="11"/>
      <c r="K37" s="11"/>
    </row>
    <row r="38" spans="1:11" ht="22" customHeight="1" x14ac:dyDescent="0.25">
      <c r="A38" s="56" t="s">
        <v>107</v>
      </c>
      <c r="B38" s="85">
        <f>B34+B35-B36</f>
        <v>7108.82</v>
      </c>
      <c r="C38" s="76"/>
      <c r="D38" s="11"/>
      <c r="E38" s="11"/>
      <c r="F38" s="11"/>
      <c r="G38" s="11"/>
      <c r="H38" s="11"/>
      <c r="I38" s="11"/>
      <c r="J38" s="11"/>
      <c r="K38" s="11"/>
    </row>
    <row r="39" spans="1:11" ht="22" customHeight="1" x14ac:dyDescent="0.2">
      <c r="A39" s="86" t="s">
        <v>175</v>
      </c>
      <c r="B39" s="87">
        <f>B18+H18</f>
        <v>5910.77</v>
      </c>
      <c r="C39" s="64"/>
      <c r="D39" s="11"/>
      <c r="E39" s="11"/>
      <c r="F39" s="11"/>
      <c r="G39" s="11"/>
      <c r="H39" s="11"/>
      <c r="I39" s="11"/>
      <c r="J39" s="11"/>
      <c r="K39" s="11"/>
    </row>
    <row r="40" spans="1:11" ht="22" customHeight="1" x14ac:dyDescent="0.2">
      <c r="A40" s="57" t="s">
        <v>109</v>
      </c>
      <c r="B40" s="58">
        <v>-0.47</v>
      </c>
      <c r="C40" s="11"/>
      <c r="D40" s="11"/>
      <c r="E40" s="11"/>
      <c r="F40" s="11"/>
      <c r="G40" s="11"/>
      <c r="H40" s="11"/>
      <c r="I40" s="11"/>
      <c r="J40" s="11"/>
      <c r="K40" s="11"/>
    </row>
    <row r="41" spans="1:11" ht="22" customHeight="1" x14ac:dyDescent="0.2">
      <c r="A41" s="53"/>
      <c r="B41" s="89"/>
      <c r="C41" s="11"/>
      <c r="D41" s="11"/>
      <c r="E41" s="11"/>
      <c r="F41" s="11"/>
      <c r="G41" s="11"/>
      <c r="H41" s="11"/>
      <c r="I41" s="11"/>
      <c r="J41" s="11"/>
      <c r="K41" s="11"/>
    </row>
    <row r="42" spans="1:11" ht="22" customHeight="1" x14ac:dyDescent="0.25">
      <c r="A42" s="56" t="s">
        <v>176</v>
      </c>
      <c r="B42" s="85">
        <f>B38-B39+B40</f>
        <v>1197.5799999999992</v>
      </c>
      <c r="C42" s="76"/>
      <c r="D42" s="11"/>
      <c r="E42" s="11"/>
      <c r="F42" s="11"/>
      <c r="G42" s="11"/>
      <c r="H42" s="11"/>
      <c r="I42" s="11"/>
      <c r="J42" s="11"/>
      <c r="K42" s="11"/>
    </row>
    <row r="43" spans="1:11" ht="22" customHeight="1" x14ac:dyDescent="0.2">
      <c r="A43" s="81"/>
      <c r="B43" s="82"/>
      <c r="C43" s="11"/>
      <c r="D43" s="11"/>
      <c r="E43" s="11"/>
      <c r="F43" s="11"/>
      <c r="G43" s="11"/>
      <c r="H43" s="11"/>
      <c r="I43" s="11"/>
      <c r="J43" s="11"/>
      <c r="K43" s="11"/>
    </row>
    <row r="44" spans="1:11" ht="22" customHeight="1" x14ac:dyDescent="0.2">
      <c r="A44" s="65" t="s">
        <v>177</v>
      </c>
      <c r="B44" s="66">
        <v>604</v>
      </c>
      <c r="C44" s="64"/>
      <c r="D44" s="11"/>
      <c r="E44" s="11"/>
      <c r="F44" s="11"/>
      <c r="G44" s="11"/>
      <c r="H44" s="11"/>
      <c r="I44" s="11"/>
      <c r="J44" s="11"/>
      <c r="K44" s="11"/>
    </row>
    <row r="45" spans="1:11" ht="22" customHeight="1" x14ac:dyDescent="0.2">
      <c r="A45" s="72"/>
      <c r="B45" s="88"/>
      <c r="C45" s="11"/>
      <c r="D45" s="11"/>
      <c r="E45" s="11"/>
      <c r="F45" s="11"/>
      <c r="G45" s="11"/>
      <c r="H45" s="11"/>
      <c r="I45" s="11"/>
      <c r="J45" s="11"/>
      <c r="K45" s="11"/>
    </row>
    <row r="46" spans="1:11" ht="22" customHeight="1" x14ac:dyDescent="0.25">
      <c r="A46" s="90" t="s">
        <v>112</v>
      </c>
      <c r="B46" s="91">
        <f>B42-B44</f>
        <v>593.57999999999925</v>
      </c>
      <c r="C46" s="76"/>
      <c r="D46" s="11"/>
      <c r="E46" s="11"/>
      <c r="F46" s="11"/>
      <c r="G46" s="11"/>
      <c r="H46" s="11"/>
      <c r="I46" s="11"/>
      <c r="J46" s="11"/>
      <c r="K46" s="11"/>
    </row>
    <row r="47" spans="1:11" ht="22" customHeight="1" x14ac:dyDescent="0.2">
      <c r="A47" s="61"/>
      <c r="B47" s="61"/>
      <c r="C47" s="11"/>
      <c r="D47" s="11"/>
      <c r="E47" s="11"/>
      <c r="F47" s="11"/>
      <c r="G47" s="11"/>
      <c r="H47" s="11"/>
      <c r="I47" s="11"/>
      <c r="J47" s="11"/>
      <c r="K47" s="11"/>
    </row>
    <row r="48" spans="1:11" ht="22" customHeight="1" x14ac:dyDescent="0.2">
      <c r="A48" s="11"/>
      <c r="B48" s="11"/>
      <c r="C48" s="11"/>
      <c r="D48" s="11"/>
      <c r="E48" s="11"/>
      <c r="F48" s="11"/>
      <c r="G48" s="11"/>
      <c r="H48" s="11"/>
      <c r="I48" s="11"/>
      <c r="J48" s="11"/>
      <c r="K48" s="11"/>
    </row>
    <row r="49" spans="1:11" ht="22" customHeight="1" x14ac:dyDescent="0.2">
      <c r="A49" s="11"/>
      <c r="B49" s="11"/>
      <c r="C49" s="11"/>
      <c r="D49" s="11"/>
      <c r="E49" s="11"/>
      <c r="F49" s="11"/>
      <c r="G49" s="11"/>
      <c r="H49" s="11"/>
      <c r="I49" s="11"/>
      <c r="J49" s="11"/>
      <c r="K49" s="11"/>
    </row>
    <row r="50" spans="1:11" ht="22" customHeight="1" x14ac:dyDescent="0.25">
      <c r="A50" s="279" t="s">
        <v>178</v>
      </c>
      <c r="B50" s="280"/>
      <c r="C50" s="11"/>
      <c r="D50" s="11"/>
      <c r="E50" s="11"/>
      <c r="F50" s="11"/>
      <c r="G50" s="11"/>
      <c r="H50" s="11"/>
      <c r="I50" s="11"/>
      <c r="J50" s="11"/>
      <c r="K50" s="11"/>
    </row>
    <row r="51" spans="1:11" ht="22" customHeight="1" x14ac:dyDescent="0.2">
      <c r="A51" s="65" t="s">
        <v>179</v>
      </c>
      <c r="B51" s="66">
        <f>B4+H4</f>
        <v>49721.46</v>
      </c>
      <c r="C51" s="64"/>
      <c r="D51" s="11"/>
      <c r="E51" s="11"/>
      <c r="F51" s="11"/>
      <c r="G51" s="11"/>
      <c r="H51" s="11"/>
      <c r="I51" s="11"/>
      <c r="J51" s="11"/>
      <c r="K51" s="11"/>
    </row>
    <row r="52" spans="1:11" ht="22" customHeight="1" x14ac:dyDescent="0.2">
      <c r="A52" s="132" t="s">
        <v>115</v>
      </c>
      <c r="B52" s="133">
        <f>B10+H10</f>
        <v>8607</v>
      </c>
      <c r="C52" s="64"/>
      <c r="D52" s="11"/>
      <c r="E52" s="11"/>
      <c r="F52" s="11"/>
      <c r="G52" s="11"/>
      <c r="H52" s="11"/>
      <c r="I52" s="11"/>
      <c r="J52" s="11"/>
      <c r="K52" s="11"/>
    </row>
    <row r="53" spans="1:11" ht="22" customHeight="1" x14ac:dyDescent="0.2">
      <c r="A53" s="132" t="s">
        <v>107</v>
      </c>
      <c r="B53" s="133">
        <f>B38</f>
        <v>7108.82</v>
      </c>
      <c r="C53" s="64"/>
      <c r="D53" s="11"/>
      <c r="E53" s="11"/>
      <c r="F53" s="11"/>
      <c r="G53" s="11"/>
      <c r="H53" s="11"/>
      <c r="I53" s="11"/>
      <c r="J53" s="11"/>
      <c r="K53" s="11"/>
    </row>
    <row r="54" spans="1:11" ht="22" customHeight="1" x14ac:dyDescent="0.2">
      <c r="A54" s="65" t="s">
        <v>116</v>
      </c>
      <c r="B54" s="66">
        <f>1150.5+1888+885+1003+1180+1158+649+1947-920-49.48</f>
        <v>8891.02</v>
      </c>
      <c r="C54" s="64"/>
      <c r="D54" s="11"/>
      <c r="E54" s="11"/>
      <c r="F54" s="11"/>
      <c r="G54" s="11"/>
      <c r="H54" s="11"/>
      <c r="I54" s="11"/>
      <c r="J54" s="11"/>
      <c r="K54" s="11"/>
    </row>
    <row r="55" spans="1:11" ht="22" customHeight="1" x14ac:dyDescent="0.2">
      <c r="A55" s="72"/>
      <c r="B55" s="72"/>
      <c r="C55" s="11"/>
      <c r="D55" s="11"/>
      <c r="E55" s="11"/>
      <c r="F55" s="11"/>
      <c r="G55" s="11"/>
      <c r="H55" s="11"/>
      <c r="I55" s="11"/>
      <c r="J55" s="11"/>
      <c r="K55" s="11"/>
    </row>
    <row r="56" spans="1:11" ht="22" customHeight="1" x14ac:dyDescent="0.2">
      <c r="A56" s="134" t="s">
        <v>117</v>
      </c>
      <c r="B56" s="135">
        <f>B51-B52-B53+B54</f>
        <v>42896.66</v>
      </c>
      <c r="C56" s="76"/>
      <c r="D56" s="11"/>
      <c r="E56" s="11"/>
      <c r="F56" s="11"/>
      <c r="G56" s="11"/>
      <c r="H56" s="11"/>
      <c r="I56" s="11"/>
      <c r="J56" s="11"/>
      <c r="K56" s="11"/>
    </row>
  </sheetData>
  <mergeCells count="8">
    <mergeCell ref="G1:K2"/>
    <mergeCell ref="I15:K15"/>
    <mergeCell ref="A50:B50"/>
    <mergeCell ref="A1:E2"/>
    <mergeCell ref="C15:E15"/>
    <mergeCell ref="A21:E22"/>
    <mergeCell ref="C34:D34"/>
    <mergeCell ref="C35:D35"/>
  </mergeCells>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Z106"/>
  <sheetViews>
    <sheetView showGridLines="0" workbookViewId="0"/>
  </sheetViews>
  <sheetFormatPr baseColWidth="10" defaultColWidth="12.25" defaultRowHeight="20" customHeight="1" x14ac:dyDescent="0.2"/>
  <cols>
    <col min="1" max="1" width="38.875" style="5" customWidth="1"/>
    <col min="2" max="2" width="13.5" style="5" customWidth="1"/>
    <col min="3" max="3" width="13.125" style="5" customWidth="1"/>
    <col min="4" max="27" width="12.25" style="5" customWidth="1"/>
    <col min="28" max="16384" width="12.25" style="5"/>
  </cols>
  <sheetData>
    <row r="1" spans="1:26" ht="22" customHeight="1" x14ac:dyDescent="0.25">
      <c r="A1" s="19" t="s">
        <v>16</v>
      </c>
      <c r="B1" s="10"/>
      <c r="C1" s="11"/>
      <c r="D1" s="11"/>
      <c r="E1" s="11"/>
      <c r="F1" s="11"/>
      <c r="G1" s="11"/>
      <c r="H1" s="11"/>
      <c r="I1" s="11"/>
      <c r="J1" s="11"/>
      <c r="K1" s="11"/>
      <c r="L1" s="11"/>
      <c r="M1" s="11"/>
      <c r="N1" s="11"/>
      <c r="O1" s="11"/>
      <c r="P1" s="11"/>
      <c r="Q1" s="11"/>
      <c r="R1" s="11"/>
      <c r="S1" s="11"/>
      <c r="T1" s="11"/>
      <c r="U1" s="11"/>
      <c r="V1" s="11"/>
      <c r="W1" s="11"/>
      <c r="X1" s="11"/>
      <c r="Y1" s="11"/>
      <c r="Z1" s="11"/>
    </row>
    <row r="2" spans="1:26" ht="22" customHeight="1" x14ac:dyDescent="0.2">
      <c r="A2" s="9" t="s">
        <v>17</v>
      </c>
      <c r="B2" s="100">
        <f>B32</f>
        <v>200.16000000000005</v>
      </c>
      <c r="C2" s="11"/>
      <c r="D2" s="11"/>
      <c r="E2" s="11"/>
      <c r="F2" s="11"/>
      <c r="G2" s="11"/>
      <c r="H2" s="11"/>
      <c r="I2" s="11"/>
      <c r="J2" s="11"/>
      <c r="K2" s="11"/>
      <c r="L2" s="11"/>
      <c r="M2" s="11"/>
      <c r="N2" s="11"/>
      <c r="O2" s="11"/>
      <c r="P2" s="11"/>
      <c r="Q2" s="11"/>
      <c r="R2" s="11"/>
      <c r="S2" s="11"/>
      <c r="T2" s="11"/>
      <c r="U2" s="11"/>
      <c r="V2" s="11"/>
      <c r="W2" s="11"/>
      <c r="X2" s="11"/>
      <c r="Y2" s="11"/>
      <c r="Z2" s="11"/>
    </row>
    <row r="3" spans="1:26" ht="22" customHeight="1" x14ac:dyDescent="0.2">
      <c r="A3" s="9" t="s">
        <v>19</v>
      </c>
      <c r="B3" s="100">
        <f>B35</f>
        <v>1436.64</v>
      </c>
      <c r="C3" s="11"/>
      <c r="D3" s="11"/>
      <c r="E3" s="11"/>
      <c r="F3" s="11"/>
      <c r="G3" s="11"/>
      <c r="H3" s="11"/>
      <c r="I3" s="11"/>
      <c r="J3" s="11"/>
      <c r="K3" s="11"/>
      <c r="L3" s="11"/>
      <c r="M3" s="11"/>
      <c r="N3" s="11"/>
      <c r="O3" s="11"/>
      <c r="P3" s="11"/>
      <c r="Q3" s="11"/>
      <c r="R3" s="11"/>
      <c r="S3" s="11"/>
      <c r="T3" s="11"/>
      <c r="U3" s="11"/>
      <c r="V3" s="11"/>
      <c r="W3" s="11"/>
      <c r="X3" s="11"/>
      <c r="Y3" s="11"/>
      <c r="Z3" s="11"/>
    </row>
    <row r="4" spans="1:26" ht="22" customHeight="1" x14ac:dyDescent="0.2">
      <c r="A4" s="9" t="s">
        <v>60</v>
      </c>
      <c r="B4" s="100">
        <v>318.79000000000002</v>
      </c>
      <c r="C4" s="11"/>
      <c r="D4" s="11"/>
      <c r="E4" s="11"/>
      <c r="F4" s="11"/>
      <c r="G4" s="11"/>
      <c r="H4" s="11"/>
      <c r="I4" s="11"/>
      <c r="J4" s="11"/>
      <c r="K4" s="11"/>
      <c r="L4" s="11"/>
      <c r="M4" s="11"/>
      <c r="N4" s="11"/>
      <c r="O4" s="11"/>
      <c r="P4" s="11"/>
      <c r="Q4" s="11"/>
      <c r="R4" s="11"/>
      <c r="S4" s="11"/>
      <c r="T4" s="11"/>
      <c r="U4" s="11"/>
      <c r="V4" s="11"/>
      <c r="W4" s="11"/>
      <c r="X4" s="11"/>
      <c r="Y4" s="11"/>
      <c r="Z4" s="11"/>
    </row>
    <row r="5" spans="1:26" ht="22" customHeight="1" x14ac:dyDescent="0.2">
      <c r="A5" s="12" t="s">
        <v>61</v>
      </c>
      <c r="B5" s="101">
        <v>211.18</v>
      </c>
      <c r="C5" s="11"/>
      <c r="D5" s="11"/>
      <c r="E5" s="11"/>
      <c r="F5" s="11"/>
      <c r="G5" s="11"/>
      <c r="H5" s="11"/>
      <c r="I5" s="11"/>
      <c r="J5" s="11"/>
      <c r="K5" s="11"/>
      <c r="L5" s="11"/>
      <c r="M5" s="11"/>
      <c r="N5" s="11"/>
      <c r="O5" s="11"/>
      <c r="P5" s="11"/>
      <c r="Q5" s="11"/>
      <c r="R5" s="11"/>
      <c r="S5" s="11"/>
      <c r="T5" s="11"/>
      <c r="U5" s="11"/>
      <c r="V5" s="11"/>
      <c r="W5" s="11"/>
      <c r="X5" s="11"/>
      <c r="Y5" s="11"/>
      <c r="Z5" s="11"/>
    </row>
    <row r="6" spans="1:26" ht="22" customHeight="1" x14ac:dyDescent="0.2">
      <c r="A6" s="14" t="s">
        <v>21</v>
      </c>
      <c r="B6" s="102">
        <f>SUM(B2:B5)</f>
        <v>2166.77</v>
      </c>
      <c r="C6" s="22" t="s">
        <v>18</v>
      </c>
      <c r="D6" s="11"/>
      <c r="E6" s="11"/>
      <c r="F6" s="11"/>
      <c r="G6" s="11"/>
      <c r="H6" s="11"/>
      <c r="I6" s="11"/>
      <c r="J6" s="11"/>
      <c r="K6" s="11"/>
      <c r="L6" s="11"/>
      <c r="M6" s="11"/>
      <c r="N6" s="11"/>
      <c r="O6" s="11"/>
      <c r="P6" s="11"/>
      <c r="Q6" s="11"/>
      <c r="R6" s="11"/>
      <c r="S6" s="11"/>
      <c r="T6" s="11"/>
      <c r="U6" s="11"/>
      <c r="V6" s="11"/>
      <c r="W6" s="11"/>
      <c r="X6" s="11"/>
      <c r="Y6" s="11"/>
      <c r="Z6" s="11"/>
    </row>
    <row r="7" spans="1:26" ht="22" customHeight="1" x14ac:dyDescent="0.2">
      <c r="A7" s="17"/>
      <c r="B7" s="18"/>
      <c r="C7" s="11"/>
      <c r="D7" s="11"/>
      <c r="E7" s="11"/>
      <c r="F7" s="11"/>
      <c r="G7" s="11"/>
      <c r="H7" s="11"/>
      <c r="I7" s="11"/>
      <c r="J7" s="11"/>
      <c r="K7" s="11"/>
      <c r="L7" s="11"/>
      <c r="M7" s="11"/>
      <c r="N7" s="11"/>
      <c r="O7" s="11"/>
      <c r="P7" s="11"/>
      <c r="Q7" s="11"/>
      <c r="R7" s="11"/>
      <c r="S7" s="11"/>
      <c r="T7" s="11"/>
      <c r="U7" s="11"/>
      <c r="V7" s="11"/>
      <c r="W7" s="11"/>
      <c r="X7" s="11"/>
      <c r="Y7" s="11"/>
      <c r="Z7" s="11"/>
    </row>
    <row r="8" spans="1:26" ht="22" customHeight="1" x14ac:dyDescent="0.2">
      <c r="A8" s="11"/>
      <c r="B8" s="10"/>
      <c r="C8" s="11"/>
      <c r="D8" s="11"/>
      <c r="E8" s="11"/>
      <c r="F8" s="11"/>
      <c r="G8" s="11"/>
      <c r="H8" s="11"/>
      <c r="I8" s="11"/>
      <c r="J8" s="11"/>
      <c r="K8" s="11"/>
      <c r="L8" s="11"/>
      <c r="M8" s="11"/>
      <c r="N8" s="11"/>
      <c r="O8" s="11"/>
      <c r="P8" s="11"/>
      <c r="Q8" s="11"/>
      <c r="R8" s="11"/>
      <c r="S8" s="11"/>
      <c r="T8" s="11"/>
      <c r="U8" s="11"/>
      <c r="V8" s="11"/>
      <c r="W8" s="11"/>
      <c r="X8" s="11"/>
      <c r="Y8" s="11"/>
      <c r="Z8" s="11"/>
    </row>
    <row r="9" spans="1:26" ht="22" customHeight="1" x14ac:dyDescent="0.25">
      <c r="A9" s="19" t="s">
        <v>25</v>
      </c>
      <c r="B9" s="10"/>
      <c r="C9" s="11"/>
      <c r="D9" s="11"/>
      <c r="E9" s="11"/>
      <c r="F9" s="11"/>
      <c r="G9" s="11"/>
      <c r="H9" s="11"/>
      <c r="I9" s="11"/>
      <c r="J9" s="11"/>
      <c r="K9" s="11"/>
      <c r="L9" s="11"/>
      <c r="M9" s="11"/>
      <c r="N9" s="11"/>
      <c r="O9" s="11"/>
      <c r="P9" s="11"/>
      <c r="Q9" s="11"/>
      <c r="R9" s="11"/>
      <c r="S9" s="11"/>
      <c r="T9" s="11"/>
      <c r="U9" s="11"/>
      <c r="V9" s="11"/>
      <c r="W9" s="11"/>
      <c r="X9" s="11"/>
      <c r="Y9" s="11"/>
      <c r="Z9" s="11"/>
    </row>
    <row r="10" spans="1:26" ht="22" customHeight="1" x14ac:dyDescent="0.2">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c r="X10" s="11"/>
      <c r="Y10" s="11"/>
      <c r="Z10" s="11"/>
    </row>
    <row r="11" spans="1:26" ht="22" customHeight="1" x14ac:dyDescent="0.2">
      <c r="A11" s="9" t="s">
        <v>30</v>
      </c>
      <c r="B11" s="100">
        <f>B45</f>
        <v>56.886000000000003</v>
      </c>
      <c r="C11" s="9" t="s">
        <v>29</v>
      </c>
      <c r="D11" s="11"/>
      <c r="E11" s="11"/>
      <c r="F11" s="11"/>
      <c r="G11" s="11"/>
      <c r="H11" s="11"/>
      <c r="I11" s="11"/>
      <c r="J11" s="11"/>
      <c r="K11" s="11"/>
      <c r="L11" s="11"/>
      <c r="M11" s="11"/>
      <c r="N11" s="11"/>
      <c r="O11" s="11"/>
      <c r="P11" s="11"/>
      <c r="Q11" s="11"/>
      <c r="R11" s="11"/>
      <c r="S11" s="11"/>
      <c r="T11" s="11"/>
      <c r="U11" s="11"/>
      <c r="V11" s="11"/>
      <c r="W11" s="11"/>
      <c r="X11" s="11"/>
      <c r="Y11" s="11"/>
      <c r="Z11" s="11"/>
    </row>
    <row r="12" spans="1:26" ht="22" customHeight="1" x14ac:dyDescent="0.2">
      <c r="A12" s="9" t="s">
        <v>31</v>
      </c>
      <c r="B12" s="100">
        <f>B50</f>
        <v>38.9</v>
      </c>
      <c r="C12" s="9" t="s">
        <v>62</v>
      </c>
      <c r="D12" s="11"/>
      <c r="E12" s="11"/>
      <c r="F12" s="11"/>
      <c r="G12" s="11"/>
      <c r="H12" s="11"/>
      <c r="I12" s="11"/>
      <c r="J12" s="11"/>
      <c r="K12" s="11"/>
      <c r="L12" s="11"/>
      <c r="M12" s="11"/>
      <c r="N12" s="11"/>
      <c r="O12" s="11"/>
      <c r="P12" s="11"/>
      <c r="Q12" s="11"/>
      <c r="R12" s="11"/>
      <c r="S12" s="11"/>
      <c r="T12" s="11"/>
      <c r="U12" s="11"/>
      <c r="V12" s="11"/>
      <c r="W12" s="11"/>
      <c r="X12" s="11"/>
      <c r="Y12" s="11"/>
      <c r="Z12" s="11"/>
    </row>
    <row r="13" spans="1:26" ht="22" customHeight="1" x14ac:dyDescent="0.2">
      <c r="A13" s="9" t="s">
        <v>118</v>
      </c>
      <c r="B13" s="103">
        <f>B54</f>
        <v>68.2</v>
      </c>
      <c r="C13" s="9" t="s">
        <v>29</v>
      </c>
      <c r="D13" s="11"/>
      <c r="E13" s="100"/>
      <c r="F13" s="11"/>
      <c r="G13" s="11"/>
      <c r="H13" s="11"/>
      <c r="I13" s="11"/>
      <c r="J13" s="11"/>
      <c r="K13" s="11"/>
      <c r="L13" s="11"/>
      <c r="M13" s="11"/>
      <c r="N13" s="11"/>
      <c r="O13" s="11"/>
      <c r="P13" s="11"/>
      <c r="Q13" s="11"/>
      <c r="R13" s="11"/>
      <c r="S13" s="11"/>
      <c r="T13" s="11"/>
      <c r="U13" s="11"/>
      <c r="V13" s="11"/>
      <c r="W13" s="11"/>
      <c r="X13" s="11"/>
      <c r="Y13" s="11"/>
      <c r="Z13" s="11"/>
    </row>
    <row r="14" spans="1:26" ht="22" customHeight="1" x14ac:dyDescent="0.2">
      <c r="A14" s="9" t="s">
        <v>119</v>
      </c>
      <c r="B14" s="100">
        <f>B62</f>
        <v>193.73</v>
      </c>
      <c r="C14" s="9" t="s">
        <v>33</v>
      </c>
      <c r="D14" s="11"/>
      <c r="E14" s="100"/>
      <c r="F14" s="11"/>
      <c r="G14" s="11"/>
      <c r="H14" s="11"/>
      <c r="I14" s="11"/>
      <c r="J14" s="11"/>
      <c r="K14" s="11"/>
      <c r="L14" s="11"/>
      <c r="M14" s="11"/>
      <c r="N14" s="11"/>
      <c r="O14" s="11"/>
      <c r="P14" s="11"/>
      <c r="Q14" s="11"/>
      <c r="R14" s="11"/>
      <c r="S14" s="11"/>
      <c r="T14" s="11"/>
      <c r="U14" s="11"/>
      <c r="V14" s="11"/>
      <c r="W14" s="11"/>
      <c r="X14" s="11"/>
      <c r="Y14" s="11"/>
      <c r="Z14" s="11"/>
    </row>
    <row r="15" spans="1:26" ht="22" customHeight="1" x14ac:dyDescent="0.2">
      <c r="A15" s="9" t="s">
        <v>120</v>
      </c>
      <c r="B15" s="100">
        <f>B71</f>
        <v>90.2</v>
      </c>
      <c r="C15" s="9" t="s">
        <v>33</v>
      </c>
      <c r="D15" s="11"/>
      <c r="E15" s="11"/>
      <c r="F15" s="11"/>
      <c r="G15" s="11"/>
      <c r="H15" s="11"/>
      <c r="I15" s="11"/>
      <c r="J15" s="11"/>
      <c r="K15" s="11"/>
      <c r="L15" s="11"/>
      <c r="M15" s="11"/>
      <c r="N15" s="11"/>
      <c r="O15" s="11"/>
      <c r="P15" s="11"/>
      <c r="Q15" s="11"/>
      <c r="R15" s="11"/>
      <c r="S15" s="11"/>
      <c r="T15" s="11"/>
      <c r="U15" s="11"/>
      <c r="V15" s="11"/>
      <c r="W15" s="11"/>
      <c r="X15" s="11"/>
      <c r="Y15" s="11"/>
      <c r="Z15" s="11"/>
    </row>
    <row r="16" spans="1:26" ht="22" customHeight="1" x14ac:dyDescent="0.2">
      <c r="A16" s="12" t="s">
        <v>121</v>
      </c>
      <c r="B16" s="101">
        <f>B81</f>
        <v>127.84</v>
      </c>
      <c r="C16" s="9" t="s">
        <v>33</v>
      </c>
      <c r="D16" s="11"/>
      <c r="E16" s="11"/>
      <c r="F16" s="11"/>
      <c r="G16" s="11"/>
      <c r="H16" s="11"/>
      <c r="I16" s="11"/>
      <c r="J16" s="11"/>
      <c r="K16" s="11"/>
      <c r="L16" s="11"/>
      <c r="M16" s="11"/>
      <c r="N16" s="11"/>
      <c r="O16" s="11"/>
      <c r="P16" s="11"/>
      <c r="Q16" s="11"/>
      <c r="R16" s="11"/>
      <c r="S16" s="11"/>
      <c r="T16" s="11"/>
      <c r="U16" s="11"/>
      <c r="V16" s="11"/>
      <c r="W16" s="11"/>
      <c r="X16" s="11"/>
      <c r="Y16" s="11"/>
      <c r="Z16" s="11"/>
    </row>
    <row r="17" spans="1:26" ht="22" customHeight="1" x14ac:dyDescent="0.2">
      <c r="A17" s="14" t="s">
        <v>21</v>
      </c>
      <c r="B17" s="102">
        <f>SUM(B10:B16)</f>
        <v>825.23599999999999</v>
      </c>
      <c r="C17" s="16"/>
      <c r="D17" s="11"/>
      <c r="E17" s="11"/>
      <c r="F17" s="11"/>
      <c r="G17" s="11"/>
      <c r="H17" s="11"/>
      <c r="I17" s="11"/>
      <c r="J17" s="11"/>
      <c r="K17" s="11"/>
      <c r="L17" s="11"/>
      <c r="M17" s="11"/>
      <c r="N17" s="11"/>
      <c r="O17" s="11"/>
      <c r="P17" s="11"/>
      <c r="Q17" s="11"/>
      <c r="R17" s="11"/>
      <c r="S17" s="11"/>
      <c r="T17" s="11"/>
      <c r="U17" s="11"/>
      <c r="V17" s="11"/>
      <c r="W17" s="11"/>
      <c r="X17" s="11"/>
      <c r="Y17" s="11"/>
      <c r="Z17" s="11"/>
    </row>
    <row r="18" spans="1:26" ht="22" customHeight="1" x14ac:dyDescent="0.2">
      <c r="A18" s="17"/>
      <c r="B18" s="17"/>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22" customHeight="1" x14ac:dyDescent="0.25">
      <c r="A19" s="104" t="s">
        <v>122</v>
      </c>
      <c r="B19" s="105"/>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22" customHeight="1" x14ac:dyDescent="0.2">
      <c r="A20" s="14" t="s">
        <v>21</v>
      </c>
      <c r="B20" s="106">
        <f>B106</f>
        <v>8726.8700000000008</v>
      </c>
      <c r="C20" s="22" t="s">
        <v>123</v>
      </c>
      <c r="D20" s="11"/>
      <c r="E20" s="11"/>
      <c r="F20" s="11"/>
      <c r="G20" s="11"/>
      <c r="H20" s="11"/>
      <c r="I20" s="11"/>
      <c r="J20" s="11"/>
      <c r="K20" s="11"/>
      <c r="L20" s="11"/>
      <c r="M20" s="11"/>
      <c r="N20" s="11"/>
      <c r="O20" s="11"/>
      <c r="P20" s="11"/>
      <c r="Q20" s="11"/>
      <c r="R20" s="11"/>
      <c r="S20" s="11"/>
      <c r="T20" s="11"/>
      <c r="U20" s="11"/>
      <c r="V20" s="11"/>
      <c r="W20" s="11"/>
      <c r="X20" s="11"/>
      <c r="Y20" s="11"/>
      <c r="Z20" s="11"/>
    </row>
    <row r="21" spans="1:26" ht="22" customHeight="1" x14ac:dyDescent="0.2">
      <c r="A21" s="23"/>
      <c r="B21" s="107"/>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22" customHeight="1" x14ac:dyDescent="0.2">
      <c r="A22" s="14" t="s">
        <v>66</v>
      </c>
      <c r="B22" s="21">
        <v>2809.02</v>
      </c>
      <c r="C22" s="22" t="s">
        <v>67</v>
      </c>
      <c r="D22" s="11"/>
      <c r="E22" s="11"/>
      <c r="F22" s="11"/>
      <c r="G22" s="11"/>
      <c r="H22" s="11"/>
      <c r="I22" s="11"/>
      <c r="J22" s="11"/>
      <c r="K22" s="11"/>
      <c r="L22" s="11"/>
      <c r="M22" s="11"/>
      <c r="N22" s="11"/>
      <c r="O22" s="11"/>
      <c r="P22" s="11"/>
      <c r="Q22" s="11"/>
      <c r="R22" s="11"/>
      <c r="S22" s="11"/>
      <c r="T22" s="11"/>
      <c r="U22" s="11"/>
      <c r="V22" s="11"/>
      <c r="W22" s="11"/>
      <c r="X22" s="11"/>
      <c r="Y22" s="11"/>
      <c r="Z22" s="11"/>
    </row>
    <row r="23" spans="1:26" ht="22" customHeight="1" x14ac:dyDescent="0.2">
      <c r="A23" s="17"/>
      <c r="B23" s="108"/>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22" customHeight="1" x14ac:dyDescent="0.25">
      <c r="A24" s="19" t="s">
        <v>34</v>
      </c>
      <c r="B24" s="10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22" customHeight="1" x14ac:dyDescent="0.2">
      <c r="A25" s="25" t="s">
        <v>35</v>
      </c>
      <c r="B25" s="109">
        <v>920</v>
      </c>
      <c r="C25" s="16"/>
      <c r="D25" s="11"/>
      <c r="E25" s="11"/>
      <c r="F25" s="11"/>
      <c r="G25" s="11"/>
      <c r="H25" s="11"/>
      <c r="I25" s="11"/>
      <c r="J25" s="11"/>
      <c r="K25" s="11"/>
      <c r="L25" s="11"/>
      <c r="M25" s="11"/>
      <c r="N25" s="11"/>
      <c r="O25" s="11"/>
      <c r="P25" s="11"/>
      <c r="Q25" s="11"/>
      <c r="R25" s="11"/>
      <c r="S25" s="11"/>
      <c r="T25" s="11"/>
      <c r="U25" s="11"/>
      <c r="V25" s="11"/>
      <c r="W25" s="11"/>
      <c r="X25" s="11"/>
      <c r="Y25" s="11"/>
      <c r="Z25" s="11"/>
    </row>
    <row r="26" spans="1:26" ht="22" customHeight="1" x14ac:dyDescent="0.2">
      <c r="A26" s="25" t="s">
        <v>36</v>
      </c>
      <c r="B26" s="109">
        <v>49.48</v>
      </c>
      <c r="C26" s="16"/>
      <c r="D26" s="11"/>
      <c r="E26" s="11"/>
      <c r="F26" s="11"/>
      <c r="G26" s="11"/>
      <c r="H26" s="11"/>
      <c r="I26" s="11"/>
      <c r="J26" s="11"/>
      <c r="K26" s="11"/>
      <c r="L26" s="11"/>
      <c r="M26" s="11"/>
      <c r="N26" s="11"/>
      <c r="O26" s="11"/>
      <c r="P26" s="11"/>
      <c r="Q26" s="11"/>
      <c r="R26" s="11"/>
      <c r="S26" s="11"/>
      <c r="T26" s="11"/>
      <c r="U26" s="11"/>
      <c r="V26" s="11"/>
      <c r="W26" s="11"/>
      <c r="X26" s="11"/>
      <c r="Y26" s="11"/>
      <c r="Z26" s="11"/>
    </row>
    <row r="27" spans="1:26" ht="22" customHeight="1" x14ac:dyDescent="0.2">
      <c r="A27" s="11"/>
      <c r="B27" s="17"/>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22" customHeight="1" x14ac:dyDescent="0.2">
      <c r="A28" s="11"/>
      <c r="B28" s="10"/>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22" customHeight="1" x14ac:dyDescent="0.25">
      <c r="A29" s="19" t="s">
        <v>37</v>
      </c>
      <c r="B29" s="10"/>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22"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c r="X30" s="11"/>
      <c r="Y30" s="11"/>
      <c r="Z30" s="11"/>
    </row>
    <row r="31" spans="1:26" ht="22" customHeight="1" x14ac:dyDescent="0.2">
      <c r="A31" s="9" t="s">
        <v>17</v>
      </c>
      <c r="B31" s="110">
        <v>16.68</v>
      </c>
      <c r="C31" s="100">
        <v>16.68</v>
      </c>
      <c r="D31" s="100">
        <v>16.68</v>
      </c>
      <c r="E31" s="100">
        <v>16.68</v>
      </c>
      <c r="F31" s="100">
        <v>16.68</v>
      </c>
      <c r="G31" s="100">
        <v>16.68</v>
      </c>
      <c r="H31" s="100">
        <v>16.68</v>
      </c>
      <c r="I31" s="100">
        <v>16.68</v>
      </c>
      <c r="J31" s="100">
        <v>16.68</v>
      </c>
      <c r="K31" s="100">
        <v>16.68</v>
      </c>
      <c r="L31" s="100">
        <v>16.68</v>
      </c>
      <c r="M31" s="100">
        <v>16.68</v>
      </c>
      <c r="N31" s="11"/>
      <c r="O31" s="11"/>
      <c r="P31" s="11"/>
      <c r="Q31" s="11"/>
      <c r="R31" s="11"/>
      <c r="S31" s="11"/>
      <c r="T31" s="11"/>
      <c r="U31" s="11"/>
      <c r="V31" s="11"/>
      <c r="W31" s="11"/>
      <c r="X31" s="11"/>
      <c r="Y31" s="11"/>
      <c r="Z31" s="11"/>
    </row>
    <row r="32" spans="1:26" ht="22" customHeight="1" x14ac:dyDescent="0.2">
      <c r="A32" s="28" t="s">
        <v>59</v>
      </c>
      <c r="B32" s="111">
        <f>SUM(B31:M31)</f>
        <v>200.16000000000005</v>
      </c>
      <c r="C32" s="112"/>
      <c r="D32" s="100"/>
      <c r="E32" s="100"/>
      <c r="F32" s="100"/>
      <c r="G32" s="100"/>
      <c r="H32" s="100"/>
      <c r="I32" s="100"/>
      <c r="J32" s="100"/>
      <c r="K32" s="100"/>
      <c r="L32" s="100"/>
      <c r="M32" s="100"/>
      <c r="N32" s="11"/>
      <c r="O32" s="11"/>
      <c r="P32" s="11"/>
      <c r="Q32" s="11"/>
      <c r="R32" s="11"/>
      <c r="S32" s="11"/>
      <c r="T32" s="11"/>
      <c r="U32" s="11"/>
      <c r="V32" s="11"/>
      <c r="W32" s="11"/>
      <c r="X32" s="11"/>
      <c r="Y32" s="11"/>
      <c r="Z32" s="11"/>
    </row>
    <row r="33" spans="1:26" ht="22"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c r="X33" s="11"/>
      <c r="Y33" s="11"/>
      <c r="Z33" s="11"/>
    </row>
    <row r="34" spans="1:26" ht="22" customHeight="1" x14ac:dyDescent="0.2">
      <c r="A34" s="9" t="s">
        <v>19</v>
      </c>
      <c r="B34" s="110">
        <v>116.99</v>
      </c>
      <c r="C34" s="100">
        <v>116.99</v>
      </c>
      <c r="D34" s="100">
        <v>116.99</v>
      </c>
      <c r="E34" s="100">
        <v>116.99</v>
      </c>
      <c r="F34" s="100">
        <v>116.99</v>
      </c>
      <c r="G34" s="100">
        <v>121.67</v>
      </c>
      <c r="H34" s="100">
        <v>121.67</v>
      </c>
      <c r="I34" s="100">
        <v>121.67</v>
      </c>
      <c r="J34" s="100">
        <v>121.67</v>
      </c>
      <c r="K34" s="100">
        <v>121.67</v>
      </c>
      <c r="L34" s="100">
        <v>121.67</v>
      </c>
      <c r="M34" s="100">
        <v>121.67</v>
      </c>
      <c r="N34" s="11"/>
      <c r="O34" s="11"/>
      <c r="P34" s="11"/>
      <c r="Q34" s="11"/>
      <c r="R34" s="11"/>
      <c r="S34" s="11"/>
      <c r="T34" s="11"/>
      <c r="U34" s="11"/>
      <c r="V34" s="11"/>
      <c r="W34" s="11"/>
      <c r="X34" s="11"/>
      <c r="Y34" s="11"/>
      <c r="Z34" s="11"/>
    </row>
    <row r="35" spans="1:26" ht="22" customHeight="1" x14ac:dyDescent="0.2">
      <c r="A35" s="28" t="s">
        <v>59</v>
      </c>
      <c r="B35" s="111">
        <f>SUM(B34:M34)</f>
        <v>1436.64</v>
      </c>
      <c r="C35" s="112"/>
      <c r="D35" s="100"/>
      <c r="E35" s="100"/>
      <c r="F35" s="100"/>
      <c r="G35" s="100"/>
      <c r="H35" s="100"/>
      <c r="I35" s="100"/>
      <c r="J35" s="100"/>
      <c r="K35" s="100"/>
      <c r="L35" s="100"/>
      <c r="M35" s="100"/>
      <c r="N35" s="11"/>
      <c r="O35" s="11"/>
      <c r="P35" s="11"/>
      <c r="Q35" s="11"/>
      <c r="R35" s="11"/>
      <c r="S35" s="11"/>
      <c r="T35" s="11"/>
      <c r="U35" s="11"/>
      <c r="V35" s="11"/>
      <c r="W35" s="11"/>
      <c r="X35" s="11"/>
      <c r="Y35" s="11"/>
      <c r="Z35" s="11"/>
    </row>
    <row r="36" spans="1:26" ht="22" customHeight="1" x14ac:dyDescent="0.2">
      <c r="A36" s="11"/>
      <c r="B36" s="32"/>
      <c r="C36" s="10"/>
      <c r="D36" s="10"/>
      <c r="E36" s="10"/>
      <c r="F36" s="10"/>
      <c r="G36" s="10"/>
      <c r="H36" s="10"/>
      <c r="I36" s="10"/>
      <c r="J36" s="10"/>
      <c r="K36" s="10"/>
      <c r="L36" s="10"/>
      <c r="M36" s="10"/>
      <c r="N36" s="11"/>
      <c r="O36" s="11"/>
      <c r="P36" s="11"/>
      <c r="Q36" s="11"/>
      <c r="R36" s="11"/>
      <c r="S36" s="11"/>
      <c r="T36" s="11"/>
      <c r="U36" s="11"/>
      <c r="V36" s="11"/>
      <c r="W36" s="11"/>
      <c r="X36" s="11"/>
      <c r="Y36" s="11"/>
      <c r="Z36" s="11"/>
    </row>
    <row r="37" spans="1:26" ht="22" customHeight="1" x14ac:dyDescent="0.2">
      <c r="A37" s="9" t="s">
        <v>124</v>
      </c>
      <c r="B37" s="20">
        <f>6*41.65+6*44.64</f>
        <v>517.74</v>
      </c>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22" customHeight="1" x14ac:dyDescent="0.2">
      <c r="A38" s="9" t="s">
        <v>125</v>
      </c>
      <c r="B38" s="100">
        <v>34.65</v>
      </c>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22" customHeight="1" x14ac:dyDescent="0.2">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22" customHeight="1" x14ac:dyDescent="0.2">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c r="X40" s="11"/>
      <c r="Y40" s="11"/>
      <c r="Z40" s="11"/>
    </row>
    <row r="41" spans="1:26" ht="22" customHeight="1" x14ac:dyDescent="0.2">
      <c r="A41" s="11"/>
      <c r="B41" s="113"/>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22"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c r="X42" s="11"/>
      <c r="Y42" s="11"/>
      <c r="Z42" s="11"/>
    </row>
    <row r="43" spans="1:26" ht="22" customHeight="1" x14ac:dyDescent="0.2">
      <c r="A43" s="9" t="s">
        <v>180</v>
      </c>
      <c r="B43" s="100">
        <v>7.9</v>
      </c>
      <c r="C43" s="100">
        <v>7.9</v>
      </c>
      <c r="D43" s="100">
        <v>7.9</v>
      </c>
      <c r="E43" s="100">
        <v>7.9</v>
      </c>
      <c r="F43" s="100">
        <v>7.9</v>
      </c>
      <c r="G43" s="100">
        <v>7.9</v>
      </c>
      <c r="H43" s="100">
        <v>7.9</v>
      </c>
      <c r="I43" s="100">
        <v>7.9</v>
      </c>
      <c r="J43" s="100">
        <v>7.9</v>
      </c>
      <c r="K43" s="100">
        <v>7.9</v>
      </c>
      <c r="L43" s="100">
        <v>7.9</v>
      </c>
      <c r="M43" s="100">
        <v>7.91</v>
      </c>
      <c r="N43" s="11"/>
      <c r="O43" s="11"/>
      <c r="P43" s="11"/>
      <c r="Q43" s="11"/>
      <c r="R43" s="11"/>
      <c r="S43" s="11"/>
      <c r="T43" s="11"/>
      <c r="U43" s="11"/>
      <c r="V43" s="11"/>
      <c r="W43" s="11"/>
      <c r="X43" s="11"/>
      <c r="Y43" s="11"/>
      <c r="Z43" s="11"/>
    </row>
    <row r="44" spans="1:26" ht="22" customHeight="1" x14ac:dyDescent="0.2">
      <c r="A44" s="9" t="s">
        <v>59</v>
      </c>
      <c r="B44" s="110">
        <f>SUM(B43:M43)</f>
        <v>94.81</v>
      </c>
      <c r="C44" s="100"/>
      <c r="D44" s="100"/>
      <c r="E44" s="100"/>
      <c r="F44" s="100"/>
      <c r="G44" s="100"/>
      <c r="H44" s="100"/>
      <c r="I44" s="100"/>
      <c r="J44" s="100"/>
      <c r="K44" s="100"/>
      <c r="L44" s="100"/>
      <c r="M44" s="100"/>
      <c r="N44" s="11"/>
      <c r="O44" s="11"/>
      <c r="P44" s="11"/>
      <c r="Q44" s="11"/>
      <c r="R44" s="11"/>
      <c r="S44" s="11"/>
      <c r="T44" s="11"/>
      <c r="U44" s="11"/>
      <c r="V44" s="11"/>
      <c r="W44" s="11"/>
      <c r="X44" s="11"/>
      <c r="Y44" s="11"/>
      <c r="Z44" s="11"/>
    </row>
    <row r="45" spans="1:26" ht="22" customHeight="1" x14ac:dyDescent="0.2">
      <c r="A45" s="28" t="s">
        <v>54</v>
      </c>
      <c r="B45" s="111">
        <f>0.6*B44</f>
        <v>56.886000000000003</v>
      </c>
      <c r="C45" s="112"/>
      <c r="D45" s="100"/>
      <c r="E45" s="100"/>
      <c r="F45" s="100"/>
      <c r="G45" s="100"/>
      <c r="H45" s="100"/>
      <c r="I45" s="100"/>
      <c r="J45" s="100"/>
      <c r="K45" s="100"/>
      <c r="L45" s="100"/>
      <c r="M45" s="100"/>
      <c r="N45" s="11"/>
      <c r="O45" s="11"/>
      <c r="P45" s="11"/>
      <c r="Q45" s="11"/>
      <c r="R45" s="11"/>
      <c r="S45" s="11"/>
      <c r="T45" s="11"/>
      <c r="U45" s="11"/>
      <c r="V45" s="11"/>
      <c r="W45" s="11"/>
      <c r="X45" s="11"/>
      <c r="Y45" s="11"/>
      <c r="Z45" s="11"/>
    </row>
    <row r="46" spans="1:26" ht="22" customHeight="1" x14ac:dyDescent="0.2">
      <c r="A46" s="11"/>
      <c r="B46" s="32"/>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22" customHeight="1" x14ac:dyDescent="0.2">
      <c r="A47" s="9" t="s">
        <v>56</v>
      </c>
      <c r="B47" s="10"/>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22" customHeight="1" x14ac:dyDescent="0.2">
      <c r="A48" s="9" t="s">
        <v>181</v>
      </c>
      <c r="B48" s="100">
        <v>19.2</v>
      </c>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22" customHeight="1" x14ac:dyDescent="0.2">
      <c r="A49" s="9" t="s">
        <v>182</v>
      </c>
      <c r="B49" s="110">
        <v>19.7</v>
      </c>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22" customHeight="1" x14ac:dyDescent="0.2">
      <c r="A50" s="28" t="s">
        <v>59</v>
      </c>
      <c r="B50" s="111">
        <f>B48+B49</f>
        <v>38.9</v>
      </c>
      <c r="C50" s="33"/>
      <c r="D50" s="11"/>
      <c r="E50" s="11"/>
      <c r="F50" s="11"/>
      <c r="G50" s="11"/>
      <c r="H50" s="11"/>
      <c r="I50" s="11"/>
      <c r="J50" s="11"/>
      <c r="K50" s="11"/>
      <c r="L50" s="11"/>
      <c r="M50" s="11"/>
      <c r="N50" s="11"/>
      <c r="O50" s="11"/>
      <c r="P50" s="11"/>
      <c r="Q50" s="11"/>
      <c r="R50" s="11"/>
      <c r="S50" s="11"/>
      <c r="T50" s="11"/>
      <c r="U50" s="11"/>
      <c r="V50" s="11"/>
      <c r="W50" s="11"/>
      <c r="X50" s="11"/>
      <c r="Y50" s="11"/>
      <c r="Z50" s="11"/>
    </row>
    <row r="51" spans="1:26" ht="22" customHeight="1" x14ac:dyDescent="0.2">
      <c r="A51" s="11"/>
      <c r="B51" s="114"/>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22" customHeight="1" x14ac:dyDescent="0.2">
      <c r="A52" s="9" t="s">
        <v>118</v>
      </c>
      <c r="B52" s="136">
        <v>43482</v>
      </c>
      <c r="C52" s="136">
        <v>43483</v>
      </c>
      <c r="D52" s="136">
        <v>43484</v>
      </c>
      <c r="E52" s="136">
        <v>43485</v>
      </c>
      <c r="F52" s="136">
        <v>43489</v>
      </c>
      <c r="G52" s="136">
        <v>43493</v>
      </c>
      <c r="H52" s="136">
        <v>43504</v>
      </c>
      <c r="I52" s="136">
        <v>43510</v>
      </c>
      <c r="J52" s="136">
        <v>43522</v>
      </c>
      <c r="K52" s="136">
        <v>43524</v>
      </c>
      <c r="L52" s="136">
        <v>43539</v>
      </c>
      <c r="M52" s="136">
        <v>43540</v>
      </c>
      <c r="N52" s="136">
        <v>43633</v>
      </c>
      <c r="O52" s="136">
        <v>43648</v>
      </c>
      <c r="P52" s="136">
        <v>43693</v>
      </c>
      <c r="Q52" s="136">
        <v>43697</v>
      </c>
      <c r="R52" s="136">
        <v>43706</v>
      </c>
      <c r="S52" s="136">
        <v>43707</v>
      </c>
      <c r="T52" s="136">
        <v>43708</v>
      </c>
      <c r="U52" s="136">
        <v>43709</v>
      </c>
      <c r="V52" s="136">
        <v>43725</v>
      </c>
      <c r="W52" s="136">
        <v>43726</v>
      </c>
      <c r="X52" s="136">
        <v>43727</v>
      </c>
      <c r="Y52" s="136">
        <v>43762</v>
      </c>
      <c r="Z52" s="136">
        <v>43778</v>
      </c>
    </row>
    <row r="53" spans="1:26" ht="22" customHeight="1" x14ac:dyDescent="0.2">
      <c r="A53" s="9" t="s">
        <v>151</v>
      </c>
      <c r="B53" s="115">
        <v>3.3</v>
      </c>
      <c r="C53" s="103">
        <v>3.3</v>
      </c>
      <c r="D53" s="103">
        <v>3.3</v>
      </c>
      <c r="E53" s="103">
        <v>3.3</v>
      </c>
      <c r="F53" s="103">
        <v>3.3</v>
      </c>
      <c r="G53" s="103">
        <v>2.2000000000000002</v>
      </c>
      <c r="H53" s="103">
        <v>3.3</v>
      </c>
      <c r="I53" s="103">
        <v>2.2000000000000002</v>
      </c>
      <c r="J53" s="103">
        <v>3.3</v>
      </c>
      <c r="K53" s="103">
        <v>3.3</v>
      </c>
      <c r="L53" s="103">
        <v>3.3</v>
      </c>
      <c r="M53" s="103">
        <v>3.3</v>
      </c>
      <c r="N53" s="103">
        <v>2.2000000000000002</v>
      </c>
      <c r="O53" s="103">
        <v>3.3</v>
      </c>
      <c r="P53" s="103">
        <v>2.2000000000000002</v>
      </c>
      <c r="Q53" s="103">
        <v>2.2000000000000002</v>
      </c>
      <c r="R53" s="103">
        <v>2.2000000000000002</v>
      </c>
      <c r="S53" s="103">
        <v>3.3</v>
      </c>
      <c r="T53" s="103">
        <v>3.3</v>
      </c>
      <c r="U53" s="103">
        <v>2.2000000000000002</v>
      </c>
      <c r="V53" s="103">
        <v>2.2000000000000002</v>
      </c>
      <c r="W53" s="103">
        <v>2.2000000000000002</v>
      </c>
      <c r="X53" s="103">
        <v>2.2000000000000002</v>
      </c>
      <c r="Y53" s="103">
        <v>3.3</v>
      </c>
      <c r="Z53" s="103">
        <v>3.3</v>
      </c>
    </row>
    <row r="54" spans="1:26" ht="22" customHeight="1" x14ac:dyDescent="0.2">
      <c r="A54" s="28" t="s">
        <v>59</v>
      </c>
      <c r="B54" s="116">
        <f>SUM(B53:Y53)</f>
        <v>68.2</v>
      </c>
      <c r="C54" s="33"/>
      <c r="D54" s="11"/>
      <c r="E54" s="11"/>
      <c r="F54" s="11"/>
      <c r="G54" s="11"/>
      <c r="H54" s="11"/>
      <c r="I54" s="11"/>
      <c r="J54" s="11"/>
      <c r="K54" s="11"/>
      <c r="L54" s="11"/>
      <c r="M54" s="11"/>
      <c r="N54" s="11"/>
      <c r="O54" s="11"/>
      <c r="P54" s="11"/>
      <c r="Q54" s="11"/>
      <c r="R54" s="11"/>
      <c r="S54" s="11"/>
      <c r="T54" s="11"/>
      <c r="U54" s="11"/>
      <c r="V54" s="11"/>
      <c r="W54" s="11"/>
      <c r="X54" s="11"/>
      <c r="Y54" s="11"/>
      <c r="Z54" s="11"/>
    </row>
    <row r="55" spans="1:26" ht="22" customHeight="1" x14ac:dyDescent="0.2">
      <c r="A55" s="11"/>
      <c r="B55" s="113"/>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22" customHeight="1" x14ac:dyDescent="0.2">
      <c r="A56" s="9" t="s">
        <v>74</v>
      </c>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22" customHeight="1" x14ac:dyDescent="0.2">
      <c r="A57" s="9" t="s">
        <v>152</v>
      </c>
      <c r="B57" s="117">
        <v>968.63</v>
      </c>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22" customHeight="1" x14ac:dyDescent="0.2">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22"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22" customHeight="1" x14ac:dyDescent="0.2">
      <c r="A60" s="20">
        <v>2016</v>
      </c>
      <c r="B60" s="100">
        <v>96.86</v>
      </c>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22" customHeight="1" x14ac:dyDescent="0.2">
      <c r="A61" s="20">
        <v>2017</v>
      </c>
      <c r="B61" s="110">
        <v>193.73</v>
      </c>
      <c r="C61" s="11"/>
      <c r="D61" s="11"/>
      <c r="E61" s="11"/>
      <c r="F61" s="11"/>
      <c r="G61" s="11"/>
      <c r="H61" s="103"/>
      <c r="I61" s="11"/>
      <c r="J61" s="11"/>
      <c r="K61" s="11"/>
      <c r="L61" s="11"/>
      <c r="M61" s="11"/>
      <c r="N61" s="11"/>
      <c r="O61" s="11"/>
      <c r="P61" s="11"/>
      <c r="Q61" s="11"/>
      <c r="R61" s="11"/>
      <c r="S61" s="11"/>
      <c r="T61" s="11"/>
      <c r="U61" s="11"/>
      <c r="V61" s="11"/>
      <c r="W61" s="11"/>
      <c r="X61" s="11"/>
      <c r="Y61" s="11"/>
      <c r="Z61" s="11"/>
    </row>
    <row r="62" spans="1:26" ht="22" customHeight="1" x14ac:dyDescent="0.2">
      <c r="A62" s="36">
        <v>2018</v>
      </c>
      <c r="B62" s="111">
        <v>193.73</v>
      </c>
      <c r="C62" s="33"/>
      <c r="D62" s="11"/>
      <c r="E62" s="11"/>
      <c r="F62" s="11"/>
      <c r="G62" s="11"/>
      <c r="H62" s="103"/>
      <c r="I62" s="11"/>
      <c r="J62" s="11"/>
      <c r="K62" s="11"/>
      <c r="L62" s="11"/>
      <c r="M62" s="11"/>
      <c r="N62" s="11"/>
      <c r="O62" s="11"/>
      <c r="P62" s="11"/>
      <c r="Q62" s="11"/>
      <c r="R62" s="11"/>
      <c r="S62" s="11"/>
      <c r="T62" s="11"/>
      <c r="U62" s="11"/>
      <c r="V62" s="11"/>
      <c r="W62" s="11"/>
      <c r="X62" s="11"/>
      <c r="Y62" s="11"/>
      <c r="Z62" s="11"/>
    </row>
    <row r="63" spans="1:26" ht="22" customHeight="1" x14ac:dyDescent="0.2">
      <c r="A63" s="20">
        <v>2019</v>
      </c>
      <c r="B63" s="114">
        <v>96.86</v>
      </c>
      <c r="C63" s="11"/>
      <c r="D63" s="11"/>
      <c r="E63" s="11"/>
      <c r="F63" s="11"/>
      <c r="G63" s="11"/>
      <c r="H63" s="103"/>
      <c r="I63" s="11"/>
      <c r="J63" s="11"/>
      <c r="K63" s="11"/>
      <c r="L63" s="11"/>
      <c r="M63" s="11"/>
      <c r="N63" s="11"/>
      <c r="O63" s="11"/>
      <c r="P63" s="11"/>
      <c r="Q63" s="11"/>
      <c r="R63" s="11"/>
      <c r="S63" s="11"/>
      <c r="T63" s="11"/>
      <c r="U63" s="11"/>
      <c r="V63" s="11"/>
      <c r="W63" s="11"/>
      <c r="X63" s="11"/>
      <c r="Y63" s="11"/>
      <c r="Z63" s="11"/>
    </row>
    <row r="64" spans="1:26" ht="22" customHeight="1" x14ac:dyDescent="0.2">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c r="X64" s="11"/>
      <c r="Y64" s="11"/>
      <c r="Z64" s="11"/>
    </row>
    <row r="65" spans="1:26" ht="22"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22" customHeight="1" x14ac:dyDescent="0.2">
      <c r="A66" s="9" t="s">
        <v>153</v>
      </c>
      <c r="B66" s="11"/>
      <c r="C66" s="11"/>
      <c r="D66" s="11"/>
      <c r="E66" s="11"/>
      <c r="F66" s="11"/>
      <c r="G66" s="11"/>
      <c r="H66" s="103"/>
      <c r="I66" s="11"/>
      <c r="J66" s="11"/>
      <c r="K66" s="11"/>
      <c r="L66" s="11"/>
      <c r="M66" s="11"/>
      <c r="N66" s="11"/>
      <c r="O66" s="11"/>
      <c r="P66" s="11"/>
      <c r="Q66" s="11"/>
      <c r="R66" s="11"/>
      <c r="S66" s="11"/>
      <c r="T66" s="11"/>
      <c r="U66" s="11"/>
      <c r="V66" s="11"/>
      <c r="W66" s="11"/>
      <c r="X66" s="11"/>
      <c r="Y66" s="11"/>
      <c r="Z66" s="11"/>
    </row>
    <row r="67" spans="1:26" ht="22" customHeight="1" x14ac:dyDescent="0.2">
      <c r="A67" s="9" t="s">
        <v>152</v>
      </c>
      <c r="B67" s="100">
        <v>450.97</v>
      </c>
      <c r="C67" s="11"/>
      <c r="D67" s="11"/>
      <c r="E67" s="11"/>
      <c r="F67" s="11"/>
      <c r="G67" s="11"/>
      <c r="H67" s="103"/>
      <c r="I67" s="11"/>
      <c r="J67" s="11"/>
      <c r="K67" s="11"/>
      <c r="L67" s="11"/>
      <c r="M67" s="11"/>
      <c r="N67" s="11"/>
      <c r="O67" s="11"/>
      <c r="P67" s="11"/>
      <c r="Q67" s="11"/>
      <c r="R67" s="11"/>
      <c r="S67" s="11"/>
      <c r="T67" s="11"/>
      <c r="U67" s="11"/>
      <c r="V67" s="11"/>
      <c r="W67" s="11"/>
      <c r="X67" s="11"/>
      <c r="Y67" s="11"/>
      <c r="Z67" s="11"/>
    </row>
    <row r="68" spans="1:26" ht="22" customHeight="1" x14ac:dyDescent="0.2">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c r="X68" s="11"/>
      <c r="Y68" s="11"/>
      <c r="Z68" s="11"/>
    </row>
    <row r="69" spans="1:26" ht="22" customHeight="1" x14ac:dyDescent="0.2">
      <c r="A69" s="11"/>
      <c r="B69" s="100"/>
      <c r="C69" s="11"/>
      <c r="D69" s="11"/>
      <c r="E69" s="11"/>
      <c r="F69" s="11"/>
      <c r="G69" s="11"/>
      <c r="H69" s="103"/>
      <c r="I69" s="11"/>
      <c r="J69" s="11"/>
      <c r="K69" s="11"/>
      <c r="L69" s="11"/>
      <c r="M69" s="11"/>
      <c r="N69" s="11"/>
      <c r="O69" s="11"/>
      <c r="P69" s="11"/>
      <c r="Q69" s="11"/>
      <c r="R69" s="11"/>
      <c r="S69" s="11"/>
      <c r="T69" s="11"/>
      <c r="U69" s="11"/>
      <c r="V69" s="11"/>
      <c r="W69" s="11"/>
      <c r="X69" s="11"/>
      <c r="Y69" s="11"/>
      <c r="Z69" s="11"/>
    </row>
    <row r="70" spans="1:26" ht="22" customHeight="1" x14ac:dyDescent="0.2">
      <c r="A70" s="20">
        <v>2017</v>
      </c>
      <c r="B70" s="110">
        <v>45.09</v>
      </c>
      <c r="C70" s="11"/>
      <c r="D70" s="11"/>
      <c r="E70" s="11"/>
      <c r="F70" s="11"/>
      <c r="G70" s="11"/>
      <c r="H70" s="103"/>
      <c r="I70" s="11"/>
      <c r="J70" s="11"/>
      <c r="K70" s="11"/>
      <c r="L70" s="11"/>
      <c r="M70" s="11"/>
      <c r="N70" s="11"/>
      <c r="O70" s="11"/>
      <c r="P70" s="11"/>
      <c r="Q70" s="11"/>
      <c r="R70" s="11"/>
      <c r="S70" s="11"/>
      <c r="T70" s="11"/>
      <c r="U70" s="11"/>
      <c r="V70" s="11"/>
      <c r="W70" s="11"/>
      <c r="X70" s="11"/>
      <c r="Y70" s="11"/>
      <c r="Z70" s="11"/>
    </row>
    <row r="71" spans="1:26" ht="22" customHeight="1" x14ac:dyDescent="0.2">
      <c r="A71" s="36">
        <v>2018</v>
      </c>
      <c r="B71" s="111">
        <v>90.2</v>
      </c>
      <c r="C71" s="33"/>
      <c r="D71" s="11"/>
      <c r="E71" s="11"/>
      <c r="F71" s="11"/>
      <c r="G71" s="11"/>
      <c r="H71" s="103"/>
      <c r="I71" s="11"/>
      <c r="J71" s="11"/>
      <c r="K71" s="11"/>
      <c r="L71" s="11"/>
      <c r="M71" s="11"/>
      <c r="N71" s="11"/>
      <c r="O71" s="11"/>
      <c r="P71" s="11"/>
      <c r="Q71" s="11"/>
      <c r="R71" s="11"/>
      <c r="S71" s="11"/>
      <c r="T71" s="11"/>
      <c r="U71" s="11"/>
      <c r="V71" s="11"/>
      <c r="W71" s="11"/>
      <c r="X71" s="11"/>
      <c r="Y71" s="11"/>
      <c r="Z71" s="11"/>
    </row>
    <row r="72" spans="1:26" ht="22" customHeight="1" x14ac:dyDescent="0.2">
      <c r="A72" s="20">
        <v>2019</v>
      </c>
      <c r="B72" s="114">
        <v>90.2</v>
      </c>
      <c r="C72" s="11"/>
      <c r="D72" s="11"/>
      <c r="E72" s="11"/>
      <c r="F72" s="11"/>
      <c r="G72" s="11"/>
      <c r="H72" s="103"/>
      <c r="I72" s="11"/>
      <c r="J72" s="11"/>
      <c r="K72" s="11"/>
      <c r="L72" s="11"/>
      <c r="M72" s="11"/>
      <c r="N72" s="11"/>
      <c r="O72" s="11"/>
      <c r="P72" s="11"/>
      <c r="Q72" s="11"/>
      <c r="R72" s="11"/>
      <c r="S72" s="11"/>
      <c r="T72" s="11"/>
      <c r="U72" s="11"/>
      <c r="V72" s="11"/>
      <c r="W72" s="11"/>
      <c r="X72" s="11"/>
      <c r="Y72" s="11"/>
      <c r="Z72" s="11"/>
    </row>
    <row r="73" spans="1:26" ht="22" customHeight="1" x14ac:dyDescent="0.2">
      <c r="A73" s="20">
        <v>2020</v>
      </c>
      <c r="B73" s="100">
        <v>45.09</v>
      </c>
      <c r="C73" s="11"/>
      <c r="D73" s="11"/>
      <c r="E73" s="11"/>
      <c r="F73" s="11"/>
      <c r="G73" s="11"/>
      <c r="H73" s="103"/>
      <c r="I73" s="11"/>
      <c r="J73" s="11"/>
      <c r="K73" s="11"/>
      <c r="L73" s="11"/>
      <c r="M73" s="11"/>
      <c r="N73" s="11"/>
      <c r="O73" s="11"/>
      <c r="P73" s="11"/>
      <c r="Q73" s="11"/>
      <c r="R73" s="11"/>
      <c r="S73" s="11"/>
      <c r="T73" s="11"/>
      <c r="U73" s="11"/>
      <c r="V73" s="11"/>
      <c r="W73" s="11"/>
      <c r="X73" s="11"/>
      <c r="Y73" s="11"/>
      <c r="Z73" s="11"/>
    </row>
    <row r="74" spans="1:26" ht="22" customHeight="1" x14ac:dyDescent="0.2">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c r="X74" s="11"/>
      <c r="Y74" s="11"/>
      <c r="Z74" s="11"/>
    </row>
    <row r="75" spans="1:26" ht="22" customHeight="1" x14ac:dyDescent="0.2">
      <c r="A75" s="11"/>
      <c r="B75" s="11"/>
      <c r="C75" s="11"/>
      <c r="D75" s="11"/>
      <c r="E75" s="11"/>
      <c r="F75" s="11"/>
      <c r="G75" s="11"/>
      <c r="H75" s="103"/>
      <c r="I75" s="11"/>
      <c r="J75" s="11"/>
      <c r="K75" s="11"/>
      <c r="L75" s="11"/>
      <c r="M75" s="11"/>
      <c r="N75" s="11"/>
      <c r="O75" s="11"/>
      <c r="P75" s="11"/>
      <c r="Q75" s="11"/>
      <c r="R75" s="11"/>
      <c r="S75" s="11"/>
      <c r="T75" s="11"/>
      <c r="U75" s="11"/>
      <c r="V75" s="11"/>
      <c r="W75" s="11"/>
      <c r="X75" s="11"/>
      <c r="Y75" s="11"/>
      <c r="Z75" s="11"/>
    </row>
    <row r="76" spans="1:26" ht="22" customHeight="1" x14ac:dyDescent="0.2">
      <c r="A76" s="9" t="s">
        <v>154</v>
      </c>
      <c r="B76" s="11"/>
      <c r="C76" s="11"/>
      <c r="D76" s="11"/>
      <c r="E76" s="11"/>
      <c r="F76" s="11"/>
      <c r="G76" s="11"/>
      <c r="H76" s="103"/>
      <c r="I76" s="11"/>
      <c r="J76" s="11"/>
      <c r="K76" s="11"/>
      <c r="L76" s="11"/>
      <c r="M76" s="11"/>
      <c r="N76" s="11"/>
      <c r="O76" s="11"/>
      <c r="P76" s="11"/>
      <c r="Q76" s="11"/>
      <c r="R76" s="11"/>
      <c r="S76" s="11"/>
      <c r="T76" s="11"/>
      <c r="U76" s="11"/>
      <c r="V76" s="11"/>
      <c r="W76" s="11"/>
      <c r="X76" s="11"/>
      <c r="Y76" s="11"/>
      <c r="Z76" s="11"/>
    </row>
    <row r="77" spans="1:26" ht="22" customHeight="1" x14ac:dyDescent="0.2">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c r="X77" s="11"/>
      <c r="Y77" s="11"/>
      <c r="Z77" s="11"/>
    </row>
    <row r="78" spans="1:26" ht="22" customHeight="1" x14ac:dyDescent="0.2">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c r="X78" s="11"/>
      <c r="Y78" s="11"/>
      <c r="Z78" s="11"/>
    </row>
    <row r="79" spans="1:26" ht="22" customHeight="1" x14ac:dyDescent="0.2">
      <c r="A79" s="11"/>
      <c r="B79" s="11"/>
      <c r="C79" s="11"/>
      <c r="D79" s="11"/>
      <c r="E79" s="11"/>
      <c r="F79" s="11"/>
      <c r="G79" s="11"/>
      <c r="H79" s="103"/>
      <c r="I79" s="11"/>
      <c r="J79" s="11"/>
      <c r="K79" s="11"/>
      <c r="L79" s="11"/>
      <c r="M79" s="11"/>
      <c r="N79" s="11"/>
      <c r="O79" s="11"/>
      <c r="P79" s="11"/>
      <c r="Q79" s="11"/>
      <c r="R79" s="11"/>
      <c r="S79" s="11"/>
      <c r="T79" s="11"/>
      <c r="U79" s="11"/>
      <c r="V79" s="11"/>
      <c r="W79" s="11"/>
      <c r="X79" s="11"/>
      <c r="Y79" s="11"/>
      <c r="Z79" s="11"/>
    </row>
    <row r="80" spans="1:26" ht="22" customHeight="1" x14ac:dyDescent="0.2">
      <c r="A80" s="20">
        <v>2017</v>
      </c>
      <c r="B80" s="110">
        <v>63.92</v>
      </c>
      <c r="C80" s="11"/>
      <c r="D80" s="11"/>
      <c r="E80" s="11"/>
      <c r="F80" s="11"/>
      <c r="G80" s="11"/>
      <c r="H80" s="103"/>
      <c r="I80" s="11"/>
      <c r="J80" s="11"/>
      <c r="K80" s="11"/>
      <c r="L80" s="11"/>
      <c r="M80" s="11"/>
      <c r="N80" s="11"/>
      <c r="O80" s="11"/>
      <c r="P80" s="11"/>
      <c r="Q80" s="11"/>
      <c r="R80" s="11"/>
      <c r="S80" s="11"/>
      <c r="T80" s="11"/>
      <c r="U80" s="11"/>
      <c r="V80" s="11"/>
      <c r="W80" s="11"/>
      <c r="X80" s="11"/>
      <c r="Y80" s="11"/>
      <c r="Z80" s="11"/>
    </row>
    <row r="81" spans="1:26" ht="22" customHeight="1" x14ac:dyDescent="0.2">
      <c r="A81" s="36">
        <v>2018</v>
      </c>
      <c r="B81" s="111">
        <v>127.84</v>
      </c>
      <c r="C81" s="33"/>
      <c r="D81" s="11"/>
      <c r="E81" s="11"/>
      <c r="F81" s="11"/>
      <c r="G81" s="11"/>
      <c r="H81" s="103"/>
      <c r="I81" s="11"/>
      <c r="J81" s="11"/>
      <c r="K81" s="11"/>
      <c r="L81" s="11"/>
      <c r="M81" s="11"/>
      <c r="N81" s="11"/>
      <c r="O81" s="11"/>
      <c r="P81" s="11"/>
      <c r="Q81" s="11"/>
      <c r="R81" s="11"/>
      <c r="S81" s="11"/>
      <c r="T81" s="11"/>
      <c r="U81" s="11"/>
      <c r="V81" s="11"/>
      <c r="W81" s="11"/>
      <c r="X81" s="11"/>
      <c r="Y81" s="11"/>
      <c r="Z81" s="11"/>
    </row>
    <row r="82" spans="1:26" ht="22" customHeight="1" x14ac:dyDescent="0.2">
      <c r="A82" s="20">
        <v>2019</v>
      </c>
      <c r="B82" s="114">
        <v>127.84</v>
      </c>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22" customHeight="1" x14ac:dyDescent="0.2">
      <c r="A83" s="20">
        <v>2020</v>
      </c>
      <c r="B83" s="100">
        <v>63.92</v>
      </c>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22" customHeight="1" x14ac:dyDescent="0.2">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22"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22" customHeight="1" x14ac:dyDescent="0.2">
      <c r="A86" s="9" t="s">
        <v>155</v>
      </c>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22" customHeight="1" x14ac:dyDescent="0.2">
      <c r="A87" s="11"/>
      <c r="B87" s="137">
        <v>43587</v>
      </c>
      <c r="C87" s="137">
        <v>43594</v>
      </c>
      <c r="D87" s="137">
        <v>43615</v>
      </c>
      <c r="E87" s="137">
        <v>43638</v>
      </c>
      <c r="F87" s="137">
        <v>43641</v>
      </c>
      <c r="G87" s="137">
        <v>43643</v>
      </c>
      <c r="H87" s="11"/>
      <c r="I87" s="11"/>
      <c r="J87" s="11"/>
      <c r="K87" s="11"/>
      <c r="L87" s="11"/>
      <c r="M87" s="11"/>
      <c r="N87" s="11"/>
      <c r="O87" s="11"/>
      <c r="P87" s="11"/>
      <c r="Q87" s="11"/>
      <c r="R87" s="11"/>
      <c r="S87" s="11"/>
      <c r="T87" s="11"/>
      <c r="U87" s="11"/>
      <c r="V87" s="11"/>
      <c r="W87" s="11"/>
      <c r="X87" s="11"/>
      <c r="Y87" s="11"/>
      <c r="Z87" s="11"/>
    </row>
    <row r="88" spans="1:26" ht="22" customHeight="1" x14ac:dyDescent="0.2">
      <c r="A88" s="9" t="s">
        <v>156</v>
      </c>
      <c r="B88" s="119">
        <v>5.2</v>
      </c>
      <c r="C88" s="119">
        <v>6.5</v>
      </c>
      <c r="D88" s="119">
        <v>2.6</v>
      </c>
      <c r="E88" s="119">
        <v>2.6</v>
      </c>
      <c r="F88" s="119">
        <v>4.9000000000000004</v>
      </c>
      <c r="G88" s="119">
        <v>4.5</v>
      </c>
      <c r="H88" s="11"/>
      <c r="I88" s="11"/>
      <c r="J88" s="11"/>
      <c r="K88" s="11"/>
      <c r="L88" s="11"/>
      <c r="M88" s="11"/>
      <c r="N88" s="11"/>
      <c r="O88" s="11"/>
      <c r="P88" s="11"/>
      <c r="Q88" s="11"/>
      <c r="R88" s="11"/>
      <c r="S88" s="11"/>
      <c r="T88" s="11"/>
      <c r="U88" s="11"/>
      <c r="V88" s="11"/>
      <c r="W88" s="11"/>
      <c r="X88" s="11"/>
      <c r="Y88" s="11"/>
      <c r="Z88" s="11"/>
    </row>
    <row r="89" spans="1:26" ht="22" customHeight="1" x14ac:dyDescent="0.2">
      <c r="A89" s="9" t="s">
        <v>21</v>
      </c>
      <c r="B89" s="119">
        <f>SUM(B88:G88)</f>
        <v>26.299999999999997</v>
      </c>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22"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22" customHeight="1" x14ac:dyDescent="0.2">
      <c r="A91" s="9" t="s">
        <v>157</v>
      </c>
      <c r="B91" s="20">
        <v>43401</v>
      </c>
      <c r="C91" s="20">
        <v>43460</v>
      </c>
      <c r="D91" s="11"/>
      <c r="E91" s="11"/>
      <c r="F91" s="11"/>
      <c r="G91" s="11"/>
      <c r="H91" s="11"/>
      <c r="I91" s="11"/>
      <c r="J91" s="11"/>
      <c r="K91" s="11"/>
      <c r="L91" s="11"/>
      <c r="M91" s="11"/>
      <c r="N91" s="11"/>
      <c r="O91" s="11"/>
      <c r="P91" s="11"/>
      <c r="Q91" s="11"/>
      <c r="R91" s="11"/>
      <c r="S91" s="11"/>
      <c r="T91" s="11"/>
      <c r="U91" s="11"/>
      <c r="V91" s="11"/>
      <c r="W91" s="11"/>
      <c r="X91" s="11"/>
      <c r="Y91" s="11"/>
      <c r="Z91" s="11"/>
    </row>
    <row r="92" spans="1:26" ht="22" customHeight="1" x14ac:dyDescent="0.2">
      <c r="A92" s="9" t="s">
        <v>183</v>
      </c>
      <c r="B92" s="120">
        <v>8.36</v>
      </c>
      <c r="C92" s="120">
        <v>9.5500000000000007</v>
      </c>
      <c r="D92" s="120"/>
      <c r="E92" s="120"/>
      <c r="F92" s="120"/>
      <c r="G92" s="120"/>
      <c r="H92" s="120"/>
      <c r="I92" s="11"/>
      <c r="J92" s="11"/>
      <c r="K92" s="11"/>
      <c r="L92" s="11"/>
      <c r="M92" s="11"/>
      <c r="N92" s="11"/>
      <c r="O92" s="11"/>
      <c r="P92" s="11"/>
      <c r="Q92" s="11"/>
      <c r="R92" s="11"/>
      <c r="S92" s="11"/>
      <c r="T92" s="11"/>
      <c r="U92" s="11"/>
      <c r="V92" s="11"/>
      <c r="W92" s="11"/>
      <c r="X92" s="11"/>
      <c r="Y92" s="11"/>
      <c r="Z92" s="11"/>
    </row>
    <row r="93" spans="1:26" ht="22" customHeight="1" x14ac:dyDescent="0.2">
      <c r="A93" s="9" t="s">
        <v>21</v>
      </c>
      <c r="B93" s="120">
        <f>SUM(B92:C92)</f>
        <v>17.91</v>
      </c>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22"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22" customHeight="1" x14ac:dyDescent="0.2">
      <c r="A95" s="9" t="s">
        <v>184</v>
      </c>
      <c r="B95" s="100">
        <v>100</v>
      </c>
      <c r="C95" s="9" t="s">
        <v>185</v>
      </c>
      <c r="D95" s="11"/>
      <c r="E95" s="11"/>
      <c r="F95" s="11"/>
      <c r="G95" s="11"/>
      <c r="H95" s="11"/>
      <c r="I95" s="11"/>
      <c r="J95" s="11"/>
      <c r="K95" s="11"/>
      <c r="L95" s="11"/>
      <c r="M95" s="11"/>
      <c r="N95" s="11"/>
      <c r="O95" s="11"/>
      <c r="P95" s="11"/>
      <c r="Q95" s="11"/>
      <c r="R95" s="11"/>
      <c r="S95" s="11"/>
      <c r="T95" s="11"/>
      <c r="U95" s="11"/>
      <c r="V95" s="11"/>
      <c r="W95" s="11"/>
      <c r="X95" s="11"/>
      <c r="Y95" s="11"/>
      <c r="Z95" s="11"/>
    </row>
    <row r="96" spans="1:26" ht="22" customHeight="1" x14ac:dyDescent="0.2">
      <c r="A96" s="9" t="s">
        <v>186</v>
      </c>
      <c r="B96" s="100">
        <v>17.34</v>
      </c>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22" customHeight="1" x14ac:dyDescent="0.2">
      <c r="A97" s="9" t="s">
        <v>152</v>
      </c>
      <c r="B97" s="100">
        <f>B95-B96</f>
        <v>82.66</v>
      </c>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22"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22" customHeight="1" x14ac:dyDescent="0.2">
      <c r="A99" s="9" t="s">
        <v>187</v>
      </c>
      <c r="B99" s="100">
        <v>5700</v>
      </c>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22" customHeight="1" x14ac:dyDescent="0.2">
      <c r="A100" s="9" t="s">
        <v>188</v>
      </c>
      <c r="B100" s="100">
        <v>4600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22" customHeight="1" x14ac:dyDescent="0.2">
      <c r="A101" s="9" t="s">
        <v>189</v>
      </c>
      <c r="B101" s="100">
        <v>-1400</v>
      </c>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22" customHeight="1" x14ac:dyDescent="0.2">
      <c r="A102" s="9" t="s">
        <v>190</v>
      </c>
      <c r="B102" s="100">
        <v>-800</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22" customHeight="1" x14ac:dyDescent="0.2">
      <c r="A103" s="9" t="s">
        <v>191</v>
      </c>
      <c r="B103" s="100">
        <v>500</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22" customHeight="1" x14ac:dyDescent="0.2">
      <c r="A104" s="9" t="s">
        <v>152</v>
      </c>
      <c r="B104" s="100">
        <f>SUM(B99:B103)</f>
        <v>8600</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22" customHeight="1" x14ac:dyDescent="0.2">
      <c r="A105" s="11"/>
      <c r="B105" s="118"/>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22" customHeight="1" x14ac:dyDescent="0.2">
      <c r="A106" s="28" t="s">
        <v>165</v>
      </c>
      <c r="B106" s="121">
        <f>B89+B93+B97+B104</f>
        <v>8726.8700000000008</v>
      </c>
      <c r="C106" s="33"/>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sheetData>
  <conditionalFormatting sqref="B57:B58">
    <cfRule type="cellIs" dxfId="1"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53"/>
  <sheetViews>
    <sheetView showGridLines="0" topLeftCell="A22" workbookViewId="0">
      <selection activeCell="B51" sqref="B51"/>
    </sheetView>
  </sheetViews>
  <sheetFormatPr baseColWidth="10" defaultColWidth="12.25" defaultRowHeight="20" customHeight="1" x14ac:dyDescent="0.2"/>
  <cols>
    <col min="1" max="1" width="58.375" style="5" customWidth="1"/>
    <col min="2" max="2" width="12.5" style="5" customWidth="1"/>
    <col min="3" max="4" width="12.25" style="5" customWidth="1"/>
    <col min="5" max="5" width="49" style="5" customWidth="1"/>
    <col min="6" max="6" width="9.125" style="5" customWidth="1"/>
    <col min="7" max="7" width="57.5" style="5" customWidth="1"/>
    <col min="8" max="8" width="13.125" style="5" customWidth="1"/>
    <col min="9" max="10" width="12.25" style="5" customWidth="1"/>
    <col min="11" max="11" width="48.875" style="5" customWidth="1"/>
    <col min="12" max="12" width="6.625" style="5" customWidth="1"/>
    <col min="13" max="13" width="57.5" style="5" customWidth="1"/>
    <col min="14" max="16" width="12.25" style="5" customWidth="1"/>
    <col min="17" max="17" width="49.5" style="5" customWidth="1"/>
    <col min="18" max="18" width="12.25" style="5" customWidth="1"/>
    <col min="19" max="16384" width="12.25" style="5"/>
  </cols>
  <sheetData>
    <row r="1" spans="1:17" ht="22" customHeight="1" x14ac:dyDescent="0.2">
      <c r="A1" s="293" t="s">
        <v>192</v>
      </c>
      <c r="B1" s="289"/>
      <c r="C1" s="289"/>
      <c r="D1" s="289"/>
      <c r="E1" s="289"/>
      <c r="F1" s="122"/>
      <c r="G1" s="288" t="s">
        <v>193</v>
      </c>
      <c r="H1" s="289"/>
      <c r="I1" s="289"/>
      <c r="J1" s="289"/>
      <c r="K1" s="289"/>
      <c r="L1" s="122"/>
      <c r="M1" s="288" t="s">
        <v>194</v>
      </c>
      <c r="N1" s="289"/>
      <c r="O1" s="289"/>
      <c r="P1" s="289"/>
      <c r="Q1" s="290"/>
    </row>
    <row r="2" spans="1:17" ht="22" customHeight="1" x14ac:dyDescent="0.2">
      <c r="A2" s="285"/>
      <c r="B2" s="291"/>
      <c r="C2" s="291"/>
      <c r="D2" s="291"/>
      <c r="E2" s="291"/>
      <c r="F2" s="122"/>
      <c r="G2" s="291"/>
      <c r="H2" s="291"/>
      <c r="I2" s="291"/>
      <c r="J2" s="291"/>
      <c r="K2" s="291"/>
      <c r="L2" s="122"/>
      <c r="M2" s="291"/>
      <c r="N2" s="291"/>
      <c r="O2" s="291"/>
      <c r="P2" s="291"/>
      <c r="Q2" s="292"/>
    </row>
    <row r="3" spans="1:17" ht="22" customHeight="1" x14ac:dyDescent="0.2">
      <c r="A3" s="39"/>
      <c r="B3" s="39"/>
      <c r="C3" s="40" t="s">
        <v>76</v>
      </c>
      <c r="D3" s="39"/>
      <c r="E3" s="39"/>
      <c r="F3" s="11"/>
      <c r="G3" s="39"/>
      <c r="H3" s="39"/>
      <c r="I3" s="40" t="s">
        <v>76</v>
      </c>
      <c r="J3" s="39"/>
      <c r="K3" s="39"/>
      <c r="L3" s="11"/>
      <c r="M3" s="39"/>
      <c r="N3" s="39"/>
      <c r="O3" s="40" t="s">
        <v>76</v>
      </c>
      <c r="P3" s="39"/>
      <c r="Q3" s="39"/>
    </row>
    <row r="4" spans="1:17" ht="22" customHeight="1" x14ac:dyDescent="0.2">
      <c r="A4" s="41" t="s">
        <v>77</v>
      </c>
      <c r="B4" s="42">
        <v>5052.18</v>
      </c>
      <c r="C4" s="43">
        <v>210</v>
      </c>
      <c r="D4" s="11"/>
      <c r="E4" s="11"/>
      <c r="F4" s="11"/>
      <c r="G4" s="41" t="s">
        <v>168</v>
      </c>
      <c r="H4" s="42">
        <v>43901.61</v>
      </c>
      <c r="I4" s="43">
        <v>210</v>
      </c>
      <c r="J4" s="11"/>
      <c r="K4" s="11"/>
      <c r="L4" s="11"/>
      <c r="M4" s="41" t="s">
        <v>195</v>
      </c>
      <c r="N4" s="42">
        <v>874.25</v>
      </c>
      <c r="O4" s="43">
        <v>210</v>
      </c>
      <c r="P4" s="11"/>
      <c r="Q4" s="11"/>
    </row>
    <row r="5" spans="1:17" ht="22" customHeight="1" x14ac:dyDescent="0.2">
      <c r="A5" s="44" t="s">
        <v>78</v>
      </c>
      <c r="B5" s="45">
        <f>B4-B6</f>
        <v>4338.2300000000005</v>
      </c>
      <c r="C5" s="46"/>
      <c r="D5" s="11"/>
      <c r="E5" s="11"/>
      <c r="F5" s="123"/>
      <c r="G5" s="124" t="s">
        <v>169</v>
      </c>
      <c r="H5" s="45">
        <f>H4-H6</f>
        <v>37632.94</v>
      </c>
      <c r="I5" s="46"/>
      <c r="J5" s="11"/>
      <c r="K5" s="11"/>
      <c r="L5" s="123"/>
      <c r="M5" s="124" t="s">
        <v>196</v>
      </c>
      <c r="N5" s="45">
        <f>N4-N6</f>
        <v>819.93</v>
      </c>
      <c r="O5" s="46"/>
      <c r="P5" s="11"/>
      <c r="Q5" s="11"/>
    </row>
    <row r="6" spans="1:17" ht="22" customHeight="1" x14ac:dyDescent="0.2">
      <c r="A6" s="47" t="s">
        <v>79</v>
      </c>
      <c r="B6" s="48">
        <v>713.95</v>
      </c>
      <c r="C6" s="49">
        <v>220</v>
      </c>
      <c r="D6" s="11"/>
      <c r="E6" s="11"/>
      <c r="F6" s="123"/>
      <c r="G6" s="125" t="s">
        <v>79</v>
      </c>
      <c r="H6" s="48">
        <v>6268.67</v>
      </c>
      <c r="I6" s="49">
        <v>220</v>
      </c>
      <c r="J6" s="11"/>
      <c r="K6" s="11"/>
      <c r="L6" s="123"/>
      <c r="M6" s="125" t="s">
        <v>79</v>
      </c>
      <c r="N6" s="48">
        <v>54.32</v>
      </c>
      <c r="O6" s="49">
        <v>220</v>
      </c>
      <c r="P6" s="11"/>
      <c r="Q6" s="11"/>
    </row>
    <row r="7" spans="1:17" ht="22" customHeight="1" x14ac:dyDescent="0.2">
      <c r="A7" s="50"/>
      <c r="B7" s="51"/>
      <c r="C7" s="52"/>
      <c r="D7" s="53"/>
      <c r="E7" s="53"/>
      <c r="F7" s="11"/>
      <c r="G7" s="50"/>
      <c r="H7" s="51"/>
      <c r="I7" s="52"/>
      <c r="J7" s="53"/>
      <c r="K7" s="53"/>
      <c r="L7" s="11"/>
      <c r="M7" s="50"/>
      <c r="N7" s="51"/>
      <c r="O7" s="52"/>
      <c r="P7" s="53"/>
      <c r="Q7" s="53"/>
    </row>
    <row r="8" spans="1:17" ht="22" customHeight="1" x14ac:dyDescent="0.25">
      <c r="A8" s="44" t="s">
        <v>80</v>
      </c>
      <c r="B8" s="45">
        <v>201.62</v>
      </c>
      <c r="C8" s="54">
        <v>230</v>
      </c>
      <c r="D8" s="55">
        <f>ROUND(B5*0.1812,2)</f>
        <v>786.09</v>
      </c>
      <c r="E8" s="56" t="s">
        <v>81</v>
      </c>
      <c r="F8" s="126"/>
      <c r="G8" s="124" t="s">
        <v>80</v>
      </c>
      <c r="H8" s="45">
        <v>6905.09</v>
      </c>
      <c r="I8" s="54">
        <v>230</v>
      </c>
      <c r="J8" s="55">
        <f>ROUND(H5*0.1812,2)</f>
        <v>6819.09</v>
      </c>
      <c r="K8" s="56" t="s">
        <v>81</v>
      </c>
      <c r="L8" s="126"/>
      <c r="M8" s="124" t="s">
        <v>80</v>
      </c>
      <c r="N8" s="45">
        <v>123.97</v>
      </c>
      <c r="O8" s="54">
        <v>230</v>
      </c>
      <c r="P8" s="55">
        <f>ROUND(N5*0.1812,2)</f>
        <v>148.57</v>
      </c>
      <c r="Q8" s="56" t="s">
        <v>81</v>
      </c>
    </row>
    <row r="9" spans="1:17" ht="22" customHeight="1" x14ac:dyDescent="0.25">
      <c r="A9" s="47" t="s">
        <v>82</v>
      </c>
      <c r="B9" s="48">
        <v>20.34</v>
      </c>
      <c r="C9" s="54">
        <v>225</v>
      </c>
      <c r="D9" s="55">
        <f>ROUND(B6*0.1712,2)</f>
        <v>122.23</v>
      </c>
      <c r="E9" s="56" t="s">
        <v>83</v>
      </c>
      <c r="F9" s="126"/>
      <c r="G9" s="125" t="s">
        <v>82</v>
      </c>
      <c r="H9" s="48">
        <v>899.56</v>
      </c>
      <c r="I9" s="54">
        <v>225</v>
      </c>
      <c r="J9" s="55">
        <f>ROUND(H6*0.1712,2)</f>
        <v>1073.2</v>
      </c>
      <c r="K9" s="56" t="s">
        <v>83</v>
      </c>
      <c r="L9" s="126"/>
      <c r="M9" s="125" t="s">
        <v>82</v>
      </c>
      <c r="N9" s="48">
        <v>7.67</v>
      </c>
      <c r="O9" s="54">
        <v>225</v>
      </c>
      <c r="P9" s="55">
        <f>ROUND(N6*0.1712,2)</f>
        <v>9.3000000000000007</v>
      </c>
      <c r="Q9" s="56" t="s">
        <v>83</v>
      </c>
    </row>
    <row r="10" spans="1:17" ht="22" customHeight="1" x14ac:dyDescent="0.25">
      <c r="A10" s="57" t="s">
        <v>84</v>
      </c>
      <c r="B10" s="58">
        <f>B8+B9</f>
        <v>221.96</v>
      </c>
      <c r="C10" s="59"/>
      <c r="D10" s="55">
        <f>D8+D9</f>
        <v>908.32</v>
      </c>
      <c r="E10" s="56" t="s">
        <v>85</v>
      </c>
      <c r="F10" s="76"/>
      <c r="G10" s="57" t="s">
        <v>84</v>
      </c>
      <c r="H10" s="58">
        <f>H8+H9</f>
        <v>7804.65</v>
      </c>
      <c r="I10" s="59"/>
      <c r="J10" s="55">
        <f>J8+J9</f>
        <v>7892.29</v>
      </c>
      <c r="K10" s="56" t="s">
        <v>85</v>
      </c>
      <c r="L10" s="76"/>
      <c r="M10" s="57" t="s">
        <v>84</v>
      </c>
      <c r="N10" s="58">
        <f>N8+N9</f>
        <v>131.63999999999999</v>
      </c>
      <c r="O10" s="59"/>
      <c r="P10" s="55">
        <f>P8+P9</f>
        <v>157.87</v>
      </c>
      <c r="Q10" s="56" t="s">
        <v>85</v>
      </c>
    </row>
    <row r="11" spans="1:17" ht="22" customHeight="1" x14ac:dyDescent="0.2">
      <c r="A11" s="60"/>
      <c r="B11" s="42"/>
      <c r="C11" s="52"/>
      <c r="D11" s="61"/>
      <c r="E11" s="61"/>
      <c r="F11" s="11"/>
      <c r="G11" s="60"/>
      <c r="H11" s="42"/>
      <c r="I11" s="52"/>
      <c r="J11" s="61"/>
      <c r="K11" s="61"/>
      <c r="L11" s="11"/>
      <c r="M11" s="60"/>
      <c r="N11" s="42"/>
      <c r="O11" s="52"/>
      <c r="P11" s="61"/>
      <c r="Q11" s="61"/>
    </row>
    <row r="12" spans="1:17" ht="22" customHeight="1" x14ac:dyDescent="0.2">
      <c r="A12" s="44" t="s">
        <v>86</v>
      </c>
      <c r="B12" s="45">
        <f>B5-B8</f>
        <v>4136.6100000000006</v>
      </c>
      <c r="C12" s="49">
        <v>245</v>
      </c>
      <c r="D12" s="9" t="s">
        <v>87</v>
      </c>
      <c r="E12" s="11"/>
      <c r="F12" s="123"/>
      <c r="G12" s="124" t="s">
        <v>170</v>
      </c>
      <c r="H12" s="45">
        <f>H5-H8</f>
        <v>30727.850000000002</v>
      </c>
      <c r="I12" s="49">
        <v>245</v>
      </c>
      <c r="J12" s="9" t="s">
        <v>87</v>
      </c>
      <c r="K12" s="11"/>
      <c r="L12" s="123"/>
      <c r="M12" s="124" t="s">
        <v>170</v>
      </c>
      <c r="N12" s="45">
        <f>N5-N8</f>
        <v>695.95999999999992</v>
      </c>
      <c r="O12" s="49">
        <v>245</v>
      </c>
      <c r="P12" s="9" t="s">
        <v>87</v>
      </c>
      <c r="Q12" s="11"/>
    </row>
    <row r="13" spans="1:17" ht="22" customHeight="1" x14ac:dyDescent="0.2">
      <c r="A13" s="47" t="s">
        <v>88</v>
      </c>
      <c r="B13" s="48">
        <f>B6-B9</f>
        <v>693.61</v>
      </c>
      <c r="C13" s="46"/>
      <c r="D13" s="9" t="s">
        <v>89</v>
      </c>
      <c r="E13" s="11"/>
      <c r="F13" s="123"/>
      <c r="G13" s="125" t="s">
        <v>88</v>
      </c>
      <c r="H13" s="48">
        <f>H6-H9</f>
        <v>5369.1100000000006</v>
      </c>
      <c r="I13" s="46"/>
      <c r="J13" s="9" t="s">
        <v>89</v>
      </c>
      <c r="K13" s="11"/>
      <c r="L13" s="123"/>
      <c r="M13" s="125" t="s">
        <v>88</v>
      </c>
      <c r="N13" s="48">
        <f>N6-N9</f>
        <v>46.65</v>
      </c>
      <c r="O13" s="46"/>
      <c r="P13" s="9" t="s">
        <v>89</v>
      </c>
      <c r="Q13" s="11"/>
    </row>
    <row r="14" spans="1:17" ht="22" customHeight="1" x14ac:dyDescent="0.2">
      <c r="A14" s="50"/>
      <c r="B14" s="51"/>
      <c r="C14" s="11"/>
      <c r="D14" s="11"/>
      <c r="E14" s="11"/>
      <c r="F14" s="11"/>
      <c r="G14" s="50"/>
      <c r="H14" s="51"/>
      <c r="I14" s="11"/>
      <c r="J14" s="11"/>
      <c r="K14" s="11"/>
      <c r="L14" s="11"/>
      <c r="M14" s="39"/>
      <c r="N14" s="58"/>
      <c r="O14" s="11"/>
      <c r="P14" s="11"/>
      <c r="Q14" s="11"/>
    </row>
    <row r="15" spans="1:17" ht="22" customHeight="1" x14ac:dyDescent="0.2">
      <c r="A15" s="62" t="s">
        <v>90</v>
      </c>
      <c r="B15" s="63">
        <v>175.89</v>
      </c>
      <c r="C15" s="281" t="s">
        <v>91</v>
      </c>
      <c r="D15" s="282"/>
      <c r="E15" s="282"/>
      <c r="F15" s="123"/>
      <c r="G15" s="127" t="s">
        <v>90</v>
      </c>
      <c r="H15" s="63">
        <v>13.93</v>
      </c>
      <c r="I15" s="281" t="s">
        <v>91</v>
      </c>
      <c r="J15" s="282"/>
      <c r="K15" s="282"/>
      <c r="L15" s="11"/>
      <c r="M15" s="11"/>
      <c r="N15" s="11"/>
      <c r="O15" s="295"/>
      <c r="P15" s="295"/>
      <c r="Q15" s="295"/>
    </row>
    <row r="16" spans="1:17" ht="22" customHeight="1" x14ac:dyDescent="0.2">
      <c r="A16" s="62" t="s">
        <v>197</v>
      </c>
      <c r="B16" s="63">
        <v>11.88</v>
      </c>
      <c r="C16" s="64"/>
      <c r="D16" s="11"/>
      <c r="E16" s="11"/>
      <c r="F16" s="123"/>
      <c r="G16" s="127" t="s">
        <v>197</v>
      </c>
      <c r="H16" s="63">
        <v>269</v>
      </c>
      <c r="I16" s="64"/>
      <c r="J16" s="11"/>
      <c r="K16" s="11"/>
      <c r="L16" s="11"/>
      <c r="M16" s="11"/>
      <c r="N16" s="11"/>
      <c r="O16" s="11"/>
      <c r="P16" s="11"/>
      <c r="Q16" s="11"/>
    </row>
    <row r="17" spans="1:17" ht="22" customHeight="1" x14ac:dyDescent="0.2">
      <c r="A17" s="50"/>
      <c r="B17" s="51"/>
      <c r="C17" s="11"/>
      <c r="D17" s="11"/>
      <c r="E17" s="11"/>
      <c r="F17" s="11"/>
      <c r="G17" s="50"/>
      <c r="H17" s="51"/>
      <c r="I17" s="11"/>
      <c r="J17" s="11"/>
      <c r="K17" s="11"/>
      <c r="L17" s="11"/>
      <c r="M17" s="60"/>
      <c r="N17" s="42"/>
      <c r="O17" s="11"/>
      <c r="P17" s="11"/>
      <c r="Q17" s="11"/>
    </row>
    <row r="18" spans="1:17" ht="22" customHeight="1" x14ac:dyDescent="0.2">
      <c r="A18" s="65" t="s">
        <v>93</v>
      </c>
      <c r="B18" s="66">
        <v>0</v>
      </c>
      <c r="C18" s="49">
        <v>260</v>
      </c>
      <c r="D18" s="11"/>
      <c r="E18" s="11"/>
      <c r="F18" s="123"/>
      <c r="G18" s="128" t="s">
        <v>93</v>
      </c>
      <c r="H18" s="66">
        <v>6022.46</v>
      </c>
      <c r="I18" s="49">
        <v>260</v>
      </c>
      <c r="J18" s="11"/>
      <c r="K18" s="11"/>
      <c r="L18" s="123"/>
      <c r="M18" s="128" t="s">
        <v>93</v>
      </c>
      <c r="N18" s="66">
        <v>0</v>
      </c>
      <c r="O18" s="49">
        <v>260</v>
      </c>
      <c r="P18" s="11"/>
      <c r="Q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77" t="s">
        <v>198</v>
      </c>
      <c r="B21" s="294"/>
      <c r="C21" s="294"/>
      <c r="D21" s="294"/>
      <c r="E21" s="294"/>
      <c r="F21" s="76"/>
      <c r="G21" s="11"/>
      <c r="H21" s="11"/>
      <c r="I21" s="11"/>
      <c r="J21" s="11"/>
      <c r="K21" s="11"/>
      <c r="L21" s="11"/>
      <c r="M21" s="11"/>
      <c r="N21" s="11"/>
      <c r="O21" s="11"/>
      <c r="P21" s="11"/>
      <c r="Q21" s="11"/>
    </row>
    <row r="22" spans="1:17" ht="22" customHeight="1" x14ac:dyDescent="0.2">
      <c r="A22" s="294"/>
      <c r="B22" s="294"/>
      <c r="C22" s="294"/>
      <c r="D22" s="294"/>
      <c r="E22" s="294"/>
      <c r="F22" s="76"/>
      <c r="G22" s="11"/>
      <c r="H22" s="11"/>
      <c r="I22" s="11"/>
      <c r="J22" s="11"/>
      <c r="K22" s="11"/>
      <c r="L22" s="11"/>
      <c r="M22" s="11"/>
      <c r="N22" s="11"/>
      <c r="O22" s="11"/>
      <c r="P22" s="11"/>
      <c r="Q22" s="11"/>
    </row>
    <row r="23" spans="1:17" ht="22" customHeight="1" x14ac:dyDescent="0.2">
      <c r="A23" s="67" t="s">
        <v>95</v>
      </c>
      <c r="B23" s="68">
        <f>'2019'!B22</f>
        <v>2931.52</v>
      </c>
      <c r="C23" s="69"/>
      <c r="D23" s="61"/>
      <c r="E23" s="61"/>
      <c r="F23" s="11"/>
      <c r="G23" s="11"/>
      <c r="H23" s="11"/>
      <c r="I23" s="11"/>
      <c r="J23" s="11"/>
      <c r="K23" s="11"/>
      <c r="L23" s="11"/>
      <c r="M23" s="11"/>
      <c r="N23" s="11"/>
      <c r="O23" s="11"/>
      <c r="P23" s="11"/>
      <c r="Q23" s="11"/>
    </row>
    <row r="24" spans="1:17" ht="22" customHeight="1" x14ac:dyDescent="0.2">
      <c r="A24" s="44" t="s">
        <v>172</v>
      </c>
      <c r="B24" s="45">
        <f>B12+H12+N12</f>
        <v>35560.420000000006</v>
      </c>
      <c r="C24" s="64"/>
      <c r="D24" s="11"/>
      <c r="E24" s="11"/>
      <c r="F24" s="11"/>
      <c r="G24" s="11"/>
      <c r="H24" s="11"/>
      <c r="I24" s="11"/>
      <c r="J24" s="11"/>
      <c r="K24" s="11"/>
      <c r="L24" s="11"/>
      <c r="M24" s="11"/>
      <c r="N24" s="11"/>
      <c r="O24" s="11"/>
      <c r="P24" s="11"/>
      <c r="Q24" s="11"/>
    </row>
    <row r="25" spans="1:17" ht="22" customHeight="1" x14ac:dyDescent="0.25">
      <c r="A25" s="129" t="s">
        <v>97</v>
      </c>
      <c r="B25" s="130">
        <f>B23+B24</f>
        <v>38491.94</v>
      </c>
      <c r="C25" s="64"/>
      <c r="D25" s="11"/>
      <c r="E25" s="11"/>
      <c r="F25" s="11"/>
      <c r="G25" s="11"/>
      <c r="H25" s="11"/>
      <c r="I25" s="11"/>
      <c r="J25" s="11"/>
      <c r="K25" s="11"/>
      <c r="L25" s="11"/>
      <c r="M25" s="11"/>
      <c r="N25" s="11"/>
      <c r="O25" s="11"/>
      <c r="P25" s="11"/>
      <c r="Q25" s="11"/>
    </row>
    <row r="26" spans="1:17" ht="22" customHeight="1" x14ac:dyDescent="0.2">
      <c r="A26" s="72"/>
      <c r="B26" s="73"/>
      <c r="C26" s="11"/>
      <c r="D26" s="11"/>
      <c r="E26" s="11"/>
      <c r="F26" s="11"/>
      <c r="G26" s="11"/>
      <c r="H26" s="11"/>
      <c r="I26" s="11"/>
      <c r="J26" s="11"/>
      <c r="K26" s="11"/>
      <c r="L26" s="11"/>
      <c r="M26" s="11"/>
      <c r="N26" s="11"/>
      <c r="O26" s="11"/>
      <c r="P26" s="11"/>
      <c r="Q26" s="11"/>
    </row>
    <row r="27" spans="1:17" ht="22" customHeight="1" x14ac:dyDescent="0.2">
      <c r="A27" s="74" t="s">
        <v>98</v>
      </c>
      <c r="B27" s="75"/>
      <c r="C27" s="76"/>
      <c r="D27" s="11"/>
      <c r="E27" s="11"/>
      <c r="F27" s="11"/>
      <c r="G27" s="11"/>
      <c r="H27" s="11"/>
      <c r="I27" s="11"/>
      <c r="J27" s="11"/>
      <c r="K27" s="11"/>
      <c r="L27" s="11"/>
      <c r="M27" s="11"/>
      <c r="N27" s="11"/>
      <c r="O27" s="11"/>
      <c r="P27" s="11"/>
      <c r="Q27" s="11"/>
    </row>
    <row r="28" spans="1:17" ht="22" customHeight="1" x14ac:dyDescent="0.2">
      <c r="A28" s="74" t="s">
        <v>25</v>
      </c>
      <c r="B28" s="77">
        <f>'2019'!B19</f>
        <v>1664.75</v>
      </c>
      <c r="C28" s="76"/>
      <c r="D28" s="11"/>
      <c r="E28" s="11"/>
      <c r="F28" s="11"/>
      <c r="G28" s="11"/>
      <c r="H28" s="11"/>
      <c r="I28" s="11"/>
      <c r="J28" s="11"/>
      <c r="K28" s="11"/>
      <c r="L28" s="11"/>
      <c r="M28" s="11"/>
      <c r="N28" s="11"/>
      <c r="O28" s="11"/>
      <c r="P28" s="11"/>
      <c r="Q28" s="11"/>
    </row>
    <row r="29" spans="1:17" ht="22" customHeight="1" x14ac:dyDescent="0.2">
      <c r="A29" s="74" t="s">
        <v>99</v>
      </c>
      <c r="B29" s="77">
        <f>(60000-(B25-B28))*('2019'!B5/4-60)/23600+60</f>
        <v>498.19685520127115</v>
      </c>
      <c r="C29" s="78"/>
      <c r="D29" s="131"/>
      <c r="E29" s="11"/>
      <c r="F29" s="11"/>
      <c r="G29" s="11"/>
      <c r="H29" s="11"/>
      <c r="I29" s="11"/>
      <c r="J29" s="11"/>
      <c r="K29" s="11"/>
      <c r="L29" s="11"/>
      <c r="M29" s="11"/>
      <c r="N29" s="11"/>
      <c r="O29" s="11"/>
      <c r="P29" s="11"/>
      <c r="Q29" s="11"/>
    </row>
    <row r="30" spans="1:17" ht="22" customHeight="1" x14ac:dyDescent="0.25">
      <c r="A30" s="79" t="s">
        <v>21</v>
      </c>
      <c r="B30" s="80">
        <f>SUM(B28:B29)</f>
        <v>2162.9468552012713</v>
      </c>
      <c r="C30" s="76"/>
      <c r="D30" s="11"/>
      <c r="E30" s="11"/>
      <c r="F30" s="11"/>
      <c r="G30" s="11"/>
      <c r="H30" s="11"/>
      <c r="I30" s="11"/>
      <c r="J30" s="11"/>
      <c r="K30" s="11"/>
      <c r="L30" s="11"/>
      <c r="M30" s="11"/>
      <c r="N30" s="11"/>
      <c r="O30" s="11"/>
      <c r="P30" s="11"/>
      <c r="Q30" s="11"/>
    </row>
    <row r="31" spans="1:17" ht="22" customHeight="1" x14ac:dyDescent="0.2">
      <c r="A31" s="81"/>
      <c r="B31" s="82"/>
      <c r="C31" s="11"/>
      <c r="D31" s="11"/>
      <c r="E31" s="11"/>
      <c r="F31" s="11"/>
      <c r="G31" s="11"/>
      <c r="H31" s="11"/>
      <c r="I31" s="11"/>
      <c r="J31" s="11"/>
      <c r="K31" s="11"/>
      <c r="L31" s="11"/>
      <c r="M31" s="11"/>
      <c r="N31" s="11"/>
      <c r="O31" s="11"/>
      <c r="P31" s="11"/>
      <c r="Q31" s="11"/>
    </row>
    <row r="32" spans="1:17" ht="22" customHeight="1" x14ac:dyDescent="0.25">
      <c r="A32" s="83" t="s">
        <v>101</v>
      </c>
      <c r="B32" s="84">
        <f>B25-B30</f>
        <v>36328.993144798733</v>
      </c>
      <c r="C32" s="64"/>
      <c r="D32" s="11"/>
      <c r="E32" s="11"/>
      <c r="F32" s="11"/>
      <c r="G32" s="11"/>
      <c r="H32" s="11"/>
      <c r="I32" s="11"/>
      <c r="J32" s="11"/>
      <c r="K32" s="11"/>
      <c r="L32" s="11"/>
      <c r="M32" s="11"/>
      <c r="N32" s="11"/>
      <c r="O32" s="11"/>
      <c r="P32" s="11"/>
      <c r="Q32" s="11"/>
    </row>
    <row r="33" spans="1:17" ht="22" customHeight="1" x14ac:dyDescent="0.25">
      <c r="A33" s="56" t="s">
        <v>102</v>
      </c>
      <c r="B33" s="85">
        <f>ROUND((B32-31000)*0.42+6300,2)</f>
        <v>8538.18</v>
      </c>
      <c r="C33" s="283" t="s">
        <v>174</v>
      </c>
      <c r="D33" s="284"/>
      <c r="E33" s="11"/>
      <c r="F33" s="11"/>
      <c r="G33" s="11"/>
      <c r="H33" s="11"/>
      <c r="I33" s="11"/>
      <c r="J33" s="11"/>
      <c r="K33" s="11"/>
      <c r="L33" s="11"/>
      <c r="M33" s="11"/>
      <c r="N33" s="11"/>
      <c r="O33" s="11"/>
      <c r="P33" s="11"/>
      <c r="Q33" s="11"/>
    </row>
    <row r="34" spans="1:17" ht="22" customHeight="1" x14ac:dyDescent="0.25">
      <c r="A34" s="56" t="s">
        <v>104</v>
      </c>
      <c r="B34" s="85">
        <f>ROUND((B13+H13+N13-620)*0.06,2)</f>
        <v>329.36</v>
      </c>
      <c r="C34" s="283" t="s">
        <v>105</v>
      </c>
      <c r="D34" s="284"/>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88"/>
      <c r="C36" s="11"/>
      <c r="D36" s="11"/>
      <c r="E36" s="11"/>
      <c r="F36" s="11"/>
      <c r="G36" s="11"/>
      <c r="H36" s="11"/>
      <c r="I36" s="11"/>
      <c r="J36" s="11"/>
      <c r="K36" s="11"/>
      <c r="L36" s="11"/>
      <c r="M36" s="11"/>
      <c r="N36" s="11"/>
      <c r="O36" s="11"/>
      <c r="P36" s="11"/>
      <c r="Q36" s="11"/>
    </row>
    <row r="37" spans="1:17" ht="22" customHeight="1" x14ac:dyDescent="0.25">
      <c r="A37" s="56" t="s">
        <v>107</v>
      </c>
      <c r="B37" s="85">
        <f>B33+B34-B35</f>
        <v>8467.5400000000009</v>
      </c>
      <c r="C37" s="76"/>
      <c r="D37" s="11"/>
      <c r="E37" s="11"/>
      <c r="F37" s="11"/>
      <c r="G37" s="11"/>
      <c r="H37" s="11"/>
      <c r="I37" s="11"/>
      <c r="J37" s="11"/>
      <c r="K37" s="11"/>
      <c r="L37" s="11"/>
      <c r="M37" s="11"/>
      <c r="N37" s="11"/>
      <c r="O37" s="11"/>
      <c r="P37" s="11"/>
      <c r="Q37" s="11"/>
    </row>
    <row r="38" spans="1:17" ht="22" customHeight="1" x14ac:dyDescent="0.2">
      <c r="A38" s="86" t="s">
        <v>175</v>
      </c>
      <c r="B38" s="87">
        <f>B18+H18+N18</f>
        <v>6022.46</v>
      </c>
      <c r="C38" s="64"/>
      <c r="D38" s="11"/>
      <c r="E38" s="11"/>
      <c r="F38" s="11"/>
      <c r="G38" s="11"/>
      <c r="H38" s="11"/>
      <c r="I38" s="11"/>
      <c r="J38" s="11"/>
      <c r="K38" s="11"/>
      <c r="L38" s="11"/>
      <c r="M38" s="11"/>
      <c r="N38" s="11"/>
      <c r="O38" s="11"/>
      <c r="P38" s="11"/>
      <c r="Q38" s="11"/>
    </row>
    <row r="39" spans="1:17" ht="22" customHeight="1" x14ac:dyDescent="0.2">
      <c r="A39" s="57" t="s">
        <v>109</v>
      </c>
      <c r="B39" s="58">
        <v>-0.08</v>
      </c>
      <c r="C39" s="11"/>
      <c r="D39" s="11"/>
      <c r="E39" s="11"/>
      <c r="F39" s="11"/>
      <c r="G39" s="11"/>
      <c r="H39" s="11"/>
      <c r="I39" s="11"/>
      <c r="J39" s="11"/>
      <c r="K39" s="11"/>
      <c r="L39" s="11"/>
      <c r="M39" s="11"/>
      <c r="N39" s="11"/>
      <c r="O39" s="11"/>
      <c r="P39" s="11"/>
      <c r="Q39" s="11"/>
    </row>
    <row r="40" spans="1:17" ht="22" customHeight="1" x14ac:dyDescent="0.2">
      <c r="A40" s="53"/>
      <c r="B40" s="89"/>
      <c r="C40" s="11"/>
      <c r="D40" s="11"/>
      <c r="E40" s="11"/>
      <c r="F40" s="11"/>
      <c r="G40" s="11"/>
      <c r="H40" s="11"/>
      <c r="I40" s="11"/>
      <c r="J40" s="11"/>
      <c r="K40" s="11"/>
      <c r="L40" s="11"/>
      <c r="M40" s="11"/>
      <c r="N40" s="11"/>
      <c r="O40" s="11"/>
      <c r="P40" s="11"/>
      <c r="Q40" s="11"/>
    </row>
    <row r="41" spans="1:17" ht="22" customHeight="1" x14ac:dyDescent="0.25">
      <c r="A41" s="56" t="s">
        <v>176</v>
      </c>
      <c r="B41" s="85">
        <f>B37-B38+B39</f>
        <v>2445.0000000000009</v>
      </c>
      <c r="C41" s="76"/>
      <c r="D41" s="11"/>
      <c r="E41" s="11"/>
      <c r="F41" s="11"/>
      <c r="G41" s="11"/>
      <c r="H41" s="11"/>
      <c r="I41" s="11"/>
      <c r="J41" s="11"/>
      <c r="K41" s="11"/>
      <c r="L41" s="11"/>
      <c r="M41" s="11"/>
      <c r="N41" s="11"/>
      <c r="O41" s="11"/>
      <c r="P41" s="11"/>
      <c r="Q41" s="11"/>
    </row>
    <row r="42" spans="1:17" ht="22" customHeight="1" x14ac:dyDescent="0.2">
      <c r="A42" s="86" t="s">
        <v>199</v>
      </c>
      <c r="B42" s="87">
        <v>1243</v>
      </c>
      <c r="C42" s="64"/>
      <c r="D42" s="11"/>
      <c r="E42" s="11"/>
      <c r="F42" s="11"/>
      <c r="G42" s="11"/>
      <c r="H42" s="11"/>
      <c r="I42" s="11"/>
      <c r="J42" s="11"/>
      <c r="K42" s="11"/>
      <c r="L42" s="11"/>
      <c r="M42" s="11"/>
      <c r="N42" s="11"/>
      <c r="O42" s="11"/>
      <c r="P42" s="11"/>
      <c r="Q42" s="11"/>
    </row>
    <row r="43" spans="1:17" ht="22" customHeight="1" x14ac:dyDescent="0.2">
      <c r="A43" s="72"/>
      <c r="B43" s="88"/>
      <c r="C43" s="11"/>
      <c r="D43" s="11"/>
      <c r="E43" s="11"/>
      <c r="F43" s="11"/>
      <c r="G43" s="11"/>
      <c r="H43" s="11"/>
      <c r="I43" s="11"/>
      <c r="J43" s="11"/>
      <c r="K43" s="11"/>
      <c r="L43" s="11"/>
      <c r="M43" s="11"/>
      <c r="N43" s="11"/>
      <c r="O43" s="11"/>
      <c r="P43" s="11"/>
      <c r="Q43" s="11"/>
    </row>
    <row r="44" spans="1:17" ht="22" customHeight="1" x14ac:dyDescent="0.25">
      <c r="A44" s="90" t="s">
        <v>112</v>
      </c>
      <c r="B44" s="91">
        <f>B41-B42</f>
        <v>1202.0000000000009</v>
      </c>
      <c r="C44" s="138" t="s">
        <v>200</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5">
      <c r="A47" s="279" t="s">
        <v>201</v>
      </c>
      <c r="B47" s="280"/>
      <c r="C47" s="11"/>
      <c r="D47" s="11"/>
      <c r="E47" s="11"/>
      <c r="F47" s="11"/>
      <c r="G47" s="11"/>
      <c r="H47" s="11"/>
      <c r="I47" s="11"/>
      <c r="J47" s="11"/>
      <c r="K47" s="11"/>
      <c r="L47" s="11"/>
      <c r="M47" s="11"/>
      <c r="N47" s="11"/>
      <c r="O47" s="11"/>
      <c r="P47" s="11"/>
      <c r="Q47" s="11"/>
    </row>
    <row r="48" spans="1:17" ht="22" customHeight="1" x14ac:dyDescent="0.25">
      <c r="A48" s="139" t="s">
        <v>179</v>
      </c>
      <c r="B48" s="140">
        <f>B4+H4+N4</f>
        <v>49828.04</v>
      </c>
      <c r="C48" s="64"/>
      <c r="D48" s="11"/>
      <c r="E48" s="11"/>
      <c r="F48" s="11"/>
      <c r="G48" s="11"/>
      <c r="H48" s="11"/>
      <c r="I48" s="11"/>
      <c r="J48" s="11"/>
      <c r="K48" s="11"/>
      <c r="L48" s="11"/>
      <c r="M48" s="11"/>
      <c r="N48" s="11"/>
      <c r="O48" s="11"/>
      <c r="P48" s="11"/>
      <c r="Q48" s="11"/>
    </row>
    <row r="49" spans="1:17" ht="22" customHeight="1" x14ac:dyDescent="0.25">
      <c r="A49" s="141" t="s">
        <v>115</v>
      </c>
      <c r="B49" s="142">
        <f>B10+H10+N10</f>
        <v>8158.25</v>
      </c>
      <c r="C49" s="64"/>
      <c r="D49" s="11"/>
      <c r="E49" s="11"/>
      <c r="F49" s="11"/>
      <c r="G49" s="11"/>
      <c r="H49" s="11"/>
      <c r="I49" s="11"/>
      <c r="J49" s="11"/>
      <c r="K49" s="11"/>
      <c r="L49" s="11"/>
      <c r="M49" s="11"/>
      <c r="N49" s="11"/>
      <c r="O49" s="11"/>
      <c r="P49" s="11"/>
      <c r="Q49" s="11"/>
    </row>
    <row r="50" spans="1:17" ht="22" customHeight="1" x14ac:dyDescent="0.25">
      <c r="A50" s="141" t="s">
        <v>107</v>
      </c>
      <c r="B50" s="142">
        <f>B37</f>
        <v>8467.5400000000009</v>
      </c>
      <c r="C50" s="64"/>
      <c r="D50" s="11"/>
      <c r="E50" s="11"/>
      <c r="F50" s="11"/>
      <c r="G50" s="11"/>
      <c r="H50" s="11"/>
      <c r="I50" s="11"/>
      <c r="J50" s="11"/>
      <c r="K50" s="11"/>
      <c r="L50" s="11"/>
      <c r="M50" s="11"/>
      <c r="N50" s="11"/>
      <c r="O50" s="11"/>
      <c r="P50" s="11"/>
      <c r="Q50" s="11"/>
    </row>
    <row r="51" spans="1:17" ht="22" customHeight="1" x14ac:dyDescent="0.25">
      <c r="A51" s="139" t="s">
        <v>116</v>
      </c>
      <c r="B51" s="140">
        <f>11480-940-39.48</f>
        <v>10500.52</v>
      </c>
      <c r="C51" s="64"/>
      <c r="D51" s="11"/>
      <c r="E51" s="11"/>
      <c r="F51" s="11"/>
      <c r="G51" s="11"/>
      <c r="H51" s="11"/>
      <c r="I51" s="11"/>
      <c r="J51" s="11"/>
      <c r="K51" s="11"/>
      <c r="L51" s="11"/>
      <c r="M51" s="11"/>
      <c r="N51" s="11"/>
      <c r="O51" s="11"/>
      <c r="P51" s="11"/>
      <c r="Q51" s="11"/>
    </row>
    <row r="52" spans="1:17" ht="22" customHeight="1" x14ac:dyDescent="0.25">
      <c r="A52" s="143"/>
      <c r="B52" s="144"/>
      <c r="C52" s="11"/>
      <c r="D52" s="11"/>
      <c r="E52" s="11"/>
      <c r="F52" s="11"/>
      <c r="G52" s="11"/>
      <c r="H52" s="11"/>
      <c r="I52" s="11"/>
      <c r="J52" s="11"/>
      <c r="K52" s="11"/>
      <c r="L52" s="11"/>
      <c r="M52" s="11"/>
      <c r="N52" s="11"/>
      <c r="O52" s="11"/>
      <c r="P52" s="11"/>
      <c r="Q52" s="11"/>
    </row>
    <row r="53" spans="1:17" ht="22" customHeight="1" x14ac:dyDescent="0.3">
      <c r="A53" s="145" t="s">
        <v>117</v>
      </c>
      <c r="B53" s="146">
        <f>B48-B49-B50+B51</f>
        <v>43702.770000000004</v>
      </c>
      <c r="C53" s="76"/>
      <c r="D53" s="11"/>
      <c r="E53" s="11"/>
      <c r="F53" s="11"/>
      <c r="G53" s="11"/>
      <c r="H53" s="11"/>
      <c r="I53" s="11"/>
      <c r="J53" s="11"/>
      <c r="K53" s="11"/>
      <c r="L53" s="11"/>
      <c r="M53" s="11"/>
      <c r="N53" s="11"/>
      <c r="O53" s="11"/>
      <c r="P53" s="11"/>
      <c r="Q53" s="11"/>
    </row>
  </sheetData>
  <mergeCells count="10">
    <mergeCell ref="C34:D34"/>
    <mergeCell ref="A47:B47"/>
    <mergeCell ref="M1:Q2"/>
    <mergeCell ref="O15:Q15"/>
    <mergeCell ref="A1:E2"/>
    <mergeCell ref="G1:K2"/>
    <mergeCell ref="C15:E15"/>
    <mergeCell ref="I15:K15"/>
    <mergeCell ref="A21:E22"/>
    <mergeCell ref="C33:D33"/>
  </mergeCells>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84"/>
  <sheetViews>
    <sheetView showGridLines="0" workbookViewId="0"/>
  </sheetViews>
  <sheetFormatPr baseColWidth="10" defaultColWidth="12.25" defaultRowHeight="20" customHeight="1" x14ac:dyDescent="0.2"/>
  <cols>
    <col min="1" max="1" width="39.875" style="5" customWidth="1"/>
    <col min="2" max="2" width="13.5" style="5" customWidth="1"/>
    <col min="3" max="3" width="13.875" style="5" customWidth="1"/>
    <col min="4" max="4" width="12.25" style="5" customWidth="1"/>
    <col min="5" max="7" width="16.5" style="5" customWidth="1"/>
    <col min="8" max="14" width="12.25" style="5" customWidth="1"/>
    <col min="15" max="16384" width="12.25" style="5"/>
  </cols>
  <sheetData>
    <row r="1" spans="1:13" ht="22.25" customHeight="1" x14ac:dyDescent="0.25">
      <c r="A1" s="19" t="s">
        <v>16</v>
      </c>
      <c r="B1" s="10"/>
      <c r="C1" s="11"/>
      <c r="D1" s="11"/>
      <c r="E1" s="11"/>
      <c r="F1" s="11"/>
      <c r="G1" s="11"/>
      <c r="H1" s="11"/>
      <c r="I1" s="11"/>
      <c r="J1" s="11"/>
      <c r="K1" s="11"/>
      <c r="L1" s="11"/>
      <c r="M1" s="11"/>
    </row>
    <row r="2" spans="1:13" ht="22.25" customHeight="1" x14ac:dyDescent="0.2">
      <c r="A2" s="9" t="s">
        <v>17</v>
      </c>
      <c r="B2" s="100">
        <f>B32</f>
        <v>205.80000000000004</v>
      </c>
      <c r="C2" s="11"/>
      <c r="D2" s="11"/>
      <c r="E2" s="11"/>
      <c r="F2" s="11"/>
      <c r="G2" s="11"/>
      <c r="H2" s="11"/>
      <c r="I2" s="11"/>
      <c r="J2" s="11"/>
      <c r="K2" s="11"/>
      <c r="L2" s="11"/>
      <c r="M2" s="11"/>
    </row>
    <row r="3" spans="1:13" ht="22.25" customHeight="1" x14ac:dyDescent="0.2">
      <c r="A3" s="9" t="s">
        <v>19</v>
      </c>
      <c r="B3" s="100">
        <f>B35</f>
        <v>1494.1299999999999</v>
      </c>
      <c r="C3" s="11"/>
      <c r="D3" s="11"/>
      <c r="E3" s="11"/>
      <c r="F3" s="11"/>
      <c r="G3" s="11"/>
      <c r="H3" s="11"/>
      <c r="I3" s="11"/>
      <c r="J3" s="11"/>
      <c r="K3" s="11"/>
      <c r="L3" s="11"/>
      <c r="M3" s="11"/>
    </row>
    <row r="4" spans="1:13" ht="22.25" customHeight="1" x14ac:dyDescent="0.2">
      <c r="A4" s="12" t="s">
        <v>60</v>
      </c>
      <c r="B4" s="101">
        <v>325.17</v>
      </c>
      <c r="C4" s="11"/>
      <c r="D4" s="11"/>
      <c r="E4" s="11"/>
      <c r="F4" s="11"/>
      <c r="G4" s="11"/>
      <c r="H4" s="11"/>
      <c r="I4" s="11"/>
      <c r="J4" s="11"/>
      <c r="K4" s="11"/>
      <c r="L4" s="11"/>
      <c r="M4" s="11"/>
    </row>
    <row r="5" spans="1:13" ht="22.25" customHeight="1" x14ac:dyDescent="0.2">
      <c r="A5" s="147" t="s">
        <v>21</v>
      </c>
      <c r="B5" s="102">
        <f>SUM(B2:B4)</f>
        <v>2025.1</v>
      </c>
      <c r="C5" s="22" t="s">
        <v>18</v>
      </c>
      <c r="D5" s="11"/>
      <c r="E5" s="11"/>
      <c r="F5" s="11"/>
      <c r="G5" s="11"/>
      <c r="H5" s="11"/>
      <c r="I5" s="11"/>
      <c r="J5" s="11"/>
      <c r="K5" s="11"/>
      <c r="L5" s="11"/>
      <c r="M5" s="11"/>
    </row>
    <row r="6" spans="1:13" ht="22.25" customHeight="1" x14ac:dyDescent="0.2">
      <c r="A6" s="17"/>
      <c r="B6" s="18"/>
      <c r="C6" s="11"/>
      <c r="D6" s="11"/>
      <c r="E6" s="11"/>
      <c r="F6" s="11"/>
      <c r="G6" s="11"/>
      <c r="H6" s="11"/>
      <c r="I6" s="11"/>
      <c r="J6" s="11"/>
      <c r="K6" s="11"/>
      <c r="L6" s="11"/>
      <c r="M6" s="11"/>
    </row>
    <row r="7" spans="1:13" ht="22.25" customHeight="1" x14ac:dyDescent="0.2">
      <c r="A7" s="11"/>
      <c r="B7" s="10"/>
      <c r="C7" s="11"/>
      <c r="D7" s="11"/>
      <c r="E7" s="11"/>
      <c r="F7" s="11"/>
      <c r="G7" s="11"/>
      <c r="H7" s="11"/>
      <c r="I7" s="11"/>
      <c r="J7" s="11"/>
      <c r="K7" s="11"/>
      <c r="L7" s="11"/>
      <c r="M7" s="11"/>
    </row>
    <row r="8" spans="1:13" ht="22.25" customHeight="1" x14ac:dyDescent="0.25">
      <c r="A8" s="19" t="s">
        <v>25</v>
      </c>
      <c r="B8" s="10"/>
      <c r="C8" s="11"/>
      <c r="D8" s="11"/>
      <c r="E8" s="9" t="s">
        <v>202</v>
      </c>
      <c r="F8" s="9" t="s">
        <v>203</v>
      </c>
      <c r="G8" s="9" t="s">
        <v>204</v>
      </c>
      <c r="H8" s="11"/>
      <c r="I8" s="11"/>
      <c r="J8" s="11"/>
      <c r="K8" s="11"/>
      <c r="L8" s="11"/>
      <c r="M8" s="11"/>
    </row>
    <row r="9" spans="1:13" ht="22.25" customHeight="1" x14ac:dyDescent="0.2">
      <c r="A9" s="9" t="s">
        <v>28</v>
      </c>
      <c r="B9" s="100">
        <f>B40</f>
        <v>249.47999999999996</v>
      </c>
      <c r="C9" s="9" t="s">
        <v>29</v>
      </c>
      <c r="D9" s="11"/>
      <c r="E9" s="100">
        <f>SUM(B13:B16)</f>
        <v>542.29999999999995</v>
      </c>
      <c r="F9" s="10">
        <f>B11+B17</f>
        <v>792.1</v>
      </c>
      <c r="G9" s="10">
        <f>B9+B10+B18+B12</f>
        <v>330.34999999999997</v>
      </c>
      <c r="H9" s="11"/>
      <c r="I9" s="11"/>
      <c r="J9" s="11"/>
      <c r="K9" s="11"/>
      <c r="L9" s="11"/>
      <c r="M9" s="11"/>
    </row>
    <row r="10" spans="1:13" ht="22.25" customHeight="1" x14ac:dyDescent="0.2">
      <c r="A10" s="9" t="s">
        <v>30</v>
      </c>
      <c r="B10" s="100">
        <f>B45</f>
        <v>56.88</v>
      </c>
      <c r="C10" s="9" t="s">
        <v>29</v>
      </c>
      <c r="D10" s="11"/>
      <c r="E10" s="11"/>
      <c r="F10" s="11"/>
      <c r="G10" s="11"/>
      <c r="H10" s="11"/>
      <c r="I10" s="11"/>
      <c r="J10" s="11"/>
      <c r="K10" s="11"/>
      <c r="L10" s="11"/>
      <c r="M10" s="11"/>
    </row>
    <row r="11" spans="1:13" ht="22.25" customHeight="1" x14ac:dyDescent="0.2">
      <c r="A11" s="9" t="s">
        <v>31</v>
      </c>
      <c r="B11" s="100">
        <f>B50</f>
        <v>766.62</v>
      </c>
      <c r="C11" s="9" t="s">
        <v>62</v>
      </c>
      <c r="D11" s="11"/>
      <c r="E11" s="11"/>
      <c r="F11" s="11"/>
      <c r="G11" s="11"/>
      <c r="H11" s="11"/>
      <c r="I11" s="11"/>
      <c r="J11" s="11"/>
      <c r="K11" s="11"/>
      <c r="L11" s="11"/>
      <c r="M11" s="11"/>
    </row>
    <row r="12" spans="1:13" ht="22.25" customHeight="1" x14ac:dyDescent="0.2">
      <c r="A12" s="9" t="s">
        <v>118</v>
      </c>
      <c r="B12" s="103">
        <f>B54</f>
        <v>18.7</v>
      </c>
      <c r="C12" s="9" t="s">
        <v>29</v>
      </c>
      <c r="D12" s="11"/>
      <c r="E12" s="100"/>
      <c r="F12" s="11"/>
      <c r="G12" s="11"/>
      <c r="H12" s="11"/>
      <c r="I12" s="11"/>
      <c r="J12" s="11"/>
      <c r="K12" s="11"/>
      <c r="L12" s="11"/>
      <c r="M12" s="11"/>
    </row>
    <row r="13" spans="1:13" ht="22.25" customHeight="1" x14ac:dyDescent="0.2">
      <c r="A13" s="9" t="s">
        <v>119</v>
      </c>
      <c r="B13" s="100">
        <f>B63</f>
        <v>96.86</v>
      </c>
      <c r="C13" s="9" t="s">
        <v>33</v>
      </c>
      <c r="D13" s="11"/>
      <c r="E13" s="100"/>
      <c r="F13" s="11"/>
      <c r="G13" s="11"/>
      <c r="H13" s="11"/>
      <c r="I13" s="11"/>
      <c r="J13" s="11"/>
      <c r="K13" s="11"/>
      <c r="L13" s="11"/>
      <c r="M13" s="11"/>
    </row>
    <row r="14" spans="1:13" ht="22.25" customHeight="1" x14ac:dyDescent="0.2">
      <c r="A14" s="9" t="s">
        <v>120</v>
      </c>
      <c r="B14" s="100">
        <f>B72</f>
        <v>90.2</v>
      </c>
      <c r="C14" s="9" t="s">
        <v>33</v>
      </c>
      <c r="D14" s="11"/>
      <c r="E14" s="11"/>
      <c r="F14" s="11"/>
      <c r="G14" s="11"/>
      <c r="H14" s="11"/>
      <c r="I14" s="11"/>
      <c r="J14" s="11"/>
      <c r="K14" s="11"/>
      <c r="L14" s="11"/>
      <c r="M14" s="11"/>
    </row>
    <row r="15" spans="1:13" ht="22.25" customHeight="1" x14ac:dyDescent="0.2">
      <c r="A15" s="9" t="s">
        <v>121</v>
      </c>
      <c r="B15" s="100">
        <f>B82</f>
        <v>127.84</v>
      </c>
      <c r="C15" s="9" t="s">
        <v>33</v>
      </c>
      <c r="D15" s="11"/>
      <c r="E15" s="11"/>
      <c r="F15" s="11"/>
      <c r="G15" s="11"/>
      <c r="H15" s="11"/>
      <c r="I15" s="11"/>
      <c r="J15" s="11"/>
      <c r="K15" s="11"/>
      <c r="L15" s="11"/>
      <c r="M15" s="11"/>
    </row>
    <row r="16" spans="1:13" ht="22.25" customHeight="1" x14ac:dyDescent="0.2">
      <c r="A16" s="9" t="s">
        <v>205</v>
      </c>
      <c r="B16" s="100">
        <f>379*0.6</f>
        <v>227.4</v>
      </c>
      <c r="C16" s="9" t="s">
        <v>33</v>
      </c>
      <c r="D16" s="11"/>
      <c r="E16" s="11"/>
      <c r="F16" s="11"/>
      <c r="G16" s="11"/>
      <c r="H16" s="11"/>
      <c r="I16" s="11"/>
      <c r="J16" s="11"/>
      <c r="K16" s="11"/>
      <c r="L16" s="11"/>
      <c r="M16" s="11"/>
    </row>
    <row r="17" spans="1:13" ht="22.25" customHeight="1" x14ac:dyDescent="0.2">
      <c r="A17" s="9" t="s">
        <v>206</v>
      </c>
      <c r="B17" s="100">
        <v>25.48</v>
      </c>
      <c r="C17" s="9" t="s">
        <v>62</v>
      </c>
      <c r="D17" s="11"/>
      <c r="E17" s="11"/>
      <c r="F17" s="11"/>
      <c r="G17" s="11"/>
      <c r="H17" s="11"/>
      <c r="I17" s="11"/>
      <c r="J17" s="11"/>
      <c r="K17" s="11"/>
      <c r="L17" s="11"/>
      <c r="M17" s="11"/>
    </row>
    <row r="18" spans="1:13" ht="22.25" customHeight="1" x14ac:dyDescent="0.2">
      <c r="A18" s="12" t="s">
        <v>207</v>
      </c>
      <c r="B18" s="101">
        <v>5.29</v>
      </c>
      <c r="C18" s="9" t="s">
        <v>29</v>
      </c>
      <c r="D18" s="11"/>
      <c r="E18" s="11"/>
      <c r="F18" s="11"/>
      <c r="G18" s="11"/>
      <c r="H18" s="11"/>
      <c r="I18" s="11"/>
      <c r="J18" s="11"/>
      <c r="K18" s="11"/>
      <c r="L18" s="11"/>
      <c r="M18" s="11"/>
    </row>
    <row r="19" spans="1:13" ht="22.25" customHeight="1" x14ac:dyDescent="0.2">
      <c r="A19" s="147" t="s">
        <v>21</v>
      </c>
      <c r="B19" s="102">
        <f>SUM(B9:B18)</f>
        <v>1664.75</v>
      </c>
      <c r="C19" s="16"/>
      <c r="D19" s="11"/>
      <c r="E19" s="11"/>
      <c r="F19" s="11"/>
      <c r="G19" s="11"/>
      <c r="H19" s="11"/>
      <c r="I19" s="11"/>
      <c r="J19" s="11"/>
      <c r="K19" s="11"/>
      <c r="L19" s="11"/>
      <c r="M19" s="11"/>
    </row>
    <row r="20" spans="1:13" ht="22.25" customHeight="1" x14ac:dyDescent="0.2">
      <c r="A20" s="17"/>
      <c r="B20" s="17"/>
      <c r="C20" s="11"/>
      <c r="D20" s="11"/>
      <c r="E20" s="11"/>
      <c r="F20" s="11"/>
      <c r="G20" s="11"/>
      <c r="H20" s="11"/>
      <c r="I20" s="11"/>
      <c r="J20" s="11"/>
      <c r="K20" s="11"/>
      <c r="L20" s="11"/>
      <c r="M20" s="11"/>
    </row>
    <row r="21" spans="1:13" ht="22.25" customHeight="1" x14ac:dyDescent="0.2">
      <c r="A21" s="105"/>
      <c r="B21" s="101"/>
      <c r="C21" s="11"/>
      <c r="D21" s="11"/>
      <c r="E21" s="11"/>
      <c r="F21" s="11"/>
      <c r="G21" s="11"/>
      <c r="H21" s="11"/>
      <c r="I21" s="11"/>
      <c r="J21" s="11"/>
      <c r="K21" s="11"/>
      <c r="L21" s="11"/>
      <c r="M21" s="11"/>
    </row>
    <row r="22" spans="1:13" ht="22.25" customHeight="1" x14ac:dyDescent="0.2">
      <c r="A22" s="147" t="s">
        <v>66</v>
      </c>
      <c r="B22" s="21">
        <v>2931.52</v>
      </c>
      <c r="C22" s="22" t="s">
        <v>67</v>
      </c>
      <c r="D22" s="11"/>
      <c r="E22" s="11"/>
      <c r="F22" s="11"/>
      <c r="G22" s="11"/>
      <c r="H22" s="11"/>
      <c r="I22" s="11"/>
      <c r="J22" s="11"/>
      <c r="K22" s="11"/>
      <c r="L22" s="11"/>
      <c r="M22" s="11"/>
    </row>
    <row r="23" spans="1:13" ht="22.25" customHeight="1" x14ac:dyDescent="0.2">
      <c r="A23" s="17"/>
      <c r="B23" s="108"/>
      <c r="C23" s="11"/>
      <c r="D23" s="11"/>
      <c r="E23" s="11"/>
      <c r="F23" s="11"/>
      <c r="G23" s="11"/>
      <c r="H23" s="11"/>
      <c r="I23" s="11"/>
      <c r="J23" s="11"/>
      <c r="K23" s="11"/>
      <c r="L23" s="11"/>
      <c r="M23" s="11"/>
    </row>
    <row r="24" spans="1:13" ht="22.25" customHeight="1" x14ac:dyDescent="0.25">
      <c r="A24" s="19" t="s">
        <v>34</v>
      </c>
      <c r="B24" s="101"/>
      <c r="C24" s="11"/>
      <c r="D24" s="11"/>
      <c r="E24" s="11"/>
      <c r="F24" s="11"/>
      <c r="G24" s="11"/>
      <c r="H24" s="11"/>
      <c r="I24" s="11"/>
      <c r="J24" s="11"/>
      <c r="K24" s="11"/>
      <c r="L24" s="11"/>
      <c r="M24" s="11"/>
    </row>
    <row r="25" spans="1:13" ht="22.25" customHeight="1" x14ac:dyDescent="0.2">
      <c r="A25" s="25" t="s">
        <v>35</v>
      </c>
      <c r="B25" s="109">
        <v>940</v>
      </c>
      <c r="C25" s="16"/>
      <c r="D25" s="11"/>
      <c r="E25" s="11"/>
      <c r="F25" s="11"/>
      <c r="G25" s="11"/>
      <c r="H25" s="11"/>
      <c r="I25" s="11"/>
      <c r="J25" s="11"/>
      <c r="K25" s="11"/>
      <c r="L25" s="11"/>
      <c r="M25" s="11"/>
    </row>
    <row r="26" spans="1:13" ht="22.25" customHeight="1" x14ac:dyDescent="0.2">
      <c r="A26" s="25" t="s">
        <v>36</v>
      </c>
      <c r="B26" s="109">
        <v>39.479999999999997</v>
      </c>
      <c r="C26" s="16"/>
      <c r="D26" s="11"/>
      <c r="E26" s="11"/>
      <c r="F26" s="11"/>
      <c r="G26" s="11"/>
      <c r="H26" s="11"/>
      <c r="I26" s="11"/>
      <c r="J26" s="11"/>
      <c r="K26" s="11"/>
      <c r="L26" s="11"/>
      <c r="M26" s="11"/>
    </row>
    <row r="27" spans="1:13" ht="22.25" customHeight="1" x14ac:dyDescent="0.2">
      <c r="A27" s="11"/>
      <c r="B27" s="17"/>
      <c r="C27" s="11"/>
      <c r="D27" s="11"/>
      <c r="E27" s="11"/>
      <c r="F27" s="11"/>
      <c r="G27" s="11"/>
      <c r="H27" s="11"/>
      <c r="I27" s="11"/>
      <c r="J27" s="11"/>
      <c r="K27" s="11"/>
      <c r="L27" s="11"/>
      <c r="M27" s="11"/>
    </row>
    <row r="28" spans="1:13" ht="22.25" customHeight="1" x14ac:dyDescent="0.2">
      <c r="A28" s="11"/>
      <c r="B28" s="10"/>
      <c r="C28" s="11"/>
      <c r="D28" s="11"/>
      <c r="E28" s="11"/>
      <c r="F28" s="11"/>
      <c r="G28" s="11"/>
      <c r="H28" s="11"/>
      <c r="I28" s="11"/>
      <c r="J28" s="11"/>
      <c r="K28" s="11"/>
      <c r="L28" s="11"/>
      <c r="M28" s="11"/>
    </row>
    <row r="29" spans="1:13" ht="22.25" customHeight="1" x14ac:dyDescent="0.25">
      <c r="A29" s="19" t="s">
        <v>37</v>
      </c>
      <c r="B29" s="10"/>
      <c r="C29" s="11"/>
      <c r="D29" s="11"/>
      <c r="E29" s="11"/>
      <c r="F29" s="11"/>
      <c r="G29" s="11"/>
      <c r="H29" s="11"/>
      <c r="I29" s="11"/>
      <c r="J29" s="11"/>
      <c r="K29" s="11"/>
      <c r="L29" s="11"/>
      <c r="M29" s="11"/>
    </row>
    <row r="30" spans="1:13" ht="22.25"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row>
    <row r="31" spans="1:13" ht="22.25" customHeight="1" x14ac:dyDescent="0.2">
      <c r="A31" s="9" t="s">
        <v>17</v>
      </c>
      <c r="B31" s="110">
        <v>17.149999999999999</v>
      </c>
      <c r="C31" s="100">
        <v>17.149999999999999</v>
      </c>
      <c r="D31" s="100">
        <v>17.149999999999999</v>
      </c>
      <c r="E31" s="100">
        <v>17.149999999999999</v>
      </c>
      <c r="F31" s="100">
        <v>17.149999999999999</v>
      </c>
      <c r="G31" s="100">
        <v>17.149999999999999</v>
      </c>
      <c r="H31" s="100">
        <v>17.149999999999999</v>
      </c>
      <c r="I31" s="100">
        <v>17.149999999999999</v>
      </c>
      <c r="J31" s="100">
        <v>17.149999999999999</v>
      </c>
      <c r="K31" s="100">
        <v>17.149999999999999</v>
      </c>
      <c r="L31" s="100">
        <v>17.149999999999999</v>
      </c>
      <c r="M31" s="100">
        <v>17.149999999999999</v>
      </c>
    </row>
    <row r="32" spans="1:13" ht="22.25" customHeight="1" x14ac:dyDescent="0.2">
      <c r="A32" s="28" t="s">
        <v>59</v>
      </c>
      <c r="B32" s="111">
        <f>SUM(B31:M31)</f>
        <v>205.80000000000004</v>
      </c>
      <c r="C32" s="112"/>
      <c r="D32" s="100"/>
      <c r="E32" s="100"/>
      <c r="F32" s="100"/>
      <c r="G32" s="100"/>
      <c r="H32" s="100"/>
      <c r="I32" s="100"/>
      <c r="J32" s="100"/>
      <c r="K32" s="100"/>
      <c r="L32" s="100"/>
      <c r="M32" s="100"/>
    </row>
    <row r="33" spans="1:13" ht="22.25"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row>
    <row r="34" spans="1:13" ht="22.25" customHeight="1" x14ac:dyDescent="0.2">
      <c r="A34" s="9" t="s">
        <v>19</v>
      </c>
      <c r="B34" s="110">
        <v>121.67</v>
      </c>
      <c r="C34" s="100">
        <v>121.67</v>
      </c>
      <c r="D34" s="100">
        <v>121.67</v>
      </c>
      <c r="E34" s="100">
        <v>121.67</v>
      </c>
      <c r="F34" s="100">
        <v>121.67</v>
      </c>
      <c r="G34" s="100">
        <v>126.54</v>
      </c>
      <c r="H34" s="100">
        <v>126.54</v>
      </c>
      <c r="I34" s="100">
        <v>126.54</v>
      </c>
      <c r="J34" s="100">
        <v>126.54</v>
      </c>
      <c r="K34" s="100">
        <v>126.54</v>
      </c>
      <c r="L34" s="100">
        <v>126.54</v>
      </c>
      <c r="M34" s="100">
        <v>126.54</v>
      </c>
    </row>
    <row r="35" spans="1:13" ht="22.25" customHeight="1" x14ac:dyDescent="0.2">
      <c r="A35" s="28" t="s">
        <v>59</v>
      </c>
      <c r="B35" s="111">
        <f>SUM(B34:M34)</f>
        <v>1494.1299999999999</v>
      </c>
      <c r="C35" s="112"/>
      <c r="D35" s="100"/>
      <c r="E35" s="100"/>
      <c r="F35" s="100"/>
      <c r="G35" s="100"/>
      <c r="H35" s="100"/>
      <c r="I35" s="100"/>
      <c r="J35" s="100"/>
      <c r="K35" s="100"/>
      <c r="L35" s="100"/>
      <c r="M35" s="100"/>
    </row>
    <row r="36" spans="1:13" ht="22.25" customHeight="1" x14ac:dyDescent="0.2">
      <c r="A36" s="11"/>
      <c r="B36" s="32"/>
      <c r="C36" s="10"/>
      <c r="D36" s="10"/>
      <c r="E36" s="10"/>
      <c r="F36" s="10"/>
      <c r="G36" s="10"/>
      <c r="H36" s="10"/>
      <c r="I36" s="10"/>
      <c r="J36" s="10"/>
      <c r="K36" s="10"/>
      <c r="L36" s="10"/>
      <c r="M36" s="10"/>
    </row>
    <row r="37" spans="1:13" ht="22.25" customHeight="1" x14ac:dyDescent="0.2">
      <c r="A37" s="9" t="s">
        <v>124</v>
      </c>
      <c r="B37" s="20">
        <f>12*44.65</f>
        <v>535.79999999999995</v>
      </c>
      <c r="C37" s="11"/>
      <c r="D37" s="11"/>
      <c r="E37" s="11"/>
      <c r="F37" s="11"/>
      <c r="G37" s="11"/>
      <c r="H37" s="11"/>
      <c r="I37" s="11"/>
      <c r="J37" s="11"/>
      <c r="K37" s="11"/>
      <c r="L37" s="11"/>
      <c r="M37" s="11"/>
    </row>
    <row r="38" spans="1:13" ht="22.25" customHeight="1" x14ac:dyDescent="0.2">
      <c r="A38" s="9" t="s">
        <v>125</v>
      </c>
      <c r="B38" s="100">
        <f>32.9+1.75</f>
        <v>34.65</v>
      </c>
      <c r="C38" s="11"/>
      <c r="D38" s="11"/>
      <c r="E38" s="11"/>
      <c r="F38" s="11"/>
      <c r="G38" s="11"/>
      <c r="H38" s="11"/>
      <c r="I38" s="11"/>
      <c r="J38" s="11"/>
      <c r="K38" s="11"/>
      <c r="L38" s="11"/>
      <c r="M38" s="11"/>
    </row>
    <row r="39" spans="1:13" ht="22.25" customHeight="1" x14ac:dyDescent="0.2">
      <c r="A39" s="9" t="s">
        <v>53</v>
      </c>
      <c r="B39" s="110">
        <f>12*B38</f>
        <v>415.79999999999995</v>
      </c>
      <c r="C39" s="11"/>
      <c r="D39" s="11"/>
      <c r="E39" s="11"/>
      <c r="F39" s="11"/>
      <c r="G39" s="11"/>
      <c r="H39" s="11"/>
      <c r="I39" s="11"/>
      <c r="J39" s="11"/>
      <c r="K39" s="11"/>
      <c r="L39" s="11"/>
      <c r="M39" s="11"/>
    </row>
    <row r="40" spans="1:13" ht="22.25" customHeight="1" x14ac:dyDescent="0.2">
      <c r="A40" s="28" t="s">
        <v>54</v>
      </c>
      <c r="B40" s="111">
        <f>0.6*B39</f>
        <v>249.47999999999996</v>
      </c>
      <c r="C40" s="33"/>
      <c r="D40" s="11"/>
      <c r="E40" s="11"/>
      <c r="F40" s="11"/>
      <c r="G40" s="11"/>
      <c r="H40" s="11"/>
      <c r="I40" s="11"/>
      <c r="J40" s="11"/>
      <c r="K40" s="11"/>
      <c r="L40" s="11"/>
      <c r="M40" s="11"/>
    </row>
    <row r="41" spans="1:13" ht="22.25" customHeight="1" x14ac:dyDescent="0.2">
      <c r="A41" s="11"/>
      <c r="B41" s="113"/>
      <c r="C41" s="11"/>
      <c r="D41" s="11"/>
      <c r="E41" s="11"/>
      <c r="F41" s="11"/>
      <c r="G41" s="11"/>
      <c r="H41" s="11"/>
      <c r="I41" s="11"/>
      <c r="J41" s="11"/>
      <c r="K41" s="11"/>
      <c r="L41" s="11"/>
      <c r="M41" s="11"/>
    </row>
    <row r="42" spans="1:13" ht="22.25"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row>
    <row r="43" spans="1:13" ht="22.25" customHeight="1" x14ac:dyDescent="0.2">
      <c r="A43" s="9" t="s">
        <v>180</v>
      </c>
      <c r="B43" s="100">
        <v>7.9</v>
      </c>
      <c r="C43" s="100">
        <v>7.9</v>
      </c>
      <c r="D43" s="100">
        <v>7.9</v>
      </c>
      <c r="E43" s="100">
        <v>7.9</v>
      </c>
      <c r="F43" s="100">
        <v>7.9</v>
      </c>
      <c r="G43" s="100">
        <v>7.9</v>
      </c>
      <c r="H43" s="100">
        <v>7.9</v>
      </c>
      <c r="I43" s="100">
        <v>7.9</v>
      </c>
      <c r="J43" s="100">
        <v>7.9</v>
      </c>
      <c r="K43" s="100">
        <v>7.9</v>
      </c>
      <c r="L43" s="100">
        <v>7.9</v>
      </c>
      <c r="M43" s="100">
        <v>7.9</v>
      </c>
    </row>
    <row r="44" spans="1:13" ht="22.25" customHeight="1" x14ac:dyDescent="0.2">
      <c r="A44" s="9" t="s">
        <v>59</v>
      </c>
      <c r="B44" s="110">
        <f>SUM(B43:M43)</f>
        <v>94.800000000000011</v>
      </c>
      <c r="C44" s="100"/>
      <c r="D44" s="100"/>
      <c r="E44" s="100"/>
      <c r="F44" s="100"/>
      <c r="G44" s="100"/>
      <c r="H44" s="100"/>
      <c r="I44" s="100"/>
      <c r="J44" s="100"/>
      <c r="K44" s="100"/>
      <c r="L44" s="100"/>
      <c r="M44" s="100"/>
    </row>
    <row r="45" spans="1:13" ht="22.25" customHeight="1" x14ac:dyDescent="0.2">
      <c r="A45" s="28" t="s">
        <v>54</v>
      </c>
      <c r="B45" s="111">
        <f>0.6*B44</f>
        <v>56.88</v>
      </c>
      <c r="C45" s="112"/>
      <c r="D45" s="100"/>
      <c r="E45" s="100"/>
      <c r="F45" s="100"/>
      <c r="G45" s="100"/>
      <c r="H45" s="100"/>
      <c r="I45" s="100"/>
      <c r="J45" s="100"/>
      <c r="K45" s="100"/>
      <c r="L45" s="100"/>
      <c r="M45" s="100"/>
    </row>
    <row r="46" spans="1:13" ht="22.25" customHeight="1" x14ac:dyDescent="0.2">
      <c r="A46" s="11"/>
      <c r="B46" s="32"/>
      <c r="C46" s="11"/>
      <c r="D46" s="11"/>
      <c r="E46" s="11"/>
      <c r="F46" s="11"/>
      <c r="G46" s="11"/>
      <c r="H46" s="11"/>
      <c r="I46" s="11"/>
      <c r="J46" s="11"/>
      <c r="K46" s="11"/>
      <c r="L46" s="11"/>
      <c r="M46" s="11"/>
    </row>
    <row r="47" spans="1:13" ht="22.25" customHeight="1" x14ac:dyDescent="0.2">
      <c r="A47" s="9" t="s">
        <v>56</v>
      </c>
      <c r="B47" s="10"/>
      <c r="C47" s="11"/>
      <c r="D47" s="11"/>
      <c r="E47" s="11"/>
      <c r="F47" s="11"/>
      <c r="G47" s="11"/>
      <c r="H47" s="11"/>
      <c r="I47" s="11"/>
      <c r="J47" s="11"/>
      <c r="K47" s="11"/>
      <c r="L47" s="11"/>
      <c r="M47" s="11"/>
    </row>
    <row r="48" spans="1:13" ht="22.25" customHeight="1" x14ac:dyDescent="0.2">
      <c r="A48" s="9" t="s">
        <v>208</v>
      </c>
      <c r="B48" s="100">
        <v>383.06</v>
      </c>
      <c r="C48" s="11"/>
      <c r="D48" s="11"/>
      <c r="E48" s="11"/>
      <c r="F48" s="11"/>
      <c r="G48" s="11"/>
      <c r="H48" s="11"/>
      <c r="I48" s="11"/>
      <c r="J48" s="11"/>
      <c r="K48" s="11"/>
      <c r="L48" s="11"/>
      <c r="M48" s="11"/>
    </row>
    <row r="49" spans="1:13" ht="22.25" customHeight="1" x14ac:dyDescent="0.2">
      <c r="A49" s="9" t="s">
        <v>209</v>
      </c>
      <c r="B49" s="110">
        <v>383.56</v>
      </c>
      <c r="C49" s="11"/>
      <c r="D49" s="11"/>
      <c r="E49" s="11"/>
      <c r="F49" s="11"/>
      <c r="G49" s="11"/>
      <c r="H49" s="11"/>
      <c r="I49" s="11"/>
      <c r="J49" s="11"/>
      <c r="K49" s="11"/>
      <c r="L49" s="11"/>
      <c r="M49" s="11"/>
    </row>
    <row r="50" spans="1:13" ht="22.25" customHeight="1" x14ac:dyDescent="0.2">
      <c r="A50" s="28" t="s">
        <v>59</v>
      </c>
      <c r="B50" s="111">
        <f>B48+B49</f>
        <v>766.62</v>
      </c>
      <c r="C50" s="33"/>
      <c r="D50" s="11"/>
      <c r="E50" s="11"/>
      <c r="F50" s="11"/>
      <c r="G50" s="11"/>
      <c r="H50" s="11"/>
      <c r="I50" s="11"/>
      <c r="J50" s="11"/>
      <c r="K50" s="11"/>
      <c r="L50" s="11"/>
      <c r="M50" s="11"/>
    </row>
    <row r="51" spans="1:13" ht="22.25" customHeight="1" x14ac:dyDescent="0.2">
      <c r="A51" s="11"/>
      <c r="B51" s="114"/>
      <c r="C51" s="11"/>
      <c r="D51" s="11"/>
      <c r="E51" s="11"/>
      <c r="F51" s="11"/>
      <c r="G51" s="11"/>
      <c r="H51" s="11"/>
      <c r="I51" s="11"/>
      <c r="J51" s="11"/>
      <c r="K51" s="11"/>
      <c r="L51" s="11"/>
      <c r="M51" s="11"/>
    </row>
    <row r="52" spans="1:13" ht="22.25" customHeight="1" x14ac:dyDescent="0.2">
      <c r="A52" s="9" t="s">
        <v>118</v>
      </c>
      <c r="B52" s="136">
        <v>43482</v>
      </c>
      <c r="C52" s="136">
        <v>43543</v>
      </c>
      <c r="D52" s="136">
        <v>43550</v>
      </c>
      <c r="E52" s="136">
        <v>43581</v>
      </c>
      <c r="F52" s="136">
        <v>43601</v>
      </c>
      <c r="G52" s="136">
        <v>43629</v>
      </c>
      <c r="H52" s="136">
        <v>43741</v>
      </c>
      <c r="I52" s="136"/>
      <c r="J52" s="136"/>
      <c r="K52" s="136"/>
      <c r="L52" s="136"/>
      <c r="M52" s="136"/>
    </row>
    <row r="53" spans="1:13" ht="22.25" customHeight="1" x14ac:dyDescent="0.2">
      <c r="A53" s="9" t="s">
        <v>151</v>
      </c>
      <c r="B53" s="115">
        <v>3.3</v>
      </c>
      <c r="C53" s="103">
        <v>2.2000000000000002</v>
      </c>
      <c r="D53" s="103">
        <v>2.2000000000000002</v>
      </c>
      <c r="E53" s="103">
        <v>3.3</v>
      </c>
      <c r="F53" s="103">
        <v>2</v>
      </c>
      <c r="G53" s="103">
        <v>3.3</v>
      </c>
      <c r="H53" s="103">
        <v>2.4</v>
      </c>
      <c r="I53" s="103"/>
      <c r="J53" s="103"/>
      <c r="K53" s="103"/>
      <c r="L53" s="103"/>
      <c r="M53" s="103"/>
    </row>
    <row r="54" spans="1:13" ht="22.25" customHeight="1" x14ac:dyDescent="0.2">
      <c r="A54" s="28" t="s">
        <v>59</v>
      </c>
      <c r="B54" s="116">
        <f>SUM(B53:H53)</f>
        <v>18.7</v>
      </c>
      <c r="C54" s="33"/>
      <c r="D54" s="11"/>
      <c r="E54" s="11"/>
      <c r="F54" s="11"/>
      <c r="G54" s="11"/>
      <c r="H54" s="11"/>
      <c r="I54" s="11"/>
      <c r="J54" s="11"/>
      <c r="K54" s="11"/>
      <c r="L54" s="11"/>
      <c r="M54" s="11"/>
    </row>
    <row r="55" spans="1:13" ht="22.25" customHeight="1" x14ac:dyDescent="0.2">
      <c r="A55" s="11"/>
      <c r="B55" s="113"/>
      <c r="C55" s="11"/>
      <c r="D55" s="11"/>
      <c r="E55" s="11"/>
      <c r="F55" s="11"/>
      <c r="G55" s="11"/>
      <c r="H55" s="11"/>
      <c r="I55" s="11"/>
      <c r="J55" s="11"/>
      <c r="K55" s="11"/>
      <c r="L55" s="11"/>
      <c r="M55" s="11"/>
    </row>
    <row r="56" spans="1:13" ht="22.25" customHeight="1" x14ac:dyDescent="0.2">
      <c r="A56" s="9" t="s">
        <v>74</v>
      </c>
      <c r="B56" s="11"/>
      <c r="C56" s="11"/>
      <c r="D56" s="11"/>
      <c r="E56" s="11"/>
      <c r="F56" s="11"/>
      <c r="G56" s="11"/>
      <c r="H56" s="11"/>
      <c r="I56" s="11"/>
      <c r="J56" s="11"/>
      <c r="K56" s="11"/>
      <c r="L56" s="11"/>
      <c r="M56" s="11"/>
    </row>
    <row r="57" spans="1:13" ht="22.25" customHeight="1" x14ac:dyDescent="0.2">
      <c r="A57" s="9" t="s">
        <v>152</v>
      </c>
      <c r="B57" s="117">
        <v>968.63</v>
      </c>
      <c r="C57" s="11"/>
      <c r="D57" s="11"/>
      <c r="E57" s="11"/>
      <c r="F57" s="11"/>
      <c r="G57" s="11"/>
      <c r="H57" s="11"/>
      <c r="I57" s="11"/>
      <c r="J57" s="11"/>
      <c r="K57" s="11"/>
      <c r="L57" s="11"/>
      <c r="M57" s="11"/>
    </row>
    <row r="58" spans="1:13" ht="22.25" customHeight="1" x14ac:dyDescent="0.2">
      <c r="A58" s="9" t="s">
        <v>54</v>
      </c>
      <c r="B58" s="117">
        <f>B57*0.6</f>
        <v>581.178</v>
      </c>
      <c r="C58" s="11"/>
      <c r="D58" s="11"/>
      <c r="E58" s="11"/>
      <c r="F58" s="11"/>
      <c r="G58" s="11"/>
      <c r="H58" s="11"/>
      <c r="I58" s="11"/>
      <c r="J58" s="11"/>
      <c r="K58" s="11"/>
      <c r="L58" s="11"/>
      <c r="M58" s="11"/>
    </row>
    <row r="59" spans="1:13" ht="22.25" customHeight="1" x14ac:dyDescent="0.2">
      <c r="A59" s="11"/>
      <c r="B59" s="11"/>
      <c r="C59" s="11"/>
      <c r="D59" s="11"/>
      <c r="E59" s="11"/>
      <c r="F59" s="11"/>
      <c r="G59" s="11"/>
      <c r="H59" s="11"/>
      <c r="I59" s="11"/>
      <c r="J59" s="11"/>
      <c r="K59" s="11"/>
      <c r="L59" s="11"/>
      <c r="M59" s="11"/>
    </row>
    <row r="60" spans="1:13" ht="22.25" customHeight="1" x14ac:dyDescent="0.2">
      <c r="A60" s="20">
        <v>2016</v>
      </c>
      <c r="B60" s="100">
        <v>96.86</v>
      </c>
      <c r="C60" s="11"/>
      <c r="D60" s="11"/>
      <c r="E60" s="11"/>
      <c r="F60" s="11"/>
      <c r="G60" s="11"/>
      <c r="H60" s="11"/>
      <c r="I60" s="11"/>
      <c r="J60" s="11"/>
      <c r="K60" s="11"/>
      <c r="L60" s="11"/>
      <c r="M60" s="11"/>
    </row>
    <row r="61" spans="1:13" ht="22.25" customHeight="1" x14ac:dyDescent="0.2">
      <c r="A61" s="20">
        <v>2017</v>
      </c>
      <c r="B61" s="100">
        <v>193.73</v>
      </c>
      <c r="C61" s="11"/>
      <c r="D61" s="11"/>
      <c r="E61" s="11"/>
      <c r="F61" s="11"/>
      <c r="G61" s="11"/>
      <c r="H61" s="103"/>
      <c r="I61" s="11"/>
      <c r="J61" s="11"/>
      <c r="K61" s="11"/>
      <c r="L61" s="11"/>
      <c r="M61" s="11"/>
    </row>
    <row r="62" spans="1:13" ht="22.25" customHeight="1" x14ac:dyDescent="0.2">
      <c r="A62" s="20">
        <v>2018</v>
      </c>
      <c r="B62" s="148">
        <v>193.73</v>
      </c>
      <c r="C62" s="11"/>
      <c r="D62" s="11"/>
      <c r="E62" s="11"/>
      <c r="F62" s="11"/>
      <c r="G62" s="11"/>
      <c r="H62" s="103"/>
      <c r="I62" s="11"/>
      <c r="J62" s="11"/>
      <c r="K62" s="11"/>
      <c r="L62" s="11"/>
      <c r="M62" s="11"/>
    </row>
    <row r="63" spans="1:13" ht="22.25" customHeight="1" x14ac:dyDescent="0.2">
      <c r="A63" s="36">
        <v>2019</v>
      </c>
      <c r="B63" s="111">
        <v>96.86</v>
      </c>
      <c r="C63" s="33"/>
      <c r="D63" s="11"/>
      <c r="E63" s="11"/>
      <c r="F63" s="11"/>
      <c r="G63" s="11"/>
      <c r="H63" s="103"/>
      <c r="I63" s="11"/>
      <c r="J63" s="11"/>
      <c r="K63" s="11"/>
      <c r="L63" s="11"/>
      <c r="M63" s="11"/>
    </row>
    <row r="64" spans="1:13" ht="22.25" customHeight="1" x14ac:dyDescent="0.2">
      <c r="A64" s="11"/>
      <c r="B64" s="114">
        <f>SUM(B60:B63)</f>
        <v>581.17999999999995</v>
      </c>
      <c r="C64" s="11"/>
      <c r="D64" s="11"/>
      <c r="E64" s="11"/>
      <c r="F64" s="11"/>
      <c r="G64" s="11"/>
      <c r="H64" s="103"/>
      <c r="I64" s="11"/>
      <c r="J64" s="11"/>
      <c r="K64" s="11"/>
      <c r="L64" s="11"/>
      <c r="M64" s="11"/>
    </row>
    <row r="65" spans="1:13" ht="22.25" customHeight="1" x14ac:dyDescent="0.2">
      <c r="A65" s="11"/>
      <c r="B65" s="11"/>
      <c r="C65" s="11"/>
      <c r="D65" s="11"/>
      <c r="E65" s="11"/>
      <c r="F65" s="11"/>
      <c r="G65" s="11"/>
      <c r="H65" s="11"/>
      <c r="I65" s="11"/>
      <c r="J65" s="11"/>
      <c r="K65" s="11"/>
      <c r="L65" s="11"/>
      <c r="M65" s="11"/>
    </row>
    <row r="66" spans="1:13" ht="22.25" customHeight="1" x14ac:dyDescent="0.2">
      <c r="A66" s="9" t="s">
        <v>153</v>
      </c>
      <c r="B66" s="11"/>
      <c r="C66" s="11"/>
      <c r="D66" s="11"/>
      <c r="E66" s="11"/>
      <c r="F66" s="11"/>
      <c r="G66" s="11"/>
      <c r="H66" s="103"/>
      <c r="I66" s="11"/>
      <c r="J66" s="11"/>
      <c r="K66" s="11"/>
      <c r="L66" s="11"/>
      <c r="M66" s="11"/>
    </row>
    <row r="67" spans="1:13" ht="22.25" customHeight="1" x14ac:dyDescent="0.2">
      <c r="A67" s="9" t="s">
        <v>152</v>
      </c>
      <c r="B67" s="100">
        <v>450.97</v>
      </c>
      <c r="C67" s="11"/>
      <c r="D67" s="11"/>
      <c r="E67" s="11"/>
      <c r="F67" s="11"/>
      <c r="G67" s="11"/>
      <c r="H67" s="103"/>
      <c r="I67" s="11"/>
      <c r="J67" s="11"/>
      <c r="K67" s="11"/>
      <c r="L67" s="11"/>
      <c r="M67" s="11"/>
    </row>
    <row r="68" spans="1:13" ht="22.25" customHeight="1" x14ac:dyDescent="0.2">
      <c r="A68" s="9" t="s">
        <v>54</v>
      </c>
      <c r="B68" s="100">
        <f>B67*0.6</f>
        <v>270.58199999999999</v>
      </c>
      <c r="C68" s="11"/>
      <c r="D68" s="11"/>
      <c r="E68" s="11"/>
      <c r="F68" s="11"/>
      <c r="G68" s="11"/>
      <c r="H68" s="103"/>
      <c r="I68" s="11"/>
      <c r="J68" s="11"/>
      <c r="K68" s="11"/>
      <c r="L68" s="11"/>
      <c r="M68" s="11"/>
    </row>
    <row r="69" spans="1:13" ht="22.25" customHeight="1" x14ac:dyDescent="0.2">
      <c r="A69" s="11"/>
      <c r="B69" s="100"/>
      <c r="C69" s="11"/>
      <c r="D69" s="11"/>
      <c r="E69" s="11"/>
      <c r="F69" s="11"/>
      <c r="G69" s="11"/>
      <c r="H69" s="103"/>
      <c r="I69" s="11"/>
      <c r="J69" s="11"/>
      <c r="K69" s="11"/>
      <c r="L69" s="11"/>
      <c r="M69" s="11"/>
    </row>
    <row r="70" spans="1:13" ht="22.25" customHeight="1" x14ac:dyDescent="0.2">
      <c r="A70" s="20">
        <v>2017</v>
      </c>
      <c r="B70" s="100">
        <v>45.09</v>
      </c>
      <c r="C70" s="11"/>
      <c r="D70" s="11"/>
      <c r="E70" s="11"/>
      <c r="F70" s="11"/>
      <c r="G70" s="11"/>
      <c r="H70" s="103"/>
      <c r="I70" s="11"/>
      <c r="J70" s="11"/>
      <c r="K70" s="11"/>
      <c r="L70" s="11"/>
      <c r="M70" s="11"/>
    </row>
    <row r="71" spans="1:13" ht="22.25" customHeight="1" x14ac:dyDescent="0.2">
      <c r="A71" s="20">
        <v>2018</v>
      </c>
      <c r="B71" s="148">
        <v>90.2</v>
      </c>
      <c r="C71" s="11"/>
      <c r="D71" s="11"/>
      <c r="E71" s="11"/>
      <c r="F71" s="11"/>
      <c r="G71" s="11"/>
      <c r="H71" s="103"/>
      <c r="I71" s="11"/>
      <c r="J71" s="11"/>
      <c r="K71" s="11"/>
      <c r="L71" s="11"/>
      <c r="M71" s="11"/>
    </row>
    <row r="72" spans="1:13" ht="22.25" customHeight="1" x14ac:dyDescent="0.2">
      <c r="A72" s="36">
        <v>2019</v>
      </c>
      <c r="B72" s="111">
        <v>90.2</v>
      </c>
      <c r="C72" s="33"/>
      <c r="D72" s="11"/>
      <c r="E72" s="11"/>
      <c r="F72" s="11"/>
      <c r="G72" s="11"/>
      <c r="H72" s="103"/>
      <c r="I72" s="11"/>
      <c r="J72" s="11"/>
      <c r="K72" s="11"/>
      <c r="L72" s="11"/>
      <c r="M72" s="11"/>
    </row>
    <row r="73" spans="1:13" ht="22.25" customHeight="1" x14ac:dyDescent="0.2">
      <c r="A73" s="20">
        <v>2020</v>
      </c>
      <c r="B73" s="114">
        <v>45.09</v>
      </c>
      <c r="C73" s="11"/>
      <c r="D73" s="11"/>
      <c r="E73" s="11"/>
      <c r="F73" s="11"/>
      <c r="G73" s="11"/>
      <c r="H73" s="103"/>
      <c r="I73" s="11"/>
      <c r="J73" s="11"/>
      <c r="K73" s="11"/>
      <c r="L73" s="11"/>
      <c r="M73" s="11"/>
    </row>
    <row r="74" spans="1:13" ht="22.25" customHeight="1" x14ac:dyDescent="0.2">
      <c r="A74" s="11"/>
      <c r="B74" s="100">
        <f>SUM(B70:B73)</f>
        <v>270.58000000000004</v>
      </c>
      <c r="C74" s="11"/>
      <c r="D74" s="11"/>
      <c r="E74" s="11"/>
      <c r="F74" s="11"/>
      <c r="G74" s="11"/>
      <c r="H74" s="103"/>
      <c r="I74" s="11"/>
      <c r="J74" s="11"/>
      <c r="K74" s="11"/>
      <c r="L74" s="11"/>
      <c r="M74" s="11"/>
    </row>
    <row r="75" spans="1:13" ht="22.25" customHeight="1" x14ac:dyDescent="0.2">
      <c r="A75" s="11"/>
      <c r="B75" s="11"/>
      <c r="C75" s="11"/>
      <c r="D75" s="11"/>
      <c r="E75" s="11"/>
      <c r="F75" s="11"/>
      <c r="G75" s="11"/>
      <c r="H75" s="103"/>
      <c r="I75" s="11"/>
      <c r="J75" s="11"/>
      <c r="K75" s="11"/>
      <c r="L75" s="11"/>
      <c r="M75" s="11"/>
    </row>
    <row r="76" spans="1:13" ht="22.25" customHeight="1" x14ac:dyDescent="0.2">
      <c r="A76" s="9" t="s">
        <v>154</v>
      </c>
      <c r="B76" s="11"/>
      <c r="C76" s="11"/>
      <c r="D76" s="11"/>
      <c r="E76" s="11"/>
      <c r="F76" s="11"/>
      <c r="G76" s="11"/>
      <c r="H76" s="103"/>
      <c r="I76" s="11"/>
      <c r="J76" s="11"/>
      <c r="K76" s="11"/>
      <c r="L76" s="11"/>
      <c r="M76" s="11"/>
    </row>
    <row r="77" spans="1:13" ht="22.25" customHeight="1" x14ac:dyDescent="0.2">
      <c r="A77" s="9" t="s">
        <v>152</v>
      </c>
      <c r="B77" s="100">
        <v>639.20000000000005</v>
      </c>
      <c r="C77" s="11"/>
      <c r="D77" s="11"/>
      <c r="E77" s="11"/>
      <c r="F77" s="11"/>
      <c r="G77" s="11"/>
      <c r="H77" s="103"/>
      <c r="I77" s="11"/>
      <c r="J77" s="11"/>
      <c r="K77" s="11"/>
      <c r="L77" s="11"/>
      <c r="M77" s="11"/>
    </row>
    <row r="78" spans="1:13" ht="22.25" customHeight="1" x14ac:dyDescent="0.2">
      <c r="A78" s="9" t="s">
        <v>54</v>
      </c>
      <c r="B78" s="100">
        <f>B77*0.6</f>
        <v>383.52000000000004</v>
      </c>
      <c r="C78" s="11"/>
      <c r="D78" s="11"/>
      <c r="E78" s="11"/>
      <c r="F78" s="11"/>
      <c r="G78" s="11"/>
      <c r="H78" s="103"/>
      <c r="I78" s="11"/>
      <c r="J78" s="11"/>
      <c r="K78" s="11"/>
      <c r="L78" s="11"/>
      <c r="M78" s="11"/>
    </row>
    <row r="79" spans="1:13" ht="22.25" customHeight="1" x14ac:dyDescent="0.2">
      <c r="A79" s="11"/>
      <c r="B79" s="11"/>
      <c r="C79" s="11"/>
      <c r="D79" s="11"/>
      <c r="E79" s="11"/>
      <c r="F79" s="11"/>
      <c r="G79" s="11"/>
      <c r="H79" s="103"/>
      <c r="I79" s="11"/>
      <c r="J79" s="11"/>
      <c r="K79" s="11"/>
      <c r="L79" s="11"/>
      <c r="M79" s="11"/>
    </row>
    <row r="80" spans="1:13" ht="22.25" customHeight="1" x14ac:dyDescent="0.2">
      <c r="A80" s="20">
        <v>2017</v>
      </c>
      <c r="B80" s="100">
        <v>63.92</v>
      </c>
      <c r="C80" s="11"/>
      <c r="D80" s="11"/>
      <c r="E80" s="11"/>
      <c r="F80" s="11"/>
      <c r="G80" s="11"/>
      <c r="H80" s="103"/>
      <c r="I80" s="11"/>
      <c r="J80" s="11"/>
      <c r="K80" s="11"/>
      <c r="L80" s="11"/>
      <c r="M80" s="11"/>
    </row>
    <row r="81" spans="1:13" ht="22.25" customHeight="1" x14ac:dyDescent="0.2">
      <c r="A81" s="20">
        <v>2018</v>
      </c>
      <c r="B81" s="148">
        <v>127.84</v>
      </c>
      <c r="C81" s="11"/>
      <c r="D81" s="11"/>
      <c r="E81" s="11"/>
      <c r="F81" s="11"/>
      <c r="G81" s="11"/>
      <c r="H81" s="103"/>
      <c r="I81" s="11"/>
      <c r="J81" s="11"/>
      <c r="K81" s="11"/>
      <c r="L81" s="11"/>
      <c r="M81" s="11"/>
    </row>
    <row r="82" spans="1:13" ht="22.25" customHeight="1" x14ac:dyDescent="0.2">
      <c r="A82" s="36">
        <v>2019</v>
      </c>
      <c r="B82" s="111">
        <v>127.84</v>
      </c>
      <c r="C82" s="33"/>
      <c r="D82" s="11"/>
      <c r="E82" s="11"/>
      <c r="F82" s="11"/>
      <c r="G82" s="11"/>
      <c r="H82" s="11"/>
      <c r="I82" s="11"/>
      <c r="J82" s="11"/>
      <c r="K82" s="11"/>
      <c r="L82" s="11"/>
      <c r="M82" s="11"/>
    </row>
    <row r="83" spans="1:13" ht="22.25" customHeight="1" x14ac:dyDescent="0.2">
      <c r="A83" s="20">
        <v>2020</v>
      </c>
      <c r="B83" s="114">
        <v>63.92</v>
      </c>
      <c r="C83" s="11"/>
      <c r="D83" s="11"/>
      <c r="E83" s="11"/>
      <c r="F83" s="11"/>
      <c r="G83" s="11"/>
      <c r="H83" s="11"/>
      <c r="I83" s="11"/>
      <c r="J83" s="11"/>
      <c r="K83" s="11"/>
      <c r="L83" s="11"/>
      <c r="M83" s="11"/>
    </row>
    <row r="84" spans="1:13" ht="22.25" customHeight="1" x14ac:dyDescent="0.2">
      <c r="A84" s="11"/>
      <c r="B84" s="100">
        <f>SUM(B80:B83)</f>
        <v>383.52000000000004</v>
      </c>
      <c r="C84" s="11"/>
      <c r="D84" s="11"/>
      <c r="E84" s="11"/>
      <c r="F84" s="11"/>
      <c r="G84" s="11"/>
      <c r="H84" s="11"/>
      <c r="I84" s="11"/>
      <c r="J84" s="11"/>
      <c r="K84" s="11"/>
      <c r="L84" s="11"/>
      <c r="M84" s="11"/>
    </row>
  </sheetData>
  <conditionalFormatting sqref="B57:B58">
    <cfRule type="cellIs" dxfId="0"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Export Summary</vt:lpstr>
      <vt:lpstr>2015</vt:lpstr>
      <vt:lpstr>2016</vt:lpstr>
      <vt:lpstr>Berechnung 2017</vt:lpstr>
      <vt:lpstr>2017</vt:lpstr>
      <vt:lpstr>Berechnung 2018</vt:lpstr>
      <vt:lpstr>2018</vt:lpstr>
      <vt:lpstr>Berechnung 2019</vt:lpstr>
      <vt:lpstr>2019</vt:lpstr>
      <vt:lpstr>Berechnung 2020</vt:lpstr>
      <vt:lpstr>2020</vt:lpstr>
      <vt:lpstr>Berechnung 2021</vt:lpstr>
      <vt:lpstr>2021</vt:lpstr>
      <vt:lpstr>Berechnung 2022</vt:lpstr>
      <vt:lpstr>2022</vt:lpstr>
      <vt:lpstr>Berechnung 2023</vt:lpstr>
      <vt:lpstr>2023</vt:lpstr>
      <vt:lpstr>Berechnung 2024</vt:lpstr>
      <vt:lpstr>2024</vt:lpstr>
      <vt:lpstr>Steuerkonto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Christoph Preissl</cp:lastModifiedBy>
  <cp:revision/>
  <dcterms:created xsi:type="dcterms:W3CDTF">2022-03-02T13:49:14Z</dcterms:created>
  <dcterms:modified xsi:type="dcterms:W3CDTF">2025-05-14T14:55:55Z</dcterms:modified>
  <cp:category/>
  <cp:contentStatus/>
</cp:coreProperties>
</file>