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showInkAnnotation="0" autoCompressPictures="0"/>
  <mc:AlternateContent xmlns:mc="http://schemas.openxmlformats.org/markup-compatibility/2006">
    <mc:Choice Requires="x15">
      <x15ac:absPath xmlns:x15ac="http://schemas.microsoft.com/office/spreadsheetml/2010/11/ac" url="/Users/preissl/Documents/Private/Finance/"/>
    </mc:Choice>
  </mc:AlternateContent>
  <xr:revisionPtr revIDLastSave="0" documentId="13_ncr:1_{6764DD54-F915-E745-AEF0-6F6CEBFE120C}" xr6:coauthVersionLast="47" xr6:coauthVersionMax="47" xr10:uidLastSave="{00000000-0000-0000-0000-000000000000}"/>
  <bookViews>
    <workbookView xWindow="160" yWindow="920" windowWidth="34260" windowHeight="20100" firstSheet="13" activeTab="18"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Berechnung 2023" sheetId="17" r:id="rId16"/>
    <sheet name="2023" sheetId="18" r:id="rId17"/>
    <sheet name="Berechnung 2024" sheetId="19" r:id="rId18"/>
    <sheet name="2024" sheetId="20" r:id="rId19"/>
    <sheet name="Steuerkonto" sheetId="12"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20" l="1"/>
  <c r="B13" i="20"/>
  <c r="B27" i="20"/>
  <c r="F43" i="19"/>
  <c r="F44" i="19"/>
  <c r="F45" i="19" s="1"/>
  <c r="B48" i="19"/>
  <c r="B47" i="19"/>
  <c r="B33" i="19"/>
  <c r="B23" i="19"/>
  <c r="B25" i="19" s="1"/>
  <c r="B33" i="20"/>
  <c r="B10" i="20" s="1"/>
  <c r="F8" i="20" s="1"/>
  <c r="B28" i="20"/>
  <c r="B9" i="20" s="1"/>
  <c r="H8" i="20"/>
  <c r="B5" i="20"/>
  <c r="B32" i="19"/>
  <c r="B12" i="19"/>
  <c r="B13" i="19"/>
  <c r="B50" i="19"/>
  <c r="B36" i="19"/>
  <c r="B10" i="19"/>
  <c r="B5" i="19"/>
  <c r="B53" i="17"/>
  <c r="B49" i="17"/>
  <c r="B33" i="17"/>
  <c r="B16" i="18"/>
  <c r="F44" i="17"/>
  <c r="F45" i="17" s="1"/>
  <c r="F43" i="17"/>
  <c r="B50" i="17"/>
  <c r="B51" i="8"/>
  <c r="B52" i="14"/>
  <c r="B48" i="17"/>
  <c r="B47" i="17"/>
  <c r="B36" i="17"/>
  <c r="B32" i="17"/>
  <c r="B24" i="17"/>
  <c r="B13" i="17"/>
  <c r="B12" i="17"/>
  <c r="B39" i="15"/>
  <c r="B41" i="14"/>
  <c r="B41" i="10"/>
  <c r="B12" i="18"/>
  <c r="B11" i="18"/>
  <c r="B27" i="18"/>
  <c r="B28" i="18" s="1"/>
  <c r="B14" i="20" l="1"/>
  <c r="B28" i="19" s="1"/>
  <c r="B30" i="19" s="1"/>
  <c r="B31" i="19" s="1"/>
  <c r="B35" i="19" s="1"/>
  <c r="B49" i="19" s="1"/>
  <c r="G8" i="20"/>
  <c r="B24" i="19"/>
  <c r="H8" i="18"/>
  <c r="B53" i="19" l="1"/>
  <c r="B39" i="19"/>
  <c r="B42" i="19" s="1"/>
  <c r="B23" i="17"/>
  <c r="B25" i="17" s="1"/>
  <c r="B33" i="18"/>
  <c r="B10" i="18" s="1"/>
  <c r="F8" i="18" s="1"/>
  <c r="B9" i="18"/>
  <c r="B13" i="18"/>
  <c r="B5" i="18"/>
  <c r="B10" i="17"/>
  <c r="B5" i="17"/>
  <c r="B32" i="15"/>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P8" i="15"/>
  <c r="P9" i="15"/>
  <c r="P10" i="15"/>
  <c r="B54" i="14"/>
  <c r="D8" i="15"/>
  <c r="B5" i="16"/>
  <c r="J8" i="15"/>
  <c r="J9" i="15"/>
  <c r="J10" i="15"/>
  <c r="D9" i="15"/>
  <c r="D10" i="15"/>
  <c r="B30" i="14"/>
  <c r="B29" i="14"/>
  <c r="B28" i="14"/>
  <c r="H8" i="13"/>
  <c r="G8" i="13"/>
  <c r="F8" i="13"/>
  <c r="E8" i="13"/>
  <c r="H12" i="14"/>
  <c r="H13" i="14"/>
  <c r="B32" i="14"/>
  <c r="B33" i="14"/>
  <c r="B37" i="14"/>
  <c r="B34" i="14"/>
  <c r="B38" i="14"/>
  <c r="B25" i="14"/>
  <c r="B24" i="14"/>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14" i="18" l="1"/>
  <c r="B28" i="17" s="1"/>
  <c r="G8" i="18"/>
  <c r="B49" i="15"/>
  <c r="B53" i="15" s="1"/>
  <c r="B42" i="15"/>
  <c r="B30" i="17" l="1"/>
  <c r="B31" i="17" s="1"/>
  <c r="B35" i="17" s="1"/>
  <c r="B39" i="17" l="1"/>
  <c r="B42" i="17" s="1"/>
</calcChain>
</file>

<file path=xl/sharedStrings.xml><?xml version="1.0" encoding="utf-8"?>
<sst xmlns="http://schemas.openxmlformats.org/spreadsheetml/2006/main" count="1551" uniqueCount="433">
  <si>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</si>
  <si>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</si>
  <si>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</si>
  <si>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</si>
  <si>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</si>
  <si>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</si>
  <si>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</si>
  <si>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</si>
  <si>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</si>
  <si>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</si>
  <si>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</si>
  <si>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</si>
  <si>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</si>
  <si>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</si>
  <si>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</si>
  <si>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</si>
  <si>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</si>
  <si>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</si>
  <si>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</si>
  <si>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</si>
  <si>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</si>
  <si>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</si>
  <si>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</si>
  <si>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</si>
  <si>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</si>
  <si>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</si>
  <si>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</si>
  <si>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</si>
  <si>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</si>
  <si>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</si>
  <si>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</si>
  <si>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</si>
  <si>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</si>
  <si>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</si>
  <si>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</si>
  <si>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</si>
  <si>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</si>
  <si>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</si>
  <si>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</si>
  <si>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</si>
  <si>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</si>
  <si>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</si>
  <si>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</si>
  <si>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</si>
  <si>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</si>
  <si>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</si>
  <si>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</si>
  <si>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</si>
  <si>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</si>
  <si>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</si>
  <si>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</si>
  <si>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</si>
  <si>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</si>
  <si>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</si>
  <si>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</si>
  <si>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</si>
  <si>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</si>
  <si>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</si>
  <si>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</si>
  <si>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</si>
  <si>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</si>
  <si>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</si>
  <si>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</si>
  <si>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</si>
  <si>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</si>
  <si>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</si>
  <si>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</si>
  <si>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</si>
  <si>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</si>
  <si>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</si>
  <si>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</si>
  <si>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</si>
  <si>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</si>
  <si>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</si>
  <si>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</si>
  <si>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</si>
  <si>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</si>
  <si>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</si>
  <si>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</si>
  <si>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</si>
  <si>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</si>
  <si>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</si>
  <si>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</si>
  <si>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</si>
  <si>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</si>
  <si>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</si>
  <si>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</si>
  <si>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</si>
  <si>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</si>
  <si>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</si>
  <si>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</si>
  <si>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</si>
  <si>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</si>
  <si>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</si>
  <si>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</si>
  <si>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</si>
  <si>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</si>
  <si>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</si>
  <si>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</si>
  <si>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</si>
  <si>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</si>
  <si>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</si>
  <si>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</si>
  <si>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</si>
  <si>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</si>
  <si>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</si>
  <si>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</si>
  <si>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</si>
  <si>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</si>
  <si>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</si>
  <si>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</si>
  <si>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</si>
  <si>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</si>
  <si>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</si>
  <si>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</si>
  <si>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</si>
  <si>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</si>
  <si>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</si>
  <si>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</si>
  <si>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</si>
  <si>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</si>
  <si>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</si>
  <si>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</si>
  <si>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</si>
  <si>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</si>
  <si>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</si>
  <si>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</si>
  <si>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</si>
  <si>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</si>
  <si>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</si>
  <si>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</si>
  <si>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</si>
  <si>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</si>
  <si>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</si>
  <si>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</si>
  <si>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</si>
  <si>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</si>
  <si>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</si>
  <si>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</si>
  <si>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</si>
  <si>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</si>
  <si>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</si>
  <si>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</si>
  <si>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</si>
  <si>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</si>
  <si>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</si>
  <si>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</si>
  <si>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</si>
  <si>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</si>
  <si>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</si>
  <si>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</si>
  <si>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</si>
  <si>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</si>
  <si>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</si>
  <si>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</si>
  <si>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</si>
  <si>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</si>
  <si>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</si>
  <si>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</si>
  <si>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</si>
  <si>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</si>
  <si>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</si>
  <si>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</si>
  <si>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</si>
  <si>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</si>
  <si>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</si>
  <si>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</si>
  <si>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</si>
  <si>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</si>
  <si>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</si>
  <si>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</si>
  <si>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</si>
  <si>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</si>
  <si>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</si>
  <si>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</si>
  <si>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</si>
  <si>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</si>
  <si>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</si>
  <si>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</si>
  <si>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</si>
  <si>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</si>
  <si>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</si>
  <si>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</si>
  <si>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</si>
  <si>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</si>
  <si>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</si>
  <si>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</si>
  <si>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</si>
  <si>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</si>
  <si>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</si>
  <si>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</si>
  <si>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</si>
  <si>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</si>
  <si>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</si>
  <si>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</si>
  <si>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</si>
  <si>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</si>
  <si>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</si>
  <si>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</si>
  <si>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</si>
  <si>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</si>
  <si>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</si>
  <si>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</si>
  <si>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</si>
  <si>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</si>
  <si>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</si>
  <si>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</si>
  <si>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</si>
  <si>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</si>
  <si>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</si>
  <si>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</si>
  <si>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</si>
  <si>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</si>
  <si>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</si>
  <si>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</si>
  <si>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</si>
  <si>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</si>
  <si>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</si>
  <si>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</si>
  <si>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</si>
  <si>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</si>
  <si>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</si>
  <si>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</si>
  <si>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</si>
  <si>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</si>
  <si>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</si>
  <si>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</si>
  <si>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</si>
  <si>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</si>
  <si>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</si>
  <si>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</si>
  <si>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</si>
  <si>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</si>
  <si>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</si>
  <si>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</si>
  <si>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</si>
  <si>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</si>
  <si>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</si>
  <si>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</si>
  <si>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</si>
  <si>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</si>
  <si>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</si>
  <si>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</si>
  <si>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</si>
  <si>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</si>
  <si>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</si>
  <si>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</si>
  <si>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</si>
  <si>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</si>
  <si>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</si>
  <si>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</si>
  <si>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</si>
  <si>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</si>
  <si>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</si>
  <si>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</si>
  <si>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</si>
  <si>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</si>
  <si>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</si>
  <si>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</si>
  <si>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</si>
  <si>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</si>
  <si>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</si>
  <si>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</si>
  <si>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</si>
  <si>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</si>
  <si>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</si>
  <si>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</si>
  <si>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</si>
  <si>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</si>
  <si>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</si>
  <si>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</si>
  <si>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</si>
  <si>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</si>
  <si>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</si>
  <si>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</si>
  <si>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</si>
  <si>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</si>
  <si>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</si>
  <si>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</si>
  <si>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</si>
  <si>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</si>
  <si>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</si>
  <si>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</si>
  <si>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</si>
  <si>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</si>
  <si>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</si>
  <si>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</si>
  <si>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</si>
  <si>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</si>
  <si>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</si>
  <si>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</si>
  <si>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</si>
  <si>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</si>
  <si>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</si>
  <si>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</si>
  <si>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</si>
  <si>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</si>
  <si>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</si>
  <si>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</si>
  <si>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</si>
  <si>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</si>
  <si>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</si>
  <si>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</si>
  <si>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</si>
  <si>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</si>
  <si>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</si>
  <si>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</si>
  <si>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</si>
  <si>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</si>
  <si>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</si>
  <si>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</si>
  <si>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</si>
  <si>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</si>
  <si>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</si>
  <si>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</si>
  <si>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</si>
  <si>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</si>
  <si>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</si>
  <si>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</si>
  <si>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</si>
  <si>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</si>
  <si>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</si>
  <si>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</si>
  <si>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</si>
  <si>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</si>
  <si>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</si>
  <si>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</si>
  <si>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</si>
  <si>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</si>
  <si>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</si>
  <si>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</si>
  <si>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</si>
  <si>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</si>
  <si>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</si>
  <si>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</si>
  <si>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</si>
  <si>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</si>
  <si>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</si>
  <si>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</si>
  <si>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</si>
  <si>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</si>
  <si>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</si>
  <si>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</si>
  <si>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</si>
  <si>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</si>
  <si>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</si>
  <si>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</si>
  <si>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</si>
  <si>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</si>
  <si>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</si>
  <si>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</si>
  <si>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</si>
  <si>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</si>
  <si>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</si>
  <si>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</si>
  <si>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</si>
  <si>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</si>
  <si>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</si>
  <si>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</si>
  <si>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</si>
  <si>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</si>
  <si>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</si>
  <si>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</si>
  <si>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</si>
  <si>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</si>
  <si>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</si>
  <si>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</si>
  <si>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</si>
  <si>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</si>
  <si>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</si>
  <si>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</si>
  <si>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</si>
  <si>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</si>
  <si>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</si>
  <si>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</si>
  <si>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</si>
  <si>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</si>
  <si>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</si>
  <si>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</si>
  <si>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</si>
  <si>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</si>
  <si>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</si>
  <si>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</si>
  <si>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</si>
  <si>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</si>
  <si>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</si>
  <si>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</si>
  <si>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</si>
  <si>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</si>
  <si>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</si>
  <si>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</si>
  <si>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</si>
  <si>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</si>
  <si>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</si>
  <si>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</si>
  <si>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</si>
  <si>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</si>
  <si>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</si>
  <si>
    <t>Lohnzettel 2023 Apple</t>
  </si>
  <si>
    <t>Hier ist "normaler" Steuersatz gültig</t>
  </si>
  <si>
    <t>Berechnungsblatt 2023</t>
  </si>
  <si>
    <t>Apple Airpods 2.Gen (mit 40% Privatanteil)</t>
  </si>
  <si>
    <t>Lapi Tasche tomtoc (mit 0% Privatanteil)</t>
  </si>
  <si>
    <t>Pendlereuro:  2*16(=km)*(2/3) (=wegen 8-10 Fahrten) 0=&gt; 21,33€</t>
  </si>
  <si>
    <t>Kennzahl 718 wurde mit 8-10 Fahrten pro Monat berechnet (0600 Arbeitsbeginn)</t>
  </si>
  <si>
    <t>Vorausbezahlt für das Jahr 2023</t>
  </si>
  <si>
    <t>mit Grenzsteuersatz von 50%</t>
  </si>
  <si>
    <t>Erklaerung abgegeben am 16.6.2024.</t>
  </si>
  <si>
    <t>Sommersemester 2023</t>
  </si>
  <si>
    <t>Wintersemester 2023/2024</t>
  </si>
  <si>
    <t>November (mit Weihnachtsgeld)</t>
  </si>
  <si>
    <t>Oktober (mit performance bonus)</t>
  </si>
  <si>
    <t>Apple Fulltime: Gross Pay (, inkludiert Urlaubs/Weihnachtsgeld + Performance bonus, in Euro)</t>
  </si>
  <si>
    <t>Pendlereuro</t>
  </si>
  <si>
    <t>Kennzahl: 916</t>
  </si>
  <si>
    <t>weniger als 730€, somit bleibt dieser Zuverdienst steuerfrei =&gt; ich müsste keine Steuererklärung mehr abgeben</t>
  </si>
  <si>
    <t>2024</t>
  </si>
  <si>
    <t>Stand 24.06.2024</t>
  </si>
  <si>
    <t>Steuererklärung für 2023 (eingereicht am 16.6.2024) ergab eine Gutschrift von 925€ =&gt; wurde auf SteuerKonto überwiesen. Rückerstatttung von die 925€ wurde sofort beantragt.</t>
  </si>
  <si>
    <t>Stand 25.06.2024</t>
  </si>
  <si>
    <t>Rückerstatttung von 925€ wurde überwiesen =&gt; Kontostand auf 0€</t>
  </si>
  <si>
    <t>Gutschrift von 925€ erhalten am 17.6.2024 =&gt; DONE</t>
  </si>
  <si>
    <t>Juni (mit Urlaubsgeld)</t>
  </si>
  <si>
    <t>Nebenrechnung um zu checken ob im Jahresbruttogehalt die RSUs enthalten sind =&gt; JA sind enthalten, weil ca gleich mit Jahresbrutto (KZ210)</t>
  </si>
  <si>
    <t>Lohnzettel 2024 Apple</t>
  </si>
  <si>
    <t>Berechnungsblatt 2024</t>
  </si>
  <si>
    <t>Zusammenfassung</t>
  </si>
  <si>
    <t xml:space="preserve">Erklaerung abgegeben am </t>
  </si>
  <si>
    <t>Vorausbezahlt für das Jahr 2024</t>
  </si>
  <si>
    <t>Sommersemester 2024</t>
  </si>
  <si>
    <t>Wintersemester 2024/2025</t>
  </si>
  <si>
    <t>Kennzahl 718 wurde mit mehr als 10 Fahrten pro Monat berechnet (0600 Arbeitsbeginn)</t>
  </si>
  <si>
    <t>Pendlereuro:  2*16(=km)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</si>
</sst>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 numFmtId="173" formatCode="&quot;€&quot;\ #,##0.00"/>
  </numFmts>
  <fonts count="40"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
      <sz val="8"/>
      <name val="Helvetica Neue"/>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
      <left/>
      <right/>
      <top/>
      <bottom style="thin">
        <color indexed="13"/>
      </bottom>
      <diagonal/>
    </border>
  </borders>
  <cellStyleXfs count="2">
    <xf numFmtId="0" fontId="0" fillId="0" borderId="0" applyNumberFormat="0" applyFill="0" applyBorder="0" applyProtection="0"/>
    <xf numFmtId="0" fontId="37" fillId="16" borderId="80" applyNumberFormat="0" applyAlignment="0" applyProtection="0"/>
  </cellStyleXfs>
  <cellXfs count="32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0" fillId="0" borderId="17" xfId="0" applyBorder="1"/>
    <xf numFmtId="173" fontId="0" fillId="0" borderId="1" xfId="0" applyNumberFormat="1" applyBorder="1"/>
    <xf numFmtId="173" fontId="38" fillId="16" borderId="80" xfId="1" applyNumberFormat="1" applyFont="1"/>
    <xf numFmtId="4" fontId="0" fillId="0" borderId="21" xfId="0" applyNumberFormat="1" applyBorder="1"/>
    <xf numFmtId="49" fontId="5" fillId="0" borderId="81" xfId="0" applyNumberFormat="1" applyFont="1" applyFill="1" applyBorder="1"/>
    <xf numFmtId="166" fontId="5" fillId="0" borderId="81" xfId="0" applyNumberFormat="1" applyFont="1" applyFill="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6" fillId="0" borderId="38" xfId="0" applyNumberFormat="1" applyFont="1" applyBorder="1" applyAlignment="1">
      <alignment horizontal="left"/>
    </xf>
    <xf numFmtId="49" fontId="36" fillId="0" borderId="21" xfId="0" applyNumberFormat="1" applyFont="1" applyBorder="1" applyAlignment="1">
      <alignment horizontal="left"/>
    </xf>
    <xf numFmtId="0" fontId="0" fillId="0" borderId="37" xfId="0" applyBorder="1" applyAlignment="1">
      <alignment horizontal="left"/>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0" fontId="36" fillId="0" borderId="0" xfId="0" applyNumberFormat="1" applyFont="1"/>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63" t="s">
        <v>0</v>
      </c>
      <c r="C3" s="264"/>
      <c r="D3" s="264"/>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2"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7"/>
      <c r="B1" s="280"/>
      <c r="C1" s="280"/>
      <c r="D1" s="280"/>
      <c r="E1" s="280"/>
      <c r="F1" s="122"/>
      <c r="G1" s="288" t="s">
        <v>210</v>
      </c>
      <c r="H1" s="280"/>
      <c r="I1" s="280"/>
      <c r="J1" s="280"/>
      <c r="K1" s="280"/>
      <c r="L1" s="122"/>
      <c r="M1" s="288" t="s">
        <v>211</v>
      </c>
      <c r="N1" s="280"/>
      <c r="O1" s="280"/>
      <c r="P1" s="280"/>
      <c r="Q1" s="281"/>
    </row>
    <row r="2" spans="1:17" ht="22" customHeight="1" x14ac:dyDescent="0.2">
      <c r="A2" s="276"/>
      <c r="B2" s="282"/>
      <c r="C2" s="282"/>
      <c r="D2" s="282"/>
      <c r="E2" s="282"/>
      <c r="F2" s="122"/>
      <c r="G2" s="282"/>
      <c r="H2" s="282"/>
      <c r="I2" s="282"/>
      <c r="J2" s="282"/>
      <c r="K2" s="282"/>
      <c r="L2" s="122"/>
      <c r="M2" s="282"/>
      <c r="N2" s="282"/>
      <c r="O2" s="282"/>
      <c r="P2" s="282"/>
      <c r="Q2" s="283"/>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9"/>
      <c r="J15" s="273"/>
      <c r="K15" s="273"/>
      <c r="L15" s="11"/>
      <c r="M15" s="11"/>
      <c r="N15" s="11"/>
      <c r="O15" s="286"/>
      <c r="P15" s="286"/>
      <c r="Q15" s="286"/>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0" t="s">
        <v>218</v>
      </c>
      <c r="B21" s="285"/>
      <c r="C21" s="285"/>
      <c r="D21" s="285"/>
      <c r="E21" s="285"/>
      <c r="F21" s="76"/>
      <c r="G21" s="11"/>
      <c r="H21" s="11"/>
      <c r="I21" s="11"/>
      <c r="J21" s="11"/>
      <c r="K21" s="11"/>
      <c r="L21" s="11"/>
      <c r="M21" s="11"/>
      <c r="N21" s="11"/>
      <c r="O21" s="11"/>
      <c r="P21" s="11"/>
      <c r="Q21" s="11"/>
    </row>
    <row r="22" spans="1:17" ht="22" customHeight="1" x14ac:dyDescent="0.2">
      <c r="A22" s="285"/>
      <c r="B22" s="285"/>
      <c r="C22" s="285"/>
      <c r="D22" s="285"/>
      <c r="E22" s="285"/>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74" t="s">
        <v>174</v>
      </c>
      <c r="D33" s="275"/>
      <c r="E33" s="11"/>
      <c r="F33" s="11"/>
      <c r="G33" s="11"/>
      <c r="H33" s="11"/>
      <c r="I33" s="11"/>
      <c r="J33" s="11"/>
      <c r="K33" s="11"/>
      <c r="L33" s="11"/>
      <c r="M33" s="11"/>
      <c r="N33" s="11"/>
      <c r="O33" s="11"/>
      <c r="P33" s="11"/>
      <c r="Q33" s="11"/>
    </row>
    <row r="34" spans="1:17" ht="22" customHeight="1" x14ac:dyDescent="0.25">
      <c r="A34" s="56" t="s">
        <v>104</v>
      </c>
      <c r="B34" s="91">
        <f>ROUND((B13+H13+N13-620)*0.06,2)</f>
        <v>331.57</v>
      </c>
      <c r="C34" s="274" t="s">
        <v>105</v>
      </c>
      <c r="D34" s="275"/>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0" t="s">
        <v>221</v>
      </c>
      <c r="B48" s="271"/>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7" workbookViewId="0">
      <selection activeCell="B53" sqref="B53"/>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8" t="s">
        <v>329</v>
      </c>
      <c r="B1" s="288"/>
      <c r="C1" s="288"/>
      <c r="D1" s="288"/>
      <c r="E1" s="288"/>
      <c r="F1" s="122"/>
      <c r="G1" s="288" t="s">
        <v>333</v>
      </c>
      <c r="H1" s="280"/>
      <c r="I1" s="280"/>
      <c r="J1" s="280"/>
      <c r="K1" s="281"/>
    </row>
    <row r="2" spans="1:11" ht="22" customHeight="1" x14ac:dyDescent="0.2">
      <c r="A2" s="291"/>
      <c r="B2" s="291"/>
      <c r="C2" s="291"/>
      <c r="D2" s="291"/>
      <c r="E2" s="291"/>
      <c r="F2" s="122"/>
      <c r="G2" s="282"/>
      <c r="H2" s="282"/>
      <c r="I2" s="282"/>
      <c r="J2" s="282"/>
      <c r="K2" s="283"/>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6"/>
      <c r="J15" s="286"/>
      <c r="K15" s="286"/>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0" t="s">
        <v>330</v>
      </c>
      <c r="B21" s="285"/>
      <c r="C21" s="285"/>
      <c r="D21" s="285"/>
      <c r="E21" s="285"/>
      <c r="F21" s="76"/>
      <c r="G21" s="11"/>
      <c r="H21" s="11"/>
      <c r="I21" s="11"/>
      <c r="J21" s="11"/>
      <c r="K21" s="11"/>
      <c r="L21" s="11"/>
      <c r="M21" s="11"/>
      <c r="N21" s="11"/>
      <c r="O21" s="11"/>
      <c r="P21" s="11"/>
      <c r="Q21" s="11"/>
    </row>
    <row r="22" spans="1:17" ht="22" customHeight="1" x14ac:dyDescent="0.2">
      <c r="A22" s="285"/>
      <c r="B22" s="285"/>
      <c r="C22" s="285"/>
      <c r="D22" s="285"/>
      <c r="E22" s="285"/>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74" t="s">
        <v>174</v>
      </c>
      <c r="D33" s="275"/>
      <c r="E33" s="11"/>
      <c r="F33" s="11"/>
      <c r="G33" s="11"/>
      <c r="H33" s="11"/>
      <c r="I33" s="11"/>
      <c r="J33" s="11"/>
      <c r="K33" s="11"/>
      <c r="L33" s="11"/>
      <c r="M33" s="11"/>
      <c r="N33" s="11"/>
      <c r="O33" s="11"/>
      <c r="P33" s="11"/>
      <c r="Q33" s="11"/>
    </row>
    <row r="34" spans="1:17" ht="22" customHeight="1" x14ac:dyDescent="0.25">
      <c r="A34" s="56" t="s">
        <v>104</v>
      </c>
      <c r="B34" s="91">
        <f>ROUND((B13+H13-620)*0.06,2)</f>
        <v>337.3</v>
      </c>
      <c r="C34" s="274" t="s">
        <v>105</v>
      </c>
      <c r="D34" s="275"/>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0" t="s">
        <v>331</v>
      </c>
      <c r="B48" s="271"/>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zoomScale="110" zoomScaleNormal="110" workbookViewId="0">
      <selection activeCell="B50" sqref="B50"/>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8" t="s">
        <v>355</v>
      </c>
      <c r="B1" s="288"/>
      <c r="C1" s="288"/>
      <c r="D1" s="288"/>
      <c r="E1" s="288"/>
      <c r="F1" s="122"/>
      <c r="G1" s="288" t="s">
        <v>360</v>
      </c>
      <c r="H1" s="280"/>
      <c r="I1" s="280"/>
      <c r="J1" s="280"/>
      <c r="K1" s="281"/>
      <c r="L1" s="122"/>
      <c r="M1" s="288" t="s">
        <v>361</v>
      </c>
      <c r="N1" s="280"/>
      <c r="O1" s="280"/>
      <c r="P1" s="280"/>
      <c r="Q1" s="281"/>
      <c r="R1" s="122"/>
      <c r="S1" s="288" t="s">
        <v>363</v>
      </c>
      <c r="T1" s="280"/>
      <c r="U1" s="280"/>
      <c r="V1" s="280"/>
      <c r="W1" s="281"/>
    </row>
    <row r="2" spans="1:23" ht="22" customHeight="1" x14ac:dyDescent="0.2">
      <c r="A2" s="291"/>
      <c r="B2" s="291"/>
      <c r="C2" s="291"/>
      <c r="D2" s="291"/>
      <c r="E2" s="291"/>
      <c r="F2" s="122"/>
      <c r="G2" s="282"/>
      <c r="H2" s="282"/>
      <c r="I2" s="282"/>
      <c r="J2" s="282"/>
      <c r="K2" s="283"/>
      <c r="L2" s="122"/>
      <c r="M2" s="282"/>
      <c r="N2" s="282"/>
      <c r="O2" s="282"/>
      <c r="P2" s="282"/>
      <c r="Q2" s="283"/>
      <c r="R2" s="122"/>
      <c r="S2" s="282"/>
      <c r="T2" s="282"/>
      <c r="U2" s="282"/>
      <c r="V2" s="282"/>
      <c r="W2" s="283"/>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2" customHeight="1" x14ac:dyDescent="0.2">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6"/>
      <c r="J15" s="286"/>
      <c r="K15" s="286"/>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90" t="s">
        <v>356</v>
      </c>
      <c r="B21" s="285"/>
      <c r="C21" s="285"/>
      <c r="D21" s="285"/>
      <c r="E21" s="285"/>
      <c r="F21" s="76"/>
      <c r="G21" s="11"/>
      <c r="H21" s="11"/>
      <c r="I21" s="11"/>
      <c r="J21" s="11"/>
      <c r="K21" s="11"/>
      <c r="L21" s="11"/>
      <c r="M21" s="11"/>
      <c r="N21" s="11"/>
      <c r="O21" s="11"/>
      <c r="P21" s="11"/>
      <c r="Q21" s="11"/>
      <c r="S21" s="11"/>
      <c r="T21" s="11"/>
      <c r="U21" s="11"/>
      <c r="V21" s="11"/>
      <c r="W21" s="11"/>
    </row>
    <row r="22" spans="1:23" ht="22" customHeight="1" x14ac:dyDescent="0.2">
      <c r="A22" s="285"/>
      <c r="B22" s="285"/>
      <c r="C22" s="285"/>
      <c r="D22" s="285"/>
      <c r="E22" s="285"/>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295" t="s">
        <v>370</v>
      </c>
      <c r="D31" s="275"/>
      <c r="E31" s="11"/>
      <c r="F31" s="11"/>
      <c r="G31" s="11"/>
      <c r="H31" s="11"/>
      <c r="I31" s="11"/>
      <c r="J31" s="11"/>
      <c r="K31" s="11"/>
      <c r="L31" s="11"/>
      <c r="M31" s="11"/>
      <c r="N31" s="11"/>
      <c r="O31" s="11"/>
      <c r="P31" s="11"/>
      <c r="Q31" s="11"/>
    </row>
    <row r="32" spans="1:23" ht="22" customHeight="1" x14ac:dyDescent="0.25">
      <c r="A32" s="56" t="s">
        <v>104</v>
      </c>
      <c r="B32" s="91">
        <f>ROUND((B13+H13+N13-620)*0.06,2)</f>
        <v>420.11</v>
      </c>
      <c r="C32" s="274" t="s">
        <v>105</v>
      </c>
      <c r="D32" s="275"/>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397</v>
      </c>
      <c r="D42" s="11"/>
      <c r="E42" s="292" t="s">
        <v>375</v>
      </c>
      <c r="F42" s="293"/>
      <c r="G42" s="293"/>
      <c r="H42" s="294"/>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70" t="s">
        <v>358</v>
      </c>
      <c r="B46" s="271"/>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80" zoomScaleNormal="80" workbookViewId="0">
      <selection activeCell="G8" sqref="G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CB2C-C161-4B3C-882F-FC67C0CD3691}">
  <sheetPr>
    <pageSetUpPr fitToPage="1"/>
  </sheetPr>
  <dimension ref="A1:H53"/>
  <sheetViews>
    <sheetView showGridLines="0" topLeftCell="A29" zoomScale="110" zoomScaleNormal="110" workbookViewId="0">
      <selection activeCell="A46" sqref="A46:B46"/>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3.75" style="5" customWidth="1"/>
    <col min="7" max="16384" width="12.25" style="5"/>
  </cols>
  <sheetData>
    <row r="1" spans="1:6" ht="22" customHeight="1" x14ac:dyDescent="0.2">
      <c r="A1" s="288" t="s">
        <v>398</v>
      </c>
      <c r="B1" s="288"/>
      <c r="C1" s="288"/>
      <c r="D1" s="288"/>
      <c r="E1" s="288"/>
      <c r="F1" s="122"/>
    </row>
    <row r="2" spans="1:6" ht="22" customHeight="1" x14ac:dyDescent="0.2">
      <c r="A2" s="291"/>
      <c r="B2" s="291"/>
      <c r="C2" s="291"/>
      <c r="D2" s="291"/>
      <c r="E2" s="291"/>
      <c r="F2" s="122"/>
    </row>
    <row r="3" spans="1:6" ht="22" customHeight="1" x14ac:dyDescent="0.2">
      <c r="A3" s="39"/>
      <c r="B3" s="39"/>
      <c r="C3" s="40" t="s">
        <v>76</v>
      </c>
      <c r="D3" s="39"/>
      <c r="E3" s="39"/>
      <c r="F3" s="11"/>
    </row>
    <row r="4" spans="1:6" ht="22" customHeight="1" x14ac:dyDescent="0.2">
      <c r="A4" s="41" t="s">
        <v>212</v>
      </c>
      <c r="B4" s="42">
        <v>127762.55</v>
      </c>
      <c r="C4" s="43">
        <v>210</v>
      </c>
      <c r="D4" s="11"/>
      <c r="E4" s="11"/>
      <c r="F4" s="11"/>
    </row>
    <row r="5" spans="1:6" ht="22" customHeight="1" x14ac:dyDescent="0.2">
      <c r="A5" s="124" t="s">
        <v>213</v>
      </c>
      <c r="B5" s="45">
        <f>B4-B6</f>
        <v>110239.41</v>
      </c>
      <c r="C5" s="46"/>
      <c r="D5" s="11"/>
      <c r="E5" s="11"/>
      <c r="F5" s="123"/>
    </row>
    <row r="6" spans="1:6" ht="22" customHeight="1" x14ac:dyDescent="0.2">
      <c r="A6" s="244" t="s">
        <v>359</v>
      </c>
      <c r="B6" s="48">
        <v>17523.14</v>
      </c>
      <c r="C6" s="49">
        <v>220</v>
      </c>
      <c r="D6" s="11"/>
      <c r="E6" s="11"/>
      <c r="F6" s="123"/>
    </row>
    <row r="7" spans="1:6" ht="22" customHeight="1" x14ac:dyDescent="0.2">
      <c r="A7" s="50"/>
      <c r="B7" s="51"/>
      <c r="C7" s="52"/>
      <c r="D7" s="53"/>
      <c r="E7" s="53"/>
      <c r="F7" s="11"/>
    </row>
    <row r="8" spans="1:6" ht="22" customHeight="1" x14ac:dyDescent="0.25">
      <c r="A8" s="124" t="s">
        <v>214</v>
      </c>
      <c r="B8" s="45">
        <v>12647.41</v>
      </c>
      <c r="C8" s="54">
        <v>230</v>
      </c>
      <c r="D8" s="55"/>
      <c r="E8" s="56"/>
      <c r="F8" s="126"/>
    </row>
    <row r="9" spans="1:6" ht="22" customHeight="1" x14ac:dyDescent="0.25">
      <c r="A9" s="125" t="s">
        <v>82</v>
      </c>
      <c r="B9" s="48">
        <v>2003.04</v>
      </c>
      <c r="C9" s="54">
        <v>225</v>
      </c>
      <c r="D9" s="55"/>
      <c r="E9" s="56"/>
      <c r="F9" s="126"/>
    </row>
    <row r="10" spans="1:6" ht="22" customHeight="1" x14ac:dyDescent="0.25">
      <c r="A10" s="57" t="s">
        <v>84</v>
      </c>
      <c r="B10" s="58">
        <f>B8+B9</f>
        <v>14650.45</v>
      </c>
      <c r="C10" s="59"/>
      <c r="D10" s="55"/>
      <c r="E10" s="56"/>
      <c r="F10" s="76"/>
    </row>
    <row r="11" spans="1:6" ht="22" customHeight="1" x14ac:dyDescent="0.2">
      <c r="A11" s="60"/>
      <c r="B11" s="42"/>
      <c r="C11" s="52"/>
      <c r="D11" s="61"/>
      <c r="E11" s="61"/>
      <c r="F11" s="11"/>
    </row>
    <row r="12" spans="1:6" ht="22" customHeight="1" x14ac:dyDescent="0.2">
      <c r="A12" s="124" t="s">
        <v>215</v>
      </c>
      <c r="B12" s="45">
        <f>B5-B8-B16-B15</f>
        <v>96560</v>
      </c>
      <c r="C12" s="49">
        <v>245</v>
      </c>
      <c r="D12" s="243" t="s">
        <v>399</v>
      </c>
      <c r="E12" s="11"/>
      <c r="F12" s="123"/>
    </row>
    <row r="13" spans="1:6" ht="22" customHeight="1" x14ac:dyDescent="0.2">
      <c r="A13" s="125" t="s">
        <v>88</v>
      </c>
      <c r="B13" s="48">
        <f>B6-B9</f>
        <v>15520.099999999999</v>
      </c>
      <c r="C13" s="46"/>
      <c r="D13" s="243"/>
      <c r="E13" s="11"/>
      <c r="F13" s="123"/>
    </row>
    <row r="14" spans="1:6" ht="22" customHeight="1" x14ac:dyDescent="0.2">
      <c r="A14" s="50"/>
      <c r="B14" s="51"/>
      <c r="C14" s="11"/>
      <c r="D14" s="11"/>
      <c r="E14" s="11"/>
      <c r="F14" s="11"/>
    </row>
    <row r="15" spans="1:6" ht="22" customHeight="1" x14ac:dyDescent="0.2">
      <c r="A15" s="245" t="s">
        <v>362</v>
      </c>
      <c r="B15" s="63">
        <v>1032</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35403</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0" t="s">
        <v>400</v>
      </c>
      <c r="B21" s="285"/>
      <c r="C21" s="285"/>
      <c r="D21" s="285"/>
      <c r="E21" s="285"/>
      <c r="F21" s="76"/>
    </row>
    <row r="22" spans="1:6" ht="22" customHeight="1" x14ac:dyDescent="0.2">
      <c r="A22" s="285"/>
      <c r="B22" s="285"/>
      <c r="C22" s="285"/>
      <c r="D22" s="285"/>
      <c r="E22" s="285"/>
      <c r="F22" s="76"/>
    </row>
    <row r="23" spans="1:6" ht="22" customHeight="1" x14ac:dyDescent="0.2">
      <c r="A23" s="67" t="s">
        <v>95</v>
      </c>
      <c r="B23" s="68">
        <f>'2023'!B18</f>
        <v>410.52</v>
      </c>
      <c r="C23" s="247"/>
      <c r="D23" s="61"/>
      <c r="E23" s="61"/>
      <c r="F23" s="11"/>
    </row>
    <row r="24" spans="1:6" ht="22" customHeight="1" x14ac:dyDescent="0.2">
      <c r="A24" s="44" t="s">
        <v>172</v>
      </c>
      <c r="B24" s="45">
        <f>B12</f>
        <v>96560</v>
      </c>
      <c r="C24" s="64"/>
      <c r="D24" s="11"/>
      <c r="E24" s="11"/>
      <c r="F24" s="11"/>
    </row>
    <row r="25" spans="1:6" ht="22" customHeight="1" x14ac:dyDescent="0.25">
      <c r="A25" s="129" t="s">
        <v>97</v>
      </c>
      <c r="B25" s="130">
        <f>IF(B23&gt;730,B23,0)+B24</f>
        <v>96560</v>
      </c>
      <c r="C25" s="260"/>
      <c r="D25" s="11"/>
      <c r="E25" s="11"/>
      <c r="F25" s="11"/>
    </row>
    <row r="26" spans="1:6" ht="22" customHeight="1" x14ac:dyDescent="0.2">
      <c r="A26" s="72"/>
      <c r="B26" s="88"/>
      <c r="C26" s="11"/>
      <c r="D26" s="11"/>
      <c r="E26" s="11"/>
      <c r="F26" s="11"/>
    </row>
    <row r="27" spans="1:6" ht="22" customHeight="1" x14ac:dyDescent="0.2">
      <c r="A27" s="74" t="s">
        <v>98</v>
      </c>
      <c r="B27" s="77"/>
      <c r="C27" s="76"/>
      <c r="D27" s="11"/>
      <c r="E27" s="11"/>
      <c r="F27" s="11"/>
    </row>
    <row r="28" spans="1:6" ht="22" customHeight="1" x14ac:dyDescent="0.25">
      <c r="A28" s="79" t="s">
        <v>383</v>
      </c>
      <c r="B28" s="150">
        <f>'2023'!B14</f>
        <v>530.678</v>
      </c>
      <c r="D28" s="11"/>
      <c r="E28" s="11"/>
      <c r="F28" s="11"/>
    </row>
    <row r="29" spans="1:6" ht="22" customHeight="1" x14ac:dyDescent="0.2">
      <c r="A29" s="81"/>
      <c r="B29" s="151"/>
      <c r="C29" s="11"/>
      <c r="D29" s="11"/>
      <c r="E29" s="11"/>
      <c r="F29" s="11"/>
    </row>
    <row r="30" spans="1:6" ht="22" customHeight="1" x14ac:dyDescent="0.25">
      <c r="A30" s="83" t="s">
        <v>334</v>
      </c>
      <c r="B30" s="152">
        <f>B25-B28</f>
        <v>96029.322</v>
      </c>
      <c r="C30" s="64"/>
      <c r="D30" s="11"/>
      <c r="E30" s="11"/>
      <c r="F30" s="11"/>
    </row>
    <row r="31" spans="1:6" ht="22" customHeight="1" x14ac:dyDescent="0.25">
      <c r="A31" s="56" t="s">
        <v>102</v>
      </c>
      <c r="B31" s="91">
        <f>ROUND((B30-93120)*0.5+32571.75,2)</f>
        <v>34026.410000000003</v>
      </c>
      <c r="C31" s="295" t="s">
        <v>406</v>
      </c>
      <c r="D31" s="275"/>
      <c r="E31" s="11"/>
      <c r="F31" s="11"/>
    </row>
    <row r="32" spans="1:6" ht="22" customHeight="1" x14ac:dyDescent="0.25">
      <c r="A32" s="56" t="s">
        <v>104</v>
      </c>
      <c r="B32" s="91">
        <f>ROUND((B13-620)*0.06,2)</f>
        <v>894.01</v>
      </c>
      <c r="C32" s="274" t="s">
        <v>105</v>
      </c>
      <c r="D32" s="275"/>
      <c r="E32" s="11"/>
      <c r="F32" s="11"/>
    </row>
    <row r="33" spans="1:8" ht="22" customHeight="1" x14ac:dyDescent="0.2">
      <c r="A33" s="86" t="s">
        <v>382</v>
      </c>
      <c r="B33" s="87">
        <f>421+'2023'!B16</f>
        <v>442.33</v>
      </c>
      <c r="C33" s="64"/>
      <c r="D33" s="11"/>
      <c r="E33" s="11"/>
      <c r="F33" s="11"/>
    </row>
    <row r="34" spans="1:8" ht="22" customHeight="1" x14ac:dyDescent="0.2">
      <c r="A34" s="72"/>
      <c r="B34" s="153"/>
      <c r="C34" s="11"/>
      <c r="D34" s="11"/>
      <c r="E34" s="11"/>
      <c r="F34" s="11"/>
    </row>
    <row r="35" spans="1:8" ht="22" customHeight="1" x14ac:dyDescent="0.25">
      <c r="A35" s="56" t="s">
        <v>107</v>
      </c>
      <c r="B35" s="91">
        <f>B31+B32-B33</f>
        <v>34478.090000000004</v>
      </c>
      <c r="C35" s="76"/>
      <c r="D35" s="11"/>
      <c r="E35" s="11"/>
      <c r="F35" s="11"/>
    </row>
    <row r="36" spans="1:8" ht="22" customHeight="1" x14ac:dyDescent="0.2">
      <c r="A36" s="86" t="s">
        <v>175</v>
      </c>
      <c r="B36" s="87">
        <f>B18</f>
        <v>35403</v>
      </c>
      <c r="C36" s="64"/>
      <c r="D36" s="11"/>
      <c r="E36" s="11"/>
      <c r="F36" s="11"/>
    </row>
    <row r="37" spans="1:8" ht="22" customHeight="1" x14ac:dyDescent="0.2">
      <c r="A37" s="57" t="s">
        <v>109</v>
      </c>
      <c r="B37" s="154">
        <v>-0.09</v>
      </c>
      <c r="C37" s="11"/>
      <c r="D37" s="11"/>
      <c r="E37" s="11"/>
      <c r="F37" s="11"/>
    </row>
    <row r="38" spans="1:8" ht="22" customHeight="1" x14ac:dyDescent="0.2">
      <c r="A38" s="53"/>
      <c r="B38" s="155"/>
      <c r="C38" s="11"/>
      <c r="D38" s="11"/>
      <c r="E38" s="11"/>
      <c r="F38" s="11"/>
    </row>
    <row r="39" spans="1:8" ht="22" customHeight="1" x14ac:dyDescent="0.25">
      <c r="A39" s="56" t="s">
        <v>176</v>
      </c>
      <c r="B39" s="91">
        <f>B35-B36+B37</f>
        <v>-924.99999999999625</v>
      </c>
      <c r="C39" s="76"/>
      <c r="D39" s="11"/>
      <c r="E39" s="11"/>
      <c r="F39" s="11"/>
    </row>
    <row r="40" spans="1:8" ht="22" customHeight="1" x14ac:dyDescent="0.2">
      <c r="A40" s="86" t="s">
        <v>405</v>
      </c>
      <c r="B40" s="87">
        <v>0</v>
      </c>
      <c r="C40" s="64"/>
      <c r="D40" s="11"/>
      <c r="E40" s="11"/>
      <c r="F40" s="11"/>
    </row>
    <row r="41" spans="1:8" ht="22" customHeight="1" x14ac:dyDescent="0.2">
      <c r="A41" s="72"/>
      <c r="B41" s="153"/>
      <c r="C41" s="11"/>
      <c r="D41" s="11"/>
      <c r="E41" s="11"/>
      <c r="F41" s="11"/>
    </row>
    <row r="42" spans="1:8" ht="22" customHeight="1" x14ac:dyDescent="0.3">
      <c r="A42" s="156" t="s">
        <v>112</v>
      </c>
      <c r="B42" s="157">
        <f>B39-B40</f>
        <v>-924.99999999999625</v>
      </c>
      <c r="C42" s="296" t="s">
        <v>407</v>
      </c>
      <c r="D42" s="297"/>
      <c r="E42" s="292" t="s">
        <v>423</v>
      </c>
      <c r="F42" s="293"/>
    </row>
    <row r="43" spans="1:8" ht="22" customHeight="1" x14ac:dyDescent="0.2">
      <c r="A43" s="61"/>
      <c r="B43" s="61"/>
      <c r="C43" s="298" t="s">
        <v>421</v>
      </c>
      <c r="D43" s="289"/>
      <c r="E43" s="253" t="s">
        <v>374</v>
      </c>
      <c r="F43" s="11">
        <f>18133+19500</f>
        <v>37633</v>
      </c>
    </row>
    <row r="44" spans="1:8" ht="22" customHeight="1" x14ac:dyDescent="0.2">
      <c r="A44" s="11"/>
      <c r="B44" s="11"/>
      <c r="C44" s="11"/>
      <c r="D44" s="11"/>
      <c r="E44" s="253" t="s">
        <v>412</v>
      </c>
      <c r="F44" s="258">
        <f>SUM(F46:F51)+SUM(H46:H51)</f>
        <v>90149</v>
      </c>
    </row>
    <row r="45" spans="1:8" ht="22" customHeight="1" x14ac:dyDescent="0.2">
      <c r="A45" s="11"/>
      <c r="B45" s="11"/>
      <c r="C45" s="11"/>
      <c r="D45" s="11"/>
      <c r="E45" s="255" t="s">
        <v>376</v>
      </c>
      <c r="F45" s="259">
        <f>F43+F44</f>
        <v>127782</v>
      </c>
    </row>
    <row r="46" spans="1:8" ht="22" customHeight="1" x14ac:dyDescent="0.25">
      <c r="A46" s="270" t="s">
        <v>426</v>
      </c>
      <c r="B46" s="271"/>
      <c r="C46" s="11"/>
      <c r="D46" s="11"/>
      <c r="E46" s="253" t="s">
        <v>38</v>
      </c>
      <c r="F46" s="258">
        <v>5804</v>
      </c>
      <c r="G46" s="253" t="s">
        <v>44</v>
      </c>
      <c r="H46" s="258">
        <v>6269</v>
      </c>
    </row>
    <row r="47" spans="1:8" ht="22" customHeight="1" x14ac:dyDescent="0.2">
      <c r="A47" s="92" t="s">
        <v>179</v>
      </c>
      <c r="B47" s="66">
        <f>B4</f>
        <v>127762.55</v>
      </c>
      <c r="C47" s="64"/>
      <c r="D47" s="11"/>
      <c r="E47" s="253" t="s">
        <v>39</v>
      </c>
      <c r="F47" s="258">
        <v>5723</v>
      </c>
      <c r="G47" s="253" t="s">
        <v>45</v>
      </c>
      <c r="H47" s="258">
        <v>6182</v>
      </c>
    </row>
    <row r="48" spans="1:8" ht="22" customHeight="1" x14ac:dyDescent="0.2">
      <c r="A48" s="94" t="s">
        <v>115</v>
      </c>
      <c r="B48" s="133">
        <f>B10</f>
        <v>14650.45</v>
      </c>
      <c r="C48" s="64"/>
      <c r="D48" s="11"/>
      <c r="E48" s="253" t="s">
        <v>40</v>
      </c>
      <c r="F48" s="258">
        <v>5614</v>
      </c>
      <c r="G48" s="253" t="s">
        <v>46</v>
      </c>
      <c r="H48" s="258">
        <v>6170</v>
      </c>
    </row>
    <row r="49" spans="1:8" ht="22" customHeight="1" x14ac:dyDescent="0.2">
      <c r="A49" s="94" t="s">
        <v>107</v>
      </c>
      <c r="B49" s="133">
        <f>B35</f>
        <v>34478.090000000004</v>
      </c>
      <c r="C49" s="64"/>
      <c r="D49" s="11"/>
      <c r="E49" s="253" t="s">
        <v>41</v>
      </c>
      <c r="F49" s="258">
        <v>5824</v>
      </c>
      <c r="G49" s="253" t="s">
        <v>411</v>
      </c>
      <c r="H49" s="258">
        <v>11353</v>
      </c>
    </row>
    <row r="50" spans="1:8" ht="22" customHeight="1" x14ac:dyDescent="0.2">
      <c r="A50" s="92" t="s">
        <v>335</v>
      </c>
      <c r="B50" s="66">
        <f>925-'2023'!B21</f>
        <v>885.52</v>
      </c>
      <c r="C50" s="64"/>
      <c r="D50" s="11"/>
      <c r="E50" s="253" t="s">
        <v>42</v>
      </c>
      <c r="F50" s="258">
        <v>6170</v>
      </c>
      <c r="G50" s="253" t="s">
        <v>410</v>
      </c>
      <c r="H50" s="258">
        <v>12340</v>
      </c>
    </row>
    <row r="51" spans="1:8" ht="22" customHeight="1" x14ac:dyDescent="0.2">
      <c r="A51" s="96" t="s">
        <v>377</v>
      </c>
      <c r="B51" s="88"/>
      <c r="C51" s="64"/>
      <c r="D51" s="11"/>
      <c r="E51" s="253" t="s">
        <v>422</v>
      </c>
      <c r="F51" s="258">
        <v>12530</v>
      </c>
      <c r="G51" s="253" t="s">
        <v>49</v>
      </c>
      <c r="H51" s="258">
        <v>6170</v>
      </c>
    </row>
    <row r="52" spans="1:8" ht="22" customHeight="1" x14ac:dyDescent="0.2">
      <c r="A52" s="96"/>
      <c r="B52" s="88"/>
      <c r="C52" s="11"/>
      <c r="D52" s="11"/>
      <c r="E52" s="253"/>
      <c r="F52" s="11"/>
    </row>
    <row r="53" spans="1:8" ht="22" customHeight="1" x14ac:dyDescent="0.3">
      <c r="A53" s="156" t="s">
        <v>117</v>
      </c>
      <c r="B53" s="157">
        <f>B47-B48-B49+B50+B16</f>
        <v>79519.530000000013</v>
      </c>
      <c r="C53" s="76"/>
      <c r="D53" s="11"/>
      <c r="E53" s="254"/>
      <c r="F53" s="11"/>
    </row>
  </sheetData>
  <mergeCells count="8">
    <mergeCell ref="C31:D31"/>
    <mergeCell ref="C32:D32"/>
    <mergeCell ref="E42:F42"/>
    <mergeCell ref="A46:B46"/>
    <mergeCell ref="A1:E2"/>
    <mergeCell ref="A21:E22"/>
    <mergeCell ref="C42:D42"/>
    <mergeCell ref="C43:D43"/>
  </mergeCells>
  <phoneticPr fontId="39" type="noConversion"/>
  <pageMargins left="1" right="1" top="1" bottom="1" header="0.25" footer="0.25"/>
  <pageSetup orientation="portrait" r:id="rId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15F9-6261-4D0C-989B-F6F420F5F9B7}">
  <sheetPr>
    <pageSetUpPr fitToPage="1"/>
  </sheetPr>
  <dimension ref="A1:W34"/>
  <sheetViews>
    <sheetView showGridLines="0" zoomScale="80" zoomScaleNormal="8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43.9</v>
      </c>
      <c r="G8" s="160">
        <f>B9</f>
        <v>74.478000000000009</v>
      </c>
      <c r="H8" s="240">
        <f>B11+B12</f>
        <v>164.29999999999998</v>
      </c>
      <c r="I8" s="11"/>
      <c r="J8" s="11"/>
      <c r="K8" s="11"/>
      <c r="L8" s="11"/>
      <c r="M8" s="11"/>
      <c r="N8" s="11"/>
      <c r="O8" s="11"/>
      <c r="P8" s="11"/>
      <c r="Q8" s="11"/>
      <c r="R8" s="11"/>
      <c r="S8" s="11"/>
      <c r="T8" s="11"/>
      <c r="U8" s="11"/>
      <c r="V8" s="11"/>
      <c r="W8" s="11"/>
    </row>
    <row r="9" spans="1:23" ht="22.25" customHeight="1" x14ac:dyDescent="0.2">
      <c r="A9" s="9" t="s">
        <v>30</v>
      </c>
      <c r="B9" s="100">
        <f>B28</f>
        <v>74.478000000000009</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43.9</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401</v>
      </c>
      <c r="B11" s="100">
        <f>218.4*0.6</f>
        <v>131.04</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402</v>
      </c>
      <c r="B12" s="101">
        <f>33.26</f>
        <v>33.26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t="s">
        <v>404</v>
      </c>
      <c r="F13" s="136"/>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530.678</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21.33</f>
        <v>21.33</v>
      </c>
      <c r="C16" s="243" t="s">
        <v>414</v>
      </c>
      <c r="D16" s="11"/>
      <c r="E16" s="5" t="s">
        <v>403</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410.52</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12.24</v>
      </c>
      <c r="D26" s="100">
        <v>9.9</v>
      </c>
      <c r="E26" s="100">
        <v>9.9</v>
      </c>
      <c r="F26" s="100">
        <v>9.9</v>
      </c>
      <c r="G26" s="100">
        <v>12.67</v>
      </c>
      <c r="H26" s="100">
        <v>9.9</v>
      </c>
      <c r="I26" s="100">
        <v>10.119999999999999</v>
      </c>
      <c r="J26" s="100">
        <v>9.9</v>
      </c>
      <c r="K26" s="100">
        <v>9.9</v>
      </c>
      <c r="L26" s="100">
        <v>9.9</v>
      </c>
      <c r="M26" s="100">
        <v>9.9</v>
      </c>
      <c r="N26" s="11"/>
      <c r="O26" s="11"/>
      <c r="P26" s="11"/>
      <c r="Q26" s="11"/>
      <c r="R26" s="11"/>
      <c r="S26" s="11"/>
      <c r="T26" s="11"/>
      <c r="U26" s="11"/>
      <c r="V26" s="11"/>
      <c r="W26" s="11"/>
    </row>
    <row r="27" spans="1:23" ht="22.25" customHeight="1" x14ac:dyDescent="0.2">
      <c r="A27" s="9" t="s">
        <v>59</v>
      </c>
      <c r="B27" s="110">
        <f>SUM(B26:M26)</f>
        <v>124.13000000000002</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74.478000000000009</v>
      </c>
      <c r="C28" s="112"/>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408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409</v>
      </c>
      <c r="B32" s="100">
        <v>22.7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43.9</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51719-54A0-F142-A24C-859E119AF1E8}">
  <sheetPr>
    <pageSetUpPr fitToPage="1"/>
  </sheetPr>
  <dimension ref="A1:H53"/>
  <sheetViews>
    <sheetView showGridLines="0" topLeftCell="A12" zoomScale="110" zoomScaleNormal="110" workbookViewId="0">
      <selection activeCell="D38" sqref="D38"/>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8.75" style="5" customWidth="1"/>
    <col min="7" max="7" width="30.5" style="5" customWidth="1"/>
    <col min="8" max="8" width="21.125" style="5" customWidth="1"/>
    <col min="9" max="16384" width="12.25" style="5"/>
  </cols>
  <sheetData>
    <row r="1" spans="1:6" ht="22" customHeight="1" x14ac:dyDescent="0.2">
      <c r="A1" s="288" t="s">
        <v>424</v>
      </c>
      <c r="B1" s="288"/>
      <c r="C1" s="288"/>
      <c r="D1" s="288"/>
      <c r="E1" s="288"/>
      <c r="F1" s="122"/>
    </row>
    <row r="2" spans="1:6" ht="22" customHeight="1" x14ac:dyDescent="0.2">
      <c r="A2" s="291"/>
      <c r="B2" s="291"/>
      <c r="C2" s="291"/>
      <c r="D2" s="291"/>
      <c r="E2" s="291"/>
      <c r="F2" s="122"/>
    </row>
    <row r="3" spans="1:6" ht="22" customHeight="1" x14ac:dyDescent="0.2">
      <c r="A3" s="39"/>
      <c r="B3" s="39"/>
      <c r="C3" s="40" t="s">
        <v>76</v>
      </c>
      <c r="D3" s="39"/>
      <c r="E3" s="39"/>
      <c r="F3" s="11"/>
    </row>
    <row r="4" spans="1:6" ht="22" customHeight="1" x14ac:dyDescent="0.2">
      <c r="A4" s="41" t="s">
        <v>212</v>
      </c>
      <c r="B4" s="42">
        <v>158076.70000000001</v>
      </c>
      <c r="C4" s="43">
        <v>210</v>
      </c>
      <c r="D4" s="11"/>
      <c r="E4" s="11"/>
      <c r="F4" s="11"/>
    </row>
    <row r="5" spans="1:6" ht="22" customHeight="1" x14ac:dyDescent="0.2">
      <c r="A5" s="124" t="s">
        <v>213</v>
      </c>
      <c r="B5" s="45">
        <f>B4-B6</f>
        <v>135609.98000000001</v>
      </c>
      <c r="C5" s="46"/>
      <c r="D5" s="11"/>
      <c r="E5" s="11"/>
      <c r="F5" s="123"/>
    </row>
    <row r="6" spans="1:6" ht="22" customHeight="1" x14ac:dyDescent="0.2">
      <c r="A6" s="244" t="s">
        <v>359</v>
      </c>
      <c r="B6" s="48">
        <v>22466.720000000001</v>
      </c>
      <c r="C6" s="49">
        <v>220</v>
      </c>
      <c r="D6" s="11"/>
      <c r="E6" s="11"/>
      <c r="F6" s="123"/>
    </row>
    <row r="7" spans="1:6" ht="22" customHeight="1" x14ac:dyDescent="0.2">
      <c r="A7" s="50"/>
      <c r="B7" s="51"/>
      <c r="C7" s="52"/>
      <c r="D7" s="53"/>
      <c r="E7" s="53"/>
      <c r="F7" s="11"/>
    </row>
    <row r="8" spans="1:6" ht="22" customHeight="1" x14ac:dyDescent="0.25">
      <c r="A8" s="124" t="s">
        <v>214</v>
      </c>
      <c r="B8" s="45">
        <v>13154.28</v>
      </c>
      <c r="C8" s="54">
        <v>230</v>
      </c>
      <c r="D8" s="55"/>
      <c r="E8" s="56"/>
      <c r="F8" s="126"/>
    </row>
    <row r="9" spans="1:6" ht="22" customHeight="1" x14ac:dyDescent="0.25">
      <c r="A9" s="125" t="s">
        <v>82</v>
      </c>
      <c r="B9" s="48">
        <v>2068.88</v>
      </c>
      <c r="C9" s="54">
        <v>225</v>
      </c>
      <c r="D9" s="55"/>
      <c r="E9" s="56"/>
      <c r="F9" s="126"/>
    </row>
    <row r="10" spans="1:6" ht="22" customHeight="1" x14ac:dyDescent="0.25">
      <c r="A10" s="57" t="s">
        <v>84</v>
      </c>
      <c r="B10" s="58">
        <f>B8+B9</f>
        <v>15223.16</v>
      </c>
      <c r="C10" s="59"/>
      <c r="D10" s="55"/>
      <c r="E10" s="56"/>
      <c r="F10" s="76"/>
    </row>
    <row r="11" spans="1:6" ht="22" customHeight="1" x14ac:dyDescent="0.2">
      <c r="A11" s="60"/>
      <c r="B11" s="42"/>
      <c r="C11" s="52"/>
      <c r="D11" s="61"/>
      <c r="E11" s="61"/>
      <c r="F11" s="11"/>
    </row>
    <row r="12" spans="1:6" ht="22" customHeight="1" x14ac:dyDescent="0.2">
      <c r="A12" s="124" t="s">
        <v>215</v>
      </c>
      <c r="B12" s="45">
        <f>B5-B8-B16-B15</f>
        <v>120269.70000000001</v>
      </c>
      <c r="C12" s="49">
        <v>245</v>
      </c>
      <c r="D12" s="243" t="s">
        <v>399</v>
      </c>
      <c r="E12" s="11"/>
      <c r="F12" s="123"/>
    </row>
    <row r="13" spans="1:6" ht="22" customHeight="1" x14ac:dyDescent="0.2">
      <c r="A13" s="125" t="s">
        <v>88</v>
      </c>
      <c r="B13" s="48">
        <f>B6-B9</f>
        <v>20397.84</v>
      </c>
      <c r="C13" s="46"/>
      <c r="D13" s="243"/>
      <c r="E13" s="11"/>
      <c r="F13" s="123"/>
    </row>
    <row r="14" spans="1:6" ht="22" customHeight="1" x14ac:dyDescent="0.2">
      <c r="A14" s="50"/>
      <c r="B14" s="51"/>
      <c r="C14" s="11"/>
      <c r="D14" s="11"/>
      <c r="E14" s="11"/>
      <c r="F14" s="11"/>
    </row>
    <row r="15" spans="1:6" ht="22" customHeight="1" x14ac:dyDescent="0.2">
      <c r="A15" s="245" t="s">
        <v>362</v>
      </c>
      <c r="B15" s="63">
        <v>2186</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45878.89</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0" t="s">
        <v>425</v>
      </c>
      <c r="B21" s="285"/>
      <c r="C21" s="285"/>
      <c r="D21" s="285"/>
      <c r="E21" s="285"/>
      <c r="F21" s="76"/>
    </row>
    <row r="22" spans="1:6" ht="22" customHeight="1" x14ac:dyDescent="0.2">
      <c r="A22" s="285"/>
      <c r="B22" s="285"/>
      <c r="C22" s="285"/>
      <c r="D22" s="285"/>
      <c r="E22" s="285"/>
      <c r="F22" s="76"/>
    </row>
    <row r="23" spans="1:6" ht="22" customHeight="1" x14ac:dyDescent="0.2">
      <c r="A23" s="67" t="s">
        <v>95</v>
      </c>
      <c r="B23" s="68">
        <f>'2024'!B18</f>
        <v>0</v>
      </c>
      <c r="C23" s="247"/>
      <c r="D23" s="61"/>
      <c r="E23" s="61"/>
      <c r="F23" s="11"/>
    </row>
    <row r="24" spans="1:6" ht="22" customHeight="1" x14ac:dyDescent="0.2">
      <c r="A24" s="44" t="s">
        <v>172</v>
      </c>
      <c r="B24" s="45">
        <f>B12</f>
        <v>120269.70000000001</v>
      </c>
      <c r="C24" s="64"/>
      <c r="D24" s="11"/>
      <c r="E24" s="11"/>
      <c r="F24" s="11"/>
    </row>
    <row r="25" spans="1:6" ht="22" customHeight="1" x14ac:dyDescent="0.25">
      <c r="A25" s="129" t="s">
        <v>97</v>
      </c>
      <c r="B25" s="130">
        <f>IF(B23&gt;730,B23,0)+B24</f>
        <v>120269.70000000001</v>
      </c>
      <c r="C25" s="260"/>
      <c r="D25" s="11"/>
      <c r="E25" s="11"/>
      <c r="F25" s="11"/>
    </row>
    <row r="26" spans="1:6" ht="22" customHeight="1" x14ac:dyDescent="0.2">
      <c r="A26" s="72"/>
      <c r="B26" s="88"/>
      <c r="C26" s="11"/>
      <c r="D26" s="11"/>
      <c r="E26" s="11"/>
      <c r="F26" s="11"/>
    </row>
    <row r="27" spans="1:6" ht="22" customHeight="1" x14ac:dyDescent="0.2">
      <c r="A27" s="74" t="s">
        <v>98</v>
      </c>
      <c r="B27" s="77"/>
      <c r="C27" s="76"/>
      <c r="D27" s="11"/>
      <c r="E27" s="11"/>
      <c r="F27" s="11"/>
    </row>
    <row r="28" spans="1:6" ht="22" customHeight="1" x14ac:dyDescent="0.25">
      <c r="A28" s="79" t="s">
        <v>383</v>
      </c>
      <c r="B28" s="150">
        <f>'2024'!B14</f>
        <v>501.48</v>
      </c>
      <c r="D28" s="11"/>
      <c r="E28" s="11"/>
      <c r="F28" s="11"/>
    </row>
    <row r="29" spans="1:6" ht="22" customHeight="1" x14ac:dyDescent="0.2">
      <c r="A29" s="81"/>
      <c r="B29" s="151"/>
      <c r="C29" s="11"/>
      <c r="D29" s="11"/>
      <c r="E29" s="11"/>
      <c r="F29" s="11"/>
    </row>
    <row r="30" spans="1:6" ht="22" customHeight="1" x14ac:dyDescent="0.25">
      <c r="A30" s="83" t="s">
        <v>334</v>
      </c>
      <c r="B30" s="152">
        <f>B25-B28</f>
        <v>119768.22000000002</v>
      </c>
      <c r="C30" s="64"/>
      <c r="D30" s="11"/>
      <c r="E30" s="11"/>
      <c r="F30" s="11"/>
    </row>
    <row r="31" spans="1:6" ht="22" customHeight="1" x14ac:dyDescent="0.25">
      <c r="A31" s="56" t="s">
        <v>102</v>
      </c>
      <c r="B31" s="91">
        <f>ROUND((B30-99266)*0.5+34222.42,2)</f>
        <v>44473.53</v>
      </c>
      <c r="C31" s="295" t="s">
        <v>406</v>
      </c>
      <c r="D31" s="275"/>
      <c r="E31" s="11"/>
      <c r="F31" s="11"/>
    </row>
    <row r="32" spans="1:6" ht="22" customHeight="1" x14ac:dyDescent="0.25">
      <c r="A32" s="56" t="s">
        <v>104</v>
      </c>
      <c r="B32" s="91">
        <f>ROUND((B13-620)*0.06,2)</f>
        <v>1186.67</v>
      </c>
      <c r="C32" s="274" t="s">
        <v>105</v>
      </c>
      <c r="D32" s="275"/>
      <c r="E32" s="11"/>
      <c r="F32" s="11"/>
    </row>
    <row r="33" spans="1:8" ht="22" customHeight="1" x14ac:dyDescent="0.2">
      <c r="A33" s="86" t="s">
        <v>382</v>
      </c>
      <c r="B33" s="87">
        <f>421+'2024'!B16</f>
        <v>453</v>
      </c>
      <c r="C33" s="64"/>
      <c r="D33" s="11"/>
      <c r="E33" s="11"/>
      <c r="F33" s="11"/>
    </row>
    <row r="34" spans="1:8" ht="22" customHeight="1" x14ac:dyDescent="0.2">
      <c r="A34" s="72"/>
      <c r="B34" s="153"/>
      <c r="C34" s="11"/>
      <c r="D34" s="11"/>
      <c r="E34" s="11"/>
      <c r="F34" s="11"/>
    </row>
    <row r="35" spans="1:8" ht="22" customHeight="1" x14ac:dyDescent="0.25">
      <c r="A35" s="56" t="s">
        <v>107</v>
      </c>
      <c r="B35" s="91">
        <f>B31+B32-B33</f>
        <v>45207.199999999997</v>
      </c>
      <c r="C35" s="76"/>
      <c r="D35" s="11"/>
      <c r="E35" s="11"/>
      <c r="F35" s="11"/>
    </row>
    <row r="36" spans="1:8" ht="22" customHeight="1" x14ac:dyDescent="0.2">
      <c r="A36" s="86" t="s">
        <v>175</v>
      </c>
      <c r="B36" s="87">
        <f>B18</f>
        <v>45878.89</v>
      </c>
      <c r="C36" s="64"/>
      <c r="D36" s="11"/>
      <c r="E36" s="11"/>
      <c r="F36" s="11"/>
    </row>
    <row r="37" spans="1:8" ht="22" customHeight="1" x14ac:dyDescent="0.2">
      <c r="A37" s="57" t="s">
        <v>109</v>
      </c>
      <c r="B37" s="154">
        <v>-0.09</v>
      </c>
      <c r="C37" s="11"/>
      <c r="D37" s="11"/>
      <c r="E37" s="11"/>
      <c r="F37" s="11"/>
    </row>
    <row r="38" spans="1:8" ht="22" customHeight="1" x14ac:dyDescent="0.2">
      <c r="A38" s="53"/>
      <c r="B38" s="155"/>
      <c r="C38" s="11"/>
      <c r="D38" s="11"/>
      <c r="E38" s="11"/>
      <c r="F38" s="11"/>
    </row>
    <row r="39" spans="1:8" ht="22" customHeight="1" x14ac:dyDescent="0.25">
      <c r="A39" s="56" t="s">
        <v>176</v>
      </c>
      <c r="B39" s="91">
        <f>B35-B36+B37</f>
        <v>-671.78000000000236</v>
      </c>
      <c r="C39" s="76"/>
      <c r="D39" s="11"/>
      <c r="E39" s="11"/>
      <c r="F39" s="11"/>
    </row>
    <row r="40" spans="1:8" ht="22" customHeight="1" x14ac:dyDescent="0.2">
      <c r="A40" s="86" t="s">
        <v>428</v>
      </c>
      <c r="B40" s="87">
        <v>0</v>
      </c>
      <c r="C40" s="64"/>
      <c r="D40" s="11"/>
      <c r="E40" s="11"/>
      <c r="F40" s="11"/>
    </row>
    <row r="41" spans="1:8" ht="22" customHeight="1" x14ac:dyDescent="0.2">
      <c r="A41" s="72"/>
      <c r="B41" s="153"/>
      <c r="C41" s="11"/>
      <c r="D41" s="11"/>
      <c r="E41" s="11"/>
      <c r="F41" s="11"/>
    </row>
    <row r="42" spans="1:8" ht="22" customHeight="1" x14ac:dyDescent="0.3">
      <c r="A42" s="156" t="s">
        <v>112</v>
      </c>
      <c r="B42" s="157">
        <f>B39-B40</f>
        <v>-671.78000000000236</v>
      </c>
      <c r="C42" s="296" t="s">
        <v>427</v>
      </c>
      <c r="D42" s="297"/>
      <c r="E42" s="292" t="s">
        <v>423</v>
      </c>
      <c r="F42" s="293"/>
    </row>
    <row r="43" spans="1:8" ht="22" customHeight="1" x14ac:dyDescent="0.2">
      <c r="A43" s="61"/>
      <c r="B43" s="61"/>
      <c r="C43" s="298"/>
      <c r="D43" s="289"/>
      <c r="E43" s="253" t="s">
        <v>374</v>
      </c>
      <c r="F43" s="11">
        <f>20795.83+24551.94+4502.42+6105.58</f>
        <v>55955.770000000004</v>
      </c>
    </row>
    <row r="44" spans="1:8" ht="22" customHeight="1" x14ac:dyDescent="0.2">
      <c r="A44" s="11"/>
      <c r="B44" s="11"/>
      <c r="C44" s="11"/>
      <c r="D44" s="11"/>
      <c r="E44" s="253" t="s">
        <v>412</v>
      </c>
      <c r="F44" s="258">
        <f>SUM(F46:F51)+SUM(H46:H51)</f>
        <v>102751.8</v>
      </c>
    </row>
    <row r="45" spans="1:8" ht="22" customHeight="1" x14ac:dyDescent="0.2">
      <c r="A45" s="11"/>
      <c r="B45" s="11"/>
      <c r="C45" s="11"/>
      <c r="D45" s="11"/>
      <c r="E45" s="255" t="s">
        <v>376</v>
      </c>
      <c r="F45" s="259">
        <f>F43+F44</f>
        <v>158707.57</v>
      </c>
    </row>
    <row r="46" spans="1:8" ht="22" customHeight="1" x14ac:dyDescent="0.25">
      <c r="A46" s="270" t="s">
        <v>426</v>
      </c>
      <c r="B46" s="271"/>
      <c r="C46" s="11"/>
      <c r="D46" s="11"/>
      <c r="E46" s="253" t="s">
        <v>38</v>
      </c>
      <c r="F46" s="258">
        <v>6342.13</v>
      </c>
      <c r="G46" s="253" t="s">
        <v>44</v>
      </c>
      <c r="H46" s="258">
        <v>6681.5</v>
      </c>
    </row>
    <row r="47" spans="1:8" ht="22" customHeight="1" x14ac:dyDescent="0.2">
      <c r="A47" s="92" t="s">
        <v>179</v>
      </c>
      <c r="B47" s="66">
        <f>B4</f>
        <v>158076.70000000001</v>
      </c>
      <c r="C47" s="64"/>
      <c r="D47" s="11"/>
      <c r="E47" s="253" t="s">
        <v>39</v>
      </c>
      <c r="F47" s="258">
        <v>6454.29</v>
      </c>
      <c r="G47" s="253" t="s">
        <v>45</v>
      </c>
      <c r="H47" s="258">
        <v>7140.8</v>
      </c>
    </row>
    <row r="48" spans="1:8" ht="22" customHeight="1" x14ac:dyDescent="0.2">
      <c r="A48" s="94" t="s">
        <v>115</v>
      </c>
      <c r="B48" s="133">
        <f>B10</f>
        <v>15223.16</v>
      </c>
      <c r="C48" s="64"/>
      <c r="D48" s="11"/>
      <c r="E48" s="253" t="s">
        <v>40</v>
      </c>
      <c r="F48" s="258">
        <v>6379.64</v>
      </c>
      <c r="G48" s="253" t="s">
        <v>46</v>
      </c>
      <c r="H48" s="258">
        <v>6773.36</v>
      </c>
    </row>
    <row r="49" spans="1:8" ht="22" customHeight="1" x14ac:dyDescent="0.2">
      <c r="A49" s="94" t="s">
        <v>107</v>
      </c>
      <c r="B49" s="133">
        <f>B35</f>
        <v>45207.199999999997</v>
      </c>
      <c r="C49" s="64"/>
      <c r="D49" s="11"/>
      <c r="E49" s="253" t="s">
        <v>41</v>
      </c>
      <c r="F49" s="258">
        <v>6362.83</v>
      </c>
      <c r="G49" s="253" t="s">
        <v>411</v>
      </c>
      <c r="H49" s="258">
        <v>15845.98</v>
      </c>
    </row>
    <row r="50" spans="1:8" ht="22" customHeight="1" x14ac:dyDescent="0.2">
      <c r="A50" s="92" t="s">
        <v>335</v>
      </c>
      <c r="B50" s="66">
        <f>925-'2023'!B21</f>
        <v>885.52</v>
      </c>
      <c r="C50" s="64"/>
      <c r="D50" s="11"/>
      <c r="E50" s="253" t="s">
        <v>42</v>
      </c>
      <c r="F50" s="258">
        <v>6542.13</v>
      </c>
      <c r="G50" s="253" t="s">
        <v>410</v>
      </c>
      <c r="H50" s="258">
        <v>13546.72</v>
      </c>
    </row>
    <row r="51" spans="1:8" ht="22" customHeight="1" x14ac:dyDescent="0.2">
      <c r="A51" s="96" t="s">
        <v>377</v>
      </c>
      <c r="B51" s="88"/>
      <c r="C51" s="64"/>
      <c r="D51" s="11"/>
      <c r="E51" s="253" t="s">
        <v>422</v>
      </c>
      <c r="F51" s="258">
        <v>13702.37</v>
      </c>
      <c r="G51" s="253" t="s">
        <v>49</v>
      </c>
      <c r="H51" s="258">
        <v>6980.05</v>
      </c>
    </row>
    <row r="52" spans="1:8" ht="22" customHeight="1" x14ac:dyDescent="0.2">
      <c r="A52" s="96"/>
      <c r="B52" s="88"/>
      <c r="C52" s="11"/>
      <c r="D52" s="11"/>
      <c r="E52" s="253"/>
      <c r="F52" s="11"/>
    </row>
    <row r="53" spans="1:8" ht="22" customHeight="1" x14ac:dyDescent="0.3">
      <c r="A53" s="156" t="s">
        <v>117</v>
      </c>
      <c r="B53" s="157">
        <f>B47-B48-B49+B50+B16</f>
        <v>98531.860000000015</v>
      </c>
      <c r="C53" s="76"/>
      <c r="D53" s="11"/>
      <c r="E53" s="254"/>
      <c r="F53" s="11"/>
    </row>
  </sheetData>
  <mergeCells count="8">
    <mergeCell ref="C43:D43"/>
    <mergeCell ref="A46:B46"/>
    <mergeCell ref="A1:E2"/>
    <mergeCell ref="A21:E22"/>
    <mergeCell ref="C31:D31"/>
    <mergeCell ref="C32:D32"/>
    <mergeCell ref="C42:D42"/>
    <mergeCell ref="E42:F42"/>
  </mergeCells>
  <pageMargins left="1" right="1" top="1" bottom="1" header="0.25" footer="0.25"/>
  <pageSetup orientation="portrait" r:id="rId1"/>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2099-42BD-F041-8E3E-6D5DEA47325B}">
  <sheetPr>
    <pageSetUpPr fitToPage="1"/>
  </sheetPr>
  <dimension ref="A1:W34"/>
  <sheetViews>
    <sheetView showGridLines="0" tabSelected="1" zoomScale="110" zoomScaleNormal="110" workbookViewId="0">
      <selection activeCell="B22" sqref="B22"/>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47.4</v>
      </c>
      <c r="G8" s="160">
        <f>B9</f>
        <v>82.080000000000027</v>
      </c>
      <c r="H8" s="240">
        <f>B11+B12</f>
        <v>0</v>
      </c>
      <c r="I8" s="11"/>
      <c r="J8" s="11"/>
      <c r="K8" s="11"/>
      <c r="L8" s="11"/>
      <c r="M8" s="11"/>
      <c r="N8" s="11"/>
      <c r="O8" s="11"/>
      <c r="P8" s="11"/>
      <c r="Q8" s="11"/>
      <c r="R8" s="11"/>
      <c r="S8" s="11"/>
      <c r="T8" s="11"/>
      <c r="U8" s="11"/>
      <c r="V8" s="11"/>
      <c r="W8" s="11"/>
    </row>
    <row r="9" spans="1:23" ht="22.25" customHeight="1" x14ac:dyDescent="0.2">
      <c r="A9" s="9" t="s">
        <v>30</v>
      </c>
      <c r="B9" s="100">
        <f>B28</f>
        <v>82.080000000000027</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47.4</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401</v>
      </c>
      <c r="B11" s="100">
        <v>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402</v>
      </c>
      <c r="B12" s="101">
        <v>0</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372</f>
        <v>372</v>
      </c>
      <c r="C13" s="243" t="s">
        <v>380</v>
      </c>
      <c r="D13" s="11"/>
      <c r="E13" s="253" t="s">
        <v>431</v>
      </c>
      <c r="F13" s="136"/>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501.48</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2*16</f>
        <v>32</v>
      </c>
      <c r="C16" s="243" t="s">
        <v>414</v>
      </c>
      <c r="D16" s="11"/>
      <c r="E16" s="319" t="s">
        <v>432</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0</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42.48</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9.9</v>
      </c>
      <c r="D26" s="100">
        <v>9.9</v>
      </c>
      <c r="E26" s="100">
        <v>11.9</v>
      </c>
      <c r="F26" s="100">
        <v>11.9</v>
      </c>
      <c r="G26" s="100">
        <v>11.9</v>
      </c>
      <c r="H26" s="100">
        <v>11.9</v>
      </c>
      <c r="I26" s="100">
        <v>11.9</v>
      </c>
      <c r="J26" s="100">
        <v>11.9</v>
      </c>
      <c r="K26" s="100">
        <v>11.9</v>
      </c>
      <c r="L26" s="100">
        <v>11.9</v>
      </c>
      <c r="M26" s="100">
        <v>11.9</v>
      </c>
      <c r="N26" s="11"/>
      <c r="O26" s="11"/>
      <c r="P26" s="11"/>
      <c r="Q26" s="11"/>
      <c r="R26" s="11"/>
      <c r="S26" s="11"/>
      <c r="T26" s="11"/>
      <c r="U26" s="11"/>
      <c r="V26" s="11"/>
      <c r="W26" s="11"/>
    </row>
    <row r="27" spans="1:23" ht="22.25" customHeight="1" x14ac:dyDescent="0.2">
      <c r="A27" s="9" t="s">
        <v>59</v>
      </c>
      <c r="B27" s="110">
        <f>SUM(B26:M26)</f>
        <v>136.80000000000004</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82.080000000000027</v>
      </c>
      <c r="C28" s="112"/>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429</v>
      </c>
      <c r="B31" s="100">
        <v>22.7</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430</v>
      </c>
      <c r="B32" s="100">
        <v>24.7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47.4</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7"/>
  <sheetViews>
    <sheetView showGridLines="0" topLeftCell="A38" zoomScale="140" zoomScaleNormal="140" workbookViewId="0">
      <selection activeCell="A131" sqref="A131"/>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99" t="s">
        <v>232</v>
      </c>
      <c r="B1" s="300"/>
      <c r="C1" s="301"/>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02" t="s">
        <v>249</v>
      </c>
      <c r="B11" s="303"/>
      <c r="C11" s="301"/>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02" t="s">
        <v>260</v>
      </c>
      <c r="B23" s="303"/>
      <c r="C23" s="301"/>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04" t="s">
        <v>276</v>
      </c>
      <c r="B40" s="305"/>
      <c r="C40" s="306"/>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311"/>
      <c r="E46" s="275"/>
      <c r="F46" s="275"/>
      <c r="G46" s="275"/>
      <c r="H46" s="275"/>
      <c r="I46" s="275"/>
      <c r="J46" s="275"/>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312" t="s">
        <v>288</v>
      </c>
      <c r="B55" s="313"/>
      <c r="C55" s="314"/>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315" t="s">
        <v>304</v>
      </c>
      <c r="B76" s="316"/>
      <c r="C76" s="64"/>
      <c r="D76" s="11"/>
      <c r="E76" s="11"/>
      <c r="F76" s="11"/>
      <c r="G76" s="11"/>
      <c r="H76" s="11"/>
      <c r="I76" s="11"/>
      <c r="J76" s="11"/>
    </row>
    <row r="77" spans="1:10" ht="22.25" customHeight="1" x14ac:dyDescent="0.2">
      <c r="A77" s="317"/>
      <c r="B77" s="316"/>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7" t="s">
        <v>307</v>
      </c>
      <c r="B80" s="318"/>
      <c r="C80" s="64"/>
      <c r="D80" s="11"/>
      <c r="E80" s="11"/>
      <c r="F80" s="11"/>
      <c r="G80" s="11"/>
      <c r="H80" s="11"/>
      <c r="I80" s="11"/>
      <c r="J80" s="11"/>
    </row>
    <row r="81" spans="1:10" ht="22.25" customHeight="1" x14ac:dyDescent="0.2">
      <c r="A81" s="317"/>
      <c r="B81" s="316"/>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7" t="s">
        <v>322</v>
      </c>
      <c r="B96" s="308"/>
      <c r="C96" s="11"/>
      <c r="D96" s="11"/>
      <c r="E96" s="11"/>
      <c r="F96" s="11"/>
      <c r="G96" s="11"/>
      <c r="H96" s="11"/>
      <c r="I96" s="11"/>
      <c r="J96" s="11"/>
    </row>
    <row r="97" spans="1:10" ht="22.25" customHeight="1" x14ac:dyDescent="0.2">
      <c r="A97" s="309"/>
      <c r="B97" s="286"/>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310" t="s">
        <v>352</v>
      </c>
      <c r="B109" s="308"/>
    </row>
    <row r="110" spans="1:10" ht="20" customHeight="1" x14ac:dyDescent="0.2">
      <c r="A110" s="309"/>
      <c r="B110" s="286"/>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388</v>
      </c>
    </row>
    <row r="116" spans="1:2" ht="20" customHeight="1" x14ac:dyDescent="0.3">
      <c r="A116" s="230" t="s">
        <v>387</v>
      </c>
      <c r="B116" s="11"/>
    </row>
    <row r="117" spans="1:2" ht="20" customHeight="1" x14ac:dyDescent="0.2">
      <c r="A117" s="243" t="s">
        <v>389</v>
      </c>
    </row>
    <row r="118" spans="1:2" ht="20" customHeight="1" x14ac:dyDescent="0.3">
      <c r="A118" s="230" t="s">
        <v>391</v>
      </c>
    </row>
    <row r="119" spans="1:2" ht="20" customHeight="1" x14ac:dyDescent="0.2">
      <c r="A119" s="243" t="s">
        <v>392</v>
      </c>
    </row>
    <row r="120" spans="1:2" ht="20" customHeight="1" x14ac:dyDescent="0.3">
      <c r="A120" s="230" t="s">
        <v>393</v>
      </c>
    </row>
    <row r="121" spans="1:2" ht="20" customHeight="1" x14ac:dyDescent="0.2">
      <c r="A121" s="243" t="s">
        <v>394</v>
      </c>
    </row>
    <row r="122" spans="1:2" ht="20" customHeight="1" x14ac:dyDescent="0.3">
      <c r="A122" s="230" t="s">
        <v>395</v>
      </c>
    </row>
    <row r="123" spans="1:2" ht="20" customHeight="1" x14ac:dyDescent="0.2">
      <c r="A123" s="243" t="s">
        <v>396</v>
      </c>
    </row>
    <row r="124" spans="1:2" ht="20" customHeight="1" x14ac:dyDescent="0.2">
      <c r="A124" s="307" t="s">
        <v>416</v>
      </c>
      <c r="B124" s="308"/>
    </row>
    <row r="125" spans="1:2" ht="20" customHeight="1" x14ac:dyDescent="0.2">
      <c r="A125" s="309"/>
      <c r="B125" s="286"/>
    </row>
    <row r="126" spans="1:2" ht="20" customHeight="1" x14ac:dyDescent="0.3">
      <c r="A126" s="230" t="s">
        <v>417</v>
      </c>
      <c r="B126" s="76" t="s">
        <v>418</v>
      </c>
    </row>
    <row r="127" spans="1:2" ht="20" customHeight="1" x14ac:dyDescent="0.3">
      <c r="A127" s="230" t="s">
        <v>419</v>
      </c>
      <c r="B127" s="76" t="s">
        <v>420</v>
      </c>
    </row>
  </sheetData>
  <mergeCells count="11">
    <mergeCell ref="A124:B125"/>
    <mergeCell ref="A109:B110"/>
    <mergeCell ref="D46:J46"/>
    <mergeCell ref="A55:C55"/>
    <mergeCell ref="A76:B77"/>
    <mergeCell ref="A80:B81"/>
    <mergeCell ref="A1:C1"/>
    <mergeCell ref="A11:C11"/>
    <mergeCell ref="A23:C23"/>
    <mergeCell ref="A40:C40"/>
    <mergeCell ref="A96:B97"/>
  </mergeCells>
  <phoneticPr fontId="39" type="noConversion"/>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65" t="s">
        <v>75</v>
      </c>
      <c r="B1" s="266"/>
      <c r="C1" s="266"/>
      <c r="D1" s="266"/>
      <c r="E1" s="267"/>
    </row>
    <row r="2" spans="1:5" ht="22.25" customHeight="1" x14ac:dyDescent="0.2">
      <c r="A2" s="276"/>
      <c r="B2" s="277"/>
      <c r="C2" s="277"/>
      <c r="D2" s="277"/>
      <c r="E2" s="278"/>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72" t="s">
        <v>91</v>
      </c>
      <c r="D15" s="273"/>
      <c r="E15" s="273"/>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8" t="s">
        <v>94</v>
      </c>
      <c r="B21" s="269"/>
      <c r="C21" s="269"/>
      <c r="D21" s="269"/>
      <c r="E21" s="269"/>
    </row>
    <row r="22" spans="1:5" ht="22.25" customHeight="1" x14ac:dyDescent="0.2">
      <c r="A22" s="269"/>
      <c r="B22" s="269"/>
      <c r="C22" s="269"/>
      <c r="D22" s="269"/>
      <c r="E22" s="269"/>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74" t="s">
        <v>103</v>
      </c>
      <c r="D34" s="275"/>
      <c r="E34" s="11"/>
    </row>
    <row r="35" spans="1:5" ht="22.25" customHeight="1" x14ac:dyDescent="0.25">
      <c r="A35" s="56" t="s">
        <v>104</v>
      </c>
      <c r="B35" s="85">
        <f>ROUND((B13-620)*0.06,2)</f>
        <v>244.34</v>
      </c>
      <c r="C35" s="274" t="s">
        <v>105</v>
      </c>
      <c r="D35" s="275"/>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70" t="s">
        <v>113</v>
      </c>
      <c r="B49" s="271"/>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84" t="s">
        <v>166</v>
      </c>
      <c r="B1" s="280"/>
      <c r="C1" s="280"/>
      <c r="D1" s="280"/>
      <c r="E1" s="280"/>
      <c r="F1" s="122"/>
      <c r="G1" s="279" t="s">
        <v>167</v>
      </c>
      <c r="H1" s="280"/>
      <c r="I1" s="280"/>
      <c r="J1" s="280"/>
      <c r="K1" s="281"/>
    </row>
    <row r="2" spans="1:11" ht="22" customHeight="1" x14ac:dyDescent="0.2">
      <c r="A2" s="276"/>
      <c r="B2" s="282"/>
      <c r="C2" s="282"/>
      <c r="D2" s="282"/>
      <c r="E2" s="282"/>
      <c r="F2" s="122"/>
      <c r="G2" s="282"/>
      <c r="H2" s="282"/>
      <c r="I2" s="282"/>
      <c r="J2" s="282"/>
      <c r="K2" s="283"/>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72" t="s">
        <v>91</v>
      </c>
      <c r="D15" s="273"/>
      <c r="E15" s="273"/>
      <c r="F15" s="123"/>
      <c r="G15" s="127" t="s">
        <v>90</v>
      </c>
      <c r="H15" s="63">
        <v>413.13</v>
      </c>
      <c r="I15" s="272" t="s">
        <v>91</v>
      </c>
      <c r="J15" s="273"/>
      <c r="K15" s="273"/>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8" t="s">
        <v>171</v>
      </c>
      <c r="B21" s="285"/>
      <c r="C21" s="285"/>
      <c r="D21" s="285"/>
      <c r="E21" s="285"/>
      <c r="F21" s="76"/>
      <c r="G21" s="11"/>
      <c r="H21" s="11"/>
      <c r="I21" s="11"/>
      <c r="J21" s="11"/>
      <c r="K21" s="11"/>
    </row>
    <row r="22" spans="1:11" ht="22" customHeight="1" x14ac:dyDescent="0.2">
      <c r="A22" s="285"/>
      <c r="B22" s="285"/>
      <c r="C22" s="285"/>
      <c r="D22" s="285"/>
      <c r="E22" s="285"/>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74" t="s">
        <v>174</v>
      </c>
      <c r="D34" s="275"/>
      <c r="E34" s="11"/>
      <c r="F34" s="11"/>
      <c r="G34" s="11"/>
      <c r="H34" s="11"/>
      <c r="I34" s="11"/>
      <c r="J34" s="11"/>
      <c r="K34" s="11"/>
    </row>
    <row r="35" spans="1:11" ht="22" customHeight="1" x14ac:dyDescent="0.25">
      <c r="A35" s="56" t="s">
        <v>104</v>
      </c>
      <c r="B35" s="85">
        <f>ROUND((B13+H13-620)*0.06,2)</f>
        <v>312.08999999999997</v>
      </c>
      <c r="C35" s="274" t="s">
        <v>105</v>
      </c>
      <c r="D35" s="275"/>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70" t="s">
        <v>178</v>
      </c>
      <c r="B50" s="271"/>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2"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84" t="s">
        <v>192</v>
      </c>
      <c r="B1" s="280"/>
      <c r="C1" s="280"/>
      <c r="D1" s="280"/>
      <c r="E1" s="280"/>
      <c r="F1" s="122"/>
      <c r="G1" s="279" t="s">
        <v>193</v>
      </c>
      <c r="H1" s="280"/>
      <c r="I1" s="280"/>
      <c r="J1" s="280"/>
      <c r="K1" s="280"/>
      <c r="L1" s="122"/>
      <c r="M1" s="279" t="s">
        <v>194</v>
      </c>
      <c r="N1" s="280"/>
      <c r="O1" s="280"/>
      <c r="P1" s="280"/>
      <c r="Q1" s="281"/>
    </row>
    <row r="2" spans="1:17" ht="22" customHeight="1" x14ac:dyDescent="0.2">
      <c r="A2" s="276"/>
      <c r="B2" s="282"/>
      <c r="C2" s="282"/>
      <c r="D2" s="282"/>
      <c r="E2" s="282"/>
      <c r="F2" s="122"/>
      <c r="G2" s="282"/>
      <c r="H2" s="282"/>
      <c r="I2" s="282"/>
      <c r="J2" s="282"/>
      <c r="K2" s="282"/>
      <c r="L2" s="122"/>
      <c r="M2" s="282"/>
      <c r="N2" s="282"/>
      <c r="O2" s="282"/>
      <c r="P2" s="282"/>
      <c r="Q2" s="283"/>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72" t="s">
        <v>91</v>
      </c>
      <c r="D15" s="273"/>
      <c r="E15" s="273"/>
      <c r="F15" s="123"/>
      <c r="G15" s="127" t="s">
        <v>90</v>
      </c>
      <c r="H15" s="63">
        <v>13.93</v>
      </c>
      <c r="I15" s="272" t="s">
        <v>91</v>
      </c>
      <c r="J15" s="273"/>
      <c r="K15" s="273"/>
      <c r="L15" s="11"/>
      <c r="M15" s="11"/>
      <c r="N15" s="11"/>
      <c r="O15" s="286"/>
      <c r="P15" s="286"/>
      <c r="Q15" s="286"/>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8" t="s">
        <v>198</v>
      </c>
      <c r="B21" s="285"/>
      <c r="C21" s="285"/>
      <c r="D21" s="285"/>
      <c r="E21" s="285"/>
      <c r="F21" s="76"/>
      <c r="G21" s="11"/>
      <c r="H21" s="11"/>
      <c r="I21" s="11"/>
      <c r="J21" s="11"/>
      <c r="K21" s="11"/>
      <c r="L21" s="11"/>
      <c r="M21" s="11"/>
      <c r="N21" s="11"/>
      <c r="O21" s="11"/>
      <c r="P21" s="11"/>
      <c r="Q21" s="11"/>
    </row>
    <row r="22" spans="1:17" ht="22" customHeight="1" x14ac:dyDescent="0.2">
      <c r="A22" s="285"/>
      <c r="B22" s="285"/>
      <c r="C22" s="285"/>
      <c r="D22" s="285"/>
      <c r="E22" s="285"/>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74" t="s">
        <v>174</v>
      </c>
      <c r="D33" s="275"/>
      <c r="E33" s="11"/>
      <c r="F33" s="11"/>
      <c r="G33" s="11"/>
      <c r="H33" s="11"/>
      <c r="I33" s="11"/>
      <c r="J33" s="11"/>
      <c r="K33" s="11"/>
      <c r="L33" s="11"/>
      <c r="M33" s="11"/>
      <c r="N33" s="11"/>
      <c r="O33" s="11"/>
      <c r="P33" s="11"/>
      <c r="Q33" s="11"/>
    </row>
    <row r="34" spans="1:17" ht="22" customHeight="1" x14ac:dyDescent="0.25">
      <c r="A34" s="56" t="s">
        <v>104</v>
      </c>
      <c r="B34" s="85">
        <f>ROUND((B13+H13+N13-620)*0.06,2)</f>
        <v>329.36</v>
      </c>
      <c r="C34" s="274" t="s">
        <v>105</v>
      </c>
      <c r="D34" s="275"/>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70" t="s">
        <v>201</v>
      </c>
      <c r="B47" s="271"/>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Berechnung 2023</vt:lpstr>
      <vt:lpstr>2023</vt:lpstr>
      <vt:lpstr>Berechnung 2024</vt:lpstr>
      <vt:lpstr>2024</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2025-03-30T16:17:21Z</dcterms:modified>
  <cp:category/>
  <cp:contentStatus/>
</cp:coreProperties>
</file>