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showInkAnnotation="0" autoCompressPictures="0"/>
  <mc:AlternateContent xmlns:mc="http://schemas.openxmlformats.org/markup-compatibility/2006">
    <mc:Choice Requires="x15">
      <x15ac:absPath xmlns:x15ac="http://schemas.microsoft.com/office/spreadsheetml/2010/11/ac" url="/Users/preissl/Documents/Private/Finance/"/>
    </mc:Choice>
  </mc:AlternateContent>
  <xr:revisionPtr revIDLastSave="0" documentId="13_ncr:1_{CCE3A7C8-32BA-6E40-8176-3F8529E0DFF0}" xr6:coauthVersionLast="47" xr6:coauthVersionMax="47" xr10:uidLastSave="{00000000-0000-0000-0000-000000000000}"/>
  <bookViews>
    <workbookView xWindow="160" yWindow="660" windowWidth="50880" windowHeight="26800" firstSheet="13" activeTab="17"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Berechnung 2023" sheetId="17" r:id="rId16"/>
    <sheet name="2023" sheetId="18" r:id="rId17"/>
    <sheet name="Berechnung 2024" sheetId="19" r:id="rId18"/>
    <sheet name="2024" sheetId="20" r:id="rId19"/>
    <sheet name="Steuerkonto" sheetId="12"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6" i="19" l="1"/>
  <c r="B12" i="19"/>
  <c r="B33" i="19"/>
  <c r="B30" i="19"/>
  <c r="B15" i="20"/>
  <c r="B53" i="19"/>
  <c r="B16" i="20"/>
  <c r="B36" i="19" s="1"/>
  <c r="B27" i="20"/>
  <c r="B28" i="20" s="1"/>
  <c r="F46" i="19"/>
  <c r="F47" i="19"/>
  <c r="F48" i="19" s="1"/>
  <c r="B51" i="19"/>
  <c r="B50" i="19"/>
  <c r="B23" i="19"/>
  <c r="B33" i="20"/>
  <c r="B10" i="20" s="1"/>
  <c r="F8" i="20" s="1"/>
  <c r="H8" i="20"/>
  <c r="B5" i="20"/>
  <c r="B13" i="19"/>
  <c r="B35" i="19" s="1"/>
  <c r="B39" i="19"/>
  <c r="B10" i="19"/>
  <c r="B5" i="19"/>
  <c r="B25" i="19" s="1"/>
  <c r="B53" i="17"/>
  <c r="B49" i="17"/>
  <c r="B33" i="17"/>
  <c r="B16" i="18"/>
  <c r="F44" i="17"/>
  <c r="F45" i="17" s="1"/>
  <c r="F43" i="17"/>
  <c r="B50" i="17"/>
  <c r="B51" i="8"/>
  <c r="B52" i="14"/>
  <c r="B48" i="17"/>
  <c r="B47" i="17"/>
  <c r="B36" i="17"/>
  <c r="B32" i="17"/>
  <c r="B24" i="17"/>
  <c r="B13" i="17"/>
  <c r="B12" i="17"/>
  <c r="B39" i="15"/>
  <c r="B41" i="14"/>
  <c r="B41" i="10"/>
  <c r="B12" i="18"/>
  <c r="B11" i="18"/>
  <c r="B27" i="18"/>
  <c r="B28" i="18" s="1"/>
  <c r="B26" i="19" l="1"/>
  <c r="B13" i="20"/>
  <c r="B29" i="19" s="1"/>
  <c r="B31" i="19" s="1"/>
  <c r="G8" i="20"/>
  <c r="H8" i="18"/>
  <c r="B34" i="19" l="1"/>
  <c r="B38" i="19" s="1"/>
  <c r="B23" i="17"/>
  <c r="B25" i="17" s="1"/>
  <c r="B33" i="18"/>
  <c r="B10" i="18" s="1"/>
  <c r="F8" i="18" s="1"/>
  <c r="B9" i="18"/>
  <c r="B13" i="18"/>
  <c r="B5" i="18"/>
  <c r="B10" i="17"/>
  <c r="B5" i="17"/>
  <c r="B32" i="15"/>
  <c r="B35" i="15" s="1"/>
  <c r="B30" i="15"/>
  <c r="B24" i="15"/>
  <c r="B25" i="15"/>
  <c r="B26" i="16"/>
  <c r="B27" i="16"/>
  <c r="B9" i="16"/>
  <c r="B14" i="16"/>
  <c r="B28" i="15"/>
  <c r="B31" i="15"/>
  <c r="B48" i="15"/>
  <c r="B47" i="15"/>
  <c r="B36" i="15"/>
  <c r="B13" i="15"/>
  <c r="B12" i="15"/>
  <c r="F44" i="15"/>
  <c r="F43" i="15"/>
  <c r="F45" i="15"/>
  <c r="B33" i="15"/>
  <c r="B23" i="15"/>
  <c r="B5" i="15"/>
  <c r="H5" i="15"/>
  <c r="H12" i="15"/>
  <c r="N5" i="15"/>
  <c r="N12" i="15"/>
  <c r="T6" i="15"/>
  <c r="H13" i="15"/>
  <c r="N13" i="15"/>
  <c r="B13" i="16"/>
  <c r="B10" i="15"/>
  <c r="H10" i="15"/>
  <c r="N10" i="15"/>
  <c r="B50" i="15"/>
  <c r="B51" i="14"/>
  <c r="B50" i="14"/>
  <c r="B49" i="14"/>
  <c r="G44" i="15"/>
  <c r="B32" i="16"/>
  <c r="B10" i="16"/>
  <c r="B11" i="16"/>
  <c r="B12" i="16"/>
  <c r="F8" i="16"/>
  <c r="G8" i="16"/>
  <c r="H8" i="16"/>
  <c r="P8" i="15"/>
  <c r="P9" i="15"/>
  <c r="P10" i="15"/>
  <c r="B54" i="14"/>
  <c r="D8" i="15"/>
  <c r="B5" i="16"/>
  <c r="J8" i="15"/>
  <c r="J9" i="15"/>
  <c r="J10" i="15"/>
  <c r="D9" i="15"/>
  <c r="D10" i="15"/>
  <c r="B30" i="14"/>
  <c r="B29" i="14"/>
  <c r="B28" i="14"/>
  <c r="H8" i="13"/>
  <c r="G8" i="13"/>
  <c r="F8" i="13"/>
  <c r="E8" i="13"/>
  <c r="H12" i="14"/>
  <c r="H13" i="14"/>
  <c r="B32" i="14"/>
  <c r="B33" i="14"/>
  <c r="B37" i="14"/>
  <c r="B34" i="14"/>
  <c r="B38" i="14"/>
  <c r="B25" i="14"/>
  <c r="B24" i="14"/>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s="1"/>
  <c r="C52" i="12"/>
  <c r="B43" i="12"/>
  <c r="C37" i="12"/>
  <c r="B26" i="12"/>
  <c r="B24" i="12"/>
  <c r="B27" i="12" s="1"/>
  <c r="C20" i="12"/>
  <c r="B14" i="12"/>
  <c r="B15" i="12" s="1"/>
  <c r="B12" i="12"/>
  <c r="C8" i="12"/>
  <c r="B67" i="12" s="1"/>
  <c r="B3" i="12"/>
  <c r="B2" i="12"/>
  <c r="B4" i="12" s="1"/>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 r="B52" i="19" l="1"/>
  <c r="B42" i="19"/>
  <c r="B45" i="19" s="1"/>
  <c r="B14" i="18"/>
  <c r="B28" i="17" s="1"/>
  <c r="G8" i="18"/>
  <c r="B49" i="15"/>
  <c r="B53" i="15" s="1"/>
  <c r="B42" i="15"/>
  <c r="B30" i="17" l="1"/>
  <c r="B31" i="17" s="1"/>
  <c r="B35" i="17" s="1"/>
  <c r="B39" i="17" l="1"/>
  <c r="B42" i="17" s="1"/>
</calcChain>
</file>

<file path=xl/sharedStrings.xml><?xml version="1.0" encoding="utf-8"?>
<sst xmlns="http://schemas.openxmlformats.org/spreadsheetml/2006/main" count="1554" uniqueCount="440">
  <si>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</si>
  <si>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</si>
  <si>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</si>
  <si>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</si>
  <si>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</si>
  <si>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</si>
  <si>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</si>
  <si>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</si>
  <si>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</si>
  <si>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</si>
  <si>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</si>
  <si>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</si>
  <si>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</si>
  <si>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</si>
  <si>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</si>
  <si>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</si>
  <si>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</si>
  <si>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</si>
  <si>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</si>
  <si>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</si>
  <si>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</si>
  <si>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</si>
  <si>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</si>
  <si>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</si>
  <si>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</si>
  <si>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</si>
  <si>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</si>
  <si>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</si>
  <si>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</si>
  <si>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</si>
  <si>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</si>
  <si>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</si>
  <si>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</si>
  <si>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</si>
  <si>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</si>
  <si>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</si>
  <si>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</si>
  <si>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</si>
  <si>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</si>
  <si>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</si>
  <si>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</si>
  <si>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</si>
  <si>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</si>
  <si>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</si>
  <si>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</si>
  <si>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</si>
  <si>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</si>
  <si>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</si>
  <si>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</si>
  <si>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</si>
  <si>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</si>
  <si>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</si>
  <si>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</si>
  <si>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</si>
  <si>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</si>
  <si>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</si>
  <si>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</si>
  <si>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</si>
  <si>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</si>
  <si>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</si>
  <si>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</si>
  <si>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</si>
  <si>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</si>
  <si>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</si>
  <si>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</si>
  <si>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</si>
  <si>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</si>
  <si>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</si>
  <si>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</si>
  <si>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</si>
  <si>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</si>
  <si>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</si>
  <si>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</si>
  <si>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</si>
  <si>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</si>
  <si>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</si>
  <si>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</si>
  <si>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</si>
  <si>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</si>
  <si>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</si>
  <si>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</si>
  <si>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</si>
  <si>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</si>
  <si>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</si>
  <si>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</si>
  <si>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</si>
  <si>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</si>
  <si>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</si>
  <si>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</si>
  <si>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</si>
  <si>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</si>
  <si>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</si>
  <si>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</si>
  <si>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</si>
  <si>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</si>
  <si>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</si>
  <si>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</si>
  <si>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</si>
  <si>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</si>
  <si>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</si>
  <si>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</si>
  <si>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</si>
  <si>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</si>
  <si>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</si>
  <si>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</si>
  <si>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</si>
  <si>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</si>
  <si>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</si>
  <si>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</si>
  <si>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</si>
  <si>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</si>
  <si>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</si>
  <si>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</si>
  <si>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</si>
  <si>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</si>
  <si>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</si>
  <si>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</si>
  <si>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</si>
  <si>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</si>
  <si>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</si>
  <si>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</si>
  <si>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</si>
  <si>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</si>
  <si>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</si>
  <si>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</si>
  <si>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</si>
  <si>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</si>
  <si>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</si>
  <si>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</si>
  <si>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</si>
  <si>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</si>
  <si>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</si>
  <si>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</si>
  <si>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</si>
  <si>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</si>
  <si>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</si>
  <si>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</si>
  <si>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</si>
  <si>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</si>
  <si>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</si>
  <si>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</si>
  <si>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</si>
  <si>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</si>
  <si>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</si>
  <si>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</si>
  <si>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</si>
  <si>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</si>
  <si>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</si>
  <si>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</si>
  <si>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</si>
  <si>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</si>
  <si>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</si>
  <si>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</si>
  <si>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</si>
  <si>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</si>
  <si>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</si>
  <si>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</si>
  <si>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</si>
  <si>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</si>
  <si>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</si>
  <si>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</si>
  <si>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</si>
  <si>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</si>
  <si>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</si>
  <si>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</si>
  <si>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</si>
  <si>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</si>
  <si>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</si>
  <si>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</si>
  <si>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</si>
  <si>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</si>
  <si>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</si>
  <si>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</si>
  <si>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</si>
  <si>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</si>
  <si>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</si>
  <si>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</si>
  <si>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</si>
  <si>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</si>
  <si>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</si>
  <si>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</si>
  <si>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</si>
  <si>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</si>
  <si>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</si>
  <si>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</si>
  <si>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</si>
  <si>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</si>
  <si>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</si>
  <si>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</si>
  <si>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</si>
  <si>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</si>
  <si>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</si>
  <si>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</si>
  <si>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</si>
  <si>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</si>
  <si>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</si>
  <si>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</si>
  <si>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</si>
  <si>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</si>
  <si>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</si>
  <si>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</si>
  <si>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</si>
  <si>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</si>
  <si>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</si>
  <si>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</si>
  <si>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</si>
  <si>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</si>
  <si>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</si>
  <si>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</si>
  <si>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</si>
  <si>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</si>
  <si>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</si>
  <si>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</si>
  <si>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</si>
  <si>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</si>
  <si>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</si>
  <si>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</si>
  <si>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</si>
  <si>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</si>
  <si>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</si>
  <si>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</si>
  <si>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</si>
  <si>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</si>
  <si>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</si>
  <si>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</si>
  <si>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</si>
  <si>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</si>
  <si>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</si>
  <si>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</si>
  <si>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</si>
  <si>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</si>
  <si>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</si>
  <si>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</si>
  <si>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</si>
  <si>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</si>
  <si>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</si>
  <si>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</si>
  <si>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</si>
  <si>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</si>
  <si>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</si>
  <si>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</si>
  <si>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</si>
  <si>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</si>
  <si>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</si>
  <si>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</si>
  <si>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</si>
  <si>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</si>
  <si>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</si>
  <si>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</si>
  <si>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</si>
  <si>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</si>
  <si>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</si>
  <si>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</si>
  <si>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</si>
  <si>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</si>
  <si>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</si>
  <si>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</si>
  <si>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</si>
  <si>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</si>
  <si>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</si>
  <si>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</si>
  <si>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</si>
  <si>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</si>
  <si>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</si>
  <si>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</si>
  <si>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</si>
  <si>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</si>
  <si>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</si>
  <si>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</si>
  <si>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</si>
  <si>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</si>
  <si>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</si>
  <si>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</si>
  <si>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</si>
  <si>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</si>
  <si>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</si>
  <si>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</si>
  <si>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</si>
  <si>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</si>
  <si>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</si>
  <si>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</si>
  <si>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</si>
  <si>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</si>
  <si>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</si>
  <si>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</si>
  <si>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</si>
  <si>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</si>
  <si>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</si>
  <si>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</si>
  <si>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</si>
  <si>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</si>
  <si>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</si>
  <si>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</si>
  <si>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</si>
  <si>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</si>
  <si>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</si>
  <si>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</si>
  <si>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</si>
  <si>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</si>
  <si>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</si>
  <si>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</si>
  <si>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</si>
  <si>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</si>
  <si>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</si>
  <si>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</si>
  <si>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</si>
  <si>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</si>
  <si>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</si>
  <si>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</si>
  <si>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</si>
  <si>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</si>
  <si>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</si>
  <si>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</si>
  <si>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</si>
  <si>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</si>
  <si>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</si>
  <si>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</si>
  <si>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</si>
  <si>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</si>
  <si>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</si>
  <si>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</si>
  <si>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</si>
  <si>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</si>
  <si>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</si>
  <si>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</si>
  <si>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</si>
  <si>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</si>
  <si>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</si>
  <si>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</si>
  <si>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</si>
  <si>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</si>
  <si>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</si>
  <si>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</si>
  <si>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</si>
  <si>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</si>
  <si>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</si>
  <si>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</si>
  <si>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</si>
  <si>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</si>
  <si>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</si>
  <si>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</si>
  <si>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</si>
  <si>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</si>
  <si>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</si>
  <si>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</si>
  <si>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</si>
  <si>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</si>
  <si>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</si>
  <si>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</si>
  <si>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</si>
  <si>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</si>
  <si>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</si>
  <si>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</si>
  <si>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</si>
  <si>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</si>
  <si>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</si>
  <si>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</si>
  <si>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</si>
  <si>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</si>
  <si>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</si>
  <si>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</si>
  <si>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</si>
  <si>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</si>
  <si>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</si>
  <si>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</si>
  <si>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</si>
  <si>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</si>
  <si>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</si>
  <si>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</si>
  <si>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</si>
  <si>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</si>
  <si>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</si>
  <si>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</si>
  <si>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</si>
  <si>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</si>
  <si>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</si>
  <si>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Total</t>
  </si>
  <si>
    <t>Anmerkung: Die Gewinne durch ESPP werden nicht beruecksichtigt, also Netto ist noch ein bisschen mehr</t>
  </si>
  <si>
    <t>Stand 26.04.2023</t>
  </si>
  <si>
    <t>Am 10.02.2023 wurden 814€ überwiesen wegen 1.Q.</t>
  </si>
  <si>
    <t>Kennzahl: 718</t>
  </si>
  <si>
    <t>Pendlerpauschale</t>
  </si>
  <si>
    <t>Verkehrsabsetzbetrag + Pendlereuro</t>
  </si>
  <si>
    <t>Gesamt Werbungskosten</t>
  </si>
  <si>
    <t>JA RSUs sind im Jahresbruttogehalt enthalten</t>
  </si>
  <si>
    <t>Ungenauogkeit wegen Dollar zu Euro Umrechnung</t>
  </si>
  <si>
    <t>Apple Keyboard (mit 40% Privatanteil)</t>
  </si>
  <si>
    <t>Stand 10.08.2023</t>
  </si>
  <si>
    <t>Am 26.04.2023 wurden 814€ überwiesen wegen 2.Q.</t>
  </si>
  <si>
    <t>Am 10.08.2023 wurden 814€ überwiesen wegen 3.Q. Der Betrag für das 4.Q ist erst am 15.11 Fällig. Bis dahin habe ich eventuell schon die aktualisierte Vorausberechnung für 2023, weil die Steuererklaerung 2022 schon abgegeben worden ist</t>
  </si>
  <si>
    <t>Bemessungsgrundlage, fuer die der "normale" Steuersatz greift</t>
  </si>
  <si>
    <t>Stand 05.09.2023</t>
  </si>
  <si>
    <t>Habe neuen Vorauszahlungsbescheid fuer 2023 und folge Jahre bekommen. Diese Betraegt 0 euro. Somit kann ich die bis jetzt eingezahlte Steuer fuer 2023 zurueckverlangen 814 + 814 +814 = 2442 =&gt; TODO</t>
  </si>
  <si>
    <t>Stand 15.09.2023</t>
  </si>
  <si>
    <t>Es wird nur Guthaben die durch eine Arbeitnehmerveranlagung entstanden ist, zurueckueberwiesen. Es wurde der Antrag auf Rueckzahlung ueber 2442 + 3036 = 5478 eingebracht</t>
  </si>
  <si>
    <t>Stand 23.09.2023</t>
  </si>
  <si>
    <t>Es wurden die beantragten 5478Euro ueberwiesen. Kontostand somit auf 0 Euro.</t>
  </si>
  <si>
    <t>Erklaerung abgegeben am 26.6.2023. Am 30.8.2023 Antwort erhalten und es wurde bestatetigt, dass ich die Gutschrift von 3036 erhalten werde. Am 15.9.2023 Antrag gestellt auf Rueckuberweisung. Am 21.09.2023 die Gutschrift von 3036 erhalten</t>
  </si>
  <si>
    <t>Lohnzettel 2023 Apple</t>
  </si>
  <si>
    <t>Hier ist "normaler" Steuersatz gültig</t>
  </si>
  <si>
    <t>Berechnungsblatt 2023</t>
  </si>
  <si>
    <t>Apple Airpods 2.Gen (mit 40% Privatanteil)</t>
  </si>
  <si>
    <t>Lapi Tasche tomtoc (mit 0% Privatanteil)</t>
  </si>
  <si>
    <t>Pendlereuro:  2*16(=km)*(2/3) (=wegen 8-10 Fahrten) 0=&gt; 21,33€</t>
  </si>
  <si>
    <t>Kennzahl 718 wurde mit 8-10 Fahrten pro Monat berechnet (0600 Arbeitsbeginn)</t>
  </si>
  <si>
    <t>Vorausbezahlt für das Jahr 2023</t>
  </si>
  <si>
    <t>mit Grenzsteuersatz von 50%</t>
  </si>
  <si>
    <t>Erklaerung abgegeben am 16.6.2024.</t>
  </si>
  <si>
    <t>Sommersemester 2023</t>
  </si>
  <si>
    <t>Wintersemester 2023/2024</t>
  </si>
  <si>
    <t>November (mit Weihnachtsgeld)</t>
  </si>
  <si>
    <t>Oktober (mit performance bonus)</t>
  </si>
  <si>
    <t>Apple Fulltime: Gross Pay (, inkludiert Urlaubs/Weihnachtsgeld + Performance bonus, in Euro)</t>
  </si>
  <si>
    <t>Pendlereuro</t>
  </si>
  <si>
    <t>Kennzahl: 916</t>
  </si>
  <si>
    <t>weniger als 730€, somit bleibt dieser Zuverdienst steuerfrei =&gt; ich müsste keine Steuererklärung mehr abgeben</t>
  </si>
  <si>
    <t>2024</t>
  </si>
  <si>
    <t>Stand 24.06.2024</t>
  </si>
  <si>
    <t>Steuererklärung für 2023 (eingereicht am 16.6.2024) ergab eine Gutschrift von 925€ =&gt; wurde auf SteuerKonto überwiesen. Rückerstatttung von die 925€ wurde sofort beantragt.</t>
  </si>
  <si>
    <t>Stand 25.06.2024</t>
  </si>
  <si>
    <t>Rückerstatttung von 925€ wurde überwiesen =&gt; Kontostand auf 0€</t>
  </si>
  <si>
    <t>Gutschrift von 925€ erhalten am 17.6.2024 =&gt; DONE</t>
  </si>
  <si>
    <t>Juni (mit Urlaubsgeld)</t>
  </si>
  <si>
    <t>Nebenrechnung um zu checken ob im Jahresbruttogehalt die RSUs enthalten sind =&gt; JA sind enthalten, weil ca gleich mit Jahresbrutto (KZ210)</t>
  </si>
  <si>
    <t>Lohnzettel 2024 Apple</t>
  </si>
  <si>
    <t>Berechnungsblatt 2024</t>
  </si>
  <si>
    <t>Zusammenfassung</t>
  </si>
  <si>
    <t>Sommersemester 2024</t>
  </si>
  <si>
    <t>Wintersemester 2024/2025</t>
  </si>
  <si>
    <t>Kennzahl 718 wurde mit mehr als 10 Fahrten pro Monat berechnet (0600 Arbeitsbeginn)</t>
  </si>
  <si>
    <t>Pendlereuro:  2*16(=km)</t>
  </si>
  <si>
    <t>Klimabonus</t>
  </si>
  <si>
    <t>Jahres Brutto (ohne Sonderzahlungen)</t>
  </si>
  <si>
    <t>Homeoffice Pauschale</t>
  </si>
  <si>
    <t>Gesamt Freibetraege (vermindern Bemessungsgrundlage)</t>
  </si>
  <si>
    <t>Vorausbezahlt für das Jahr 2024 (Matheplus)</t>
  </si>
  <si>
    <t>kann mit matheplus nicht mehr argumentieren weil ich ja 0 euro angegeben habe und ueber firma auch nicht mehr wegen firmenhandy (brauche fuer 2025 auch nicht mehr aufheben)</t>
  </si>
  <si>
    <t xml:space="preserve"> Setze es auf 0 fuer 2025 erklaerung</t>
  </si>
  <si>
    <t>Bemessungsgrundlage (vor Freibetraege)</t>
  </si>
  <si>
    <t>Erklaerung abgegeben am 10.04.2025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</si>
</sst>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 numFmtId="173" formatCode="&quot;€&quot;\ #,##0.00"/>
  </numFmts>
  <fonts count="40" x14ac:knownFonts="1">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
      <sz val="8"/>
      <name val="Helvetica Neue"/>
      <family val="2"/>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4">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
      <left/>
      <right/>
      <top/>
      <bottom style="thin">
        <color indexed="13"/>
      </bottom>
      <diagonal/>
    </border>
    <border>
      <left style="thin">
        <color rgb="FFB2B2B2"/>
      </left>
      <right style="thin">
        <color rgb="FFB2B2B2"/>
      </right>
      <top style="thin">
        <color rgb="FFB2B2B2"/>
      </top>
      <bottom style="thin">
        <color rgb="FFB2B2B2"/>
      </bottom>
      <diagonal/>
    </border>
    <border>
      <left/>
      <right style="thin">
        <color indexed="12"/>
      </right>
      <top/>
      <bottom style="thin">
        <color indexed="12"/>
      </bottom>
      <diagonal/>
    </border>
  </borders>
  <cellStyleXfs count="2">
    <xf numFmtId="0" fontId="0" fillId="0" borderId="0" applyNumberFormat="0" applyFill="0" applyBorder="0" applyProtection="0"/>
    <xf numFmtId="0" fontId="37" fillId="16" borderId="80" applyNumberFormat="0" applyAlignment="0" applyProtection="0"/>
  </cellStyleXfs>
  <cellXfs count="326">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49" fontId="36" fillId="0" borderId="32" xfId="0" applyNumberFormat="1" applyFont="1" applyBorder="1"/>
    <xf numFmtId="0" fontId="0" fillId="0" borderId="17" xfId="0" applyBorder="1"/>
    <xf numFmtId="173" fontId="0" fillId="0" borderId="1" xfId="0" applyNumberFormat="1" applyBorder="1"/>
    <xf numFmtId="173" fontId="38" fillId="16" borderId="80" xfId="1" applyNumberFormat="1" applyFont="1"/>
    <xf numFmtId="4" fontId="0" fillId="0" borderId="21" xfId="0" applyNumberFormat="1" applyBorder="1"/>
    <xf numFmtId="49" fontId="5" fillId="0" borderId="81" xfId="0" applyNumberFormat="1" applyFont="1" applyFill="1" applyBorder="1"/>
    <xf numFmtId="166" fontId="5" fillId="0" borderId="81" xfId="0" applyNumberFormat="1" applyFont="1" applyFill="1" applyBorder="1"/>
    <xf numFmtId="0" fontId="36" fillId="0" borderId="0" xfId="0" applyNumberFormat="1" applyFont="1"/>
    <xf numFmtId="166" fontId="36" fillId="0" borderId="11" xfId="0" applyNumberFormat="1" applyFont="1" applyBorder="1"/>
    <xf numFmtId="0" fontId="36" fillId="0" borderId="83" xfId="0" applyFont="1" applyBorder="1"/>
    <xf numFmtId="49" fontId="36" fillId="8" borderId="16" xfId="0" applyNumberFormat="1" applyFont="1" applyFill="1" applyBorder="1"/>
    <xf numFmtId="49" fontId="0" fillId="0" borderId="82" xfId="0" applyNumberFormat="1" applyFill="1" applyBorder="1"/>
    <xf numFmtId="166" fontId="0" fillId="0" borderId="82" xfId="0" applyNumberFormat="1" applyFill="1" applyBorder="1"/>
    <xf numFmtId="0" fontId="0" fillId="0" borderId="21" xfId="0" applyFill="1" applyBorder="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36" fillId="0" borderId="38" xfId="0" applyNumberFormat="1" applyFont="1" applyBorder="1" applyAlignment="1">
      <alignment horizontal="left"/>
    </xf>
    <xf numFmtId="49" fontId="36" fillId="0" borderId="21" xfId="0" applyNumberFormat="1" applyFont="1" applyBorder="1" applyAlignment="1">
      <alignment horizontal="left"/>
    </xf>
    <xf numFmtId="0" fontId="0" fillId="0" borderId="37" xfId="0" applyBorder="1" applyAlignment="1">
      <alignment horizontal="left"/>
    </xf>
    <xf numFmtId="49" fontId="4" fillId="11" borderId="28" xfId="0" applyNumberFormat="1" applyFont="1" applyFill="1" applyBorder="1" applyAlignment="1">
      <alignment horizontal="center" vertical="center"/>
    </xf>
    <xf numFmtId="0" fontId="0" fillId="0" borderId="21" xfId="0" applyBorder="1"/>
    <xf numFmtId="0" fontId="0" fillId="0" borderId="31" xfId="0" applyBorder="1"/>
    <xf numFmtId="49" fontId="34" fillId="11" borderId="28" xfId="0" applyNumberFormat="1" applyFont="1" applyFill="1" applyBorder="1" applyAlignment="1">
      <alignment horizontal="center" vertical="center"/>
    </xf>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cellXfs>
  <cellStyles count="2">
    <cellStyle name="Calculation" xfId="1" builtinId="22"/>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70" t="s">
        <v>0</v>
      </c>
      <c r="C3" s="271"/>
      <c r="D3" s="271"/>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2" workbookViewId="0">
      <selection activeCell="B52" sqref="B52"/>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94"/>
      <c r="B1" s="287"/>
      <c r="C1" s="287"/>
      <c r="D1" s="287"/>
      <c r="E1" s="287"/>
      <c r="F1" s="122"/>
      <c r="G1" s="295" t="s">
        <v>210</v>
      </c>
      <c r="H1" s="287"/>
      <c r="I1" s="287"/>
      <c r="J1" s="287"/>
      <c r="K1" s="287"/>
      <c r="L1" s="122"/>
      <c r="M1" s="295" t="s">
        <v>211</v>
      </c>
      <c r="N1" s="287"/>
      <c r="O1" s="287"/>
      <c r="P1" s="287"/>
      <c r="Q1" s="288"/>
    </row>
    <row r="2" spans="1:17" ht="22" customHeight="1" x14ac:dyDescent="0.2">
      <c r="A2" s="283"/>
      <c r="B2" s="289"/>
      <c r="C2" s="289"/>
      <c r="D2" s="289"/>
      <c r="E2" s="289"/>
      <c r="F2" s="122"/>
      <c r="G2" s="289"/>
      <c r="H2" s="289"/>
      <c r="I2" s="289"/>
      <c r="J2" s="289"/>
      <c r="K2" s="289"/>
      <c r="L2" s="122"/>
      <c r="M2" s="289"/>
      <c r="N2" s="289"/>
      <c r="O2" s="289"/>
      <c r="P2" s="289"/>
      <c r="Q2" s="290"/>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96"/>
      <c r="J15" s="280"/>
      <c r="K15" s="280"/>
      <c r="L15" s="11"/>
      <c r="M15" s="11"/>
      <c r="N15" s="11"/>
      <c r="O15" s="293"/>
      <c r="P15" s="293"/>
      <c r="Q15" s="293"/>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97" t="s">
        <v>218</v>
      </c>
      <c r="B21" s="292"/>
      <c r="C21" s="292"/>
      <c r="D21" s="292"/>
      <c r="E21" s="292"/>
      <c r="F21" s="76"/>
      <c r="G21" s="11"/>
      <c r="H21" s="11"/>
      <c r="I21" s="11"/>
      <c r="J21" s="11"/>
      <c r="K21" s="11"/>
      <c r="L21" s="11"/>
      <c r="M21" s="11"/>
      <c r="N21" s="11"/>
      <c r="O21" s="11"/>
      <c r="P21" s="11"/>
      <c r="Q21" s="11"/>
    </row>
    <row r="22" spans="1:17" ht="22" customHeight="1" x14ac:dyDescent="0.2">
      <c r="A22" s="292"/>
      <c r="B22" s="292"/>
      <c r="C22" s="292"/>
      <c r="D22" s="292"/>
      <c r="E22" s="292"/>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81" t="s">
        <v>174</v>
      </c>
      <c r="D33" s="282"/>
      <c r="E33" s="11"/>
      <c r="F33" s="11"/>
      <c r="G33" s="11"/>
      <c r="H33" s="11"/>
      <c r="I33" s="11"/>
      <c r="J33" s="11"/>
      <c r="K33" s="11"/>
      <c r="L33" s="11"/>
      <c r="M33" s="11"/>
      <c r="N33" s="11"/>
      <c r="O33" s="11"/>
      <c r="P33" s="11"/>
      <c r="Q33" s="11"/>
    </row>
    <row r="34" spans="1:17" ht="22" customHeight="1" x14ac:dyDescent="0.25">
      <c r="A34" s="56" t="s">
        <v>104</v>
      </c>
      <c r="B34" s="91">
        <f>ROUND((B13+H13+N13-620)*0.06,2)</f>
        <v>331.57</v>
      </c>
      <c r="C34" s="281" t="s">
        <v>105</v>
      </c>
      <c r="D34" s="282"/>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77" t="s">
        <v>221</v>
      </c>
      <c r="B48" s="278"/>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5" workbookViewId="0">
      <selection activeCell="D24" sqref="D24"/>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7" workbookViewId="0">
      <selection activeCell="B53" sqref="B53"/>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95" t="s">
        <v>329</v>
      </c>
      <c r="B1" s="295"/>
      <c r="C1" s="295"/>
      <c r="D1" s="295"/>
      <c r="E1" s="295"/>
      <c r="F1" s="122"/>
      <c r="G1" s="295" t="s">
        <v>333</v>
      </c>
      <c r="H1" s="287"/>
      <c r="I1" s="287"/>
      <c r="J1" s="287"/>
      <c r="K1" s="288"/>
    </row>
    <row r="2" spans="1:11" ht="22" customHeight="1" x14ac:dyDescent="0.2">
      <c r="A2" s="298"/>
      <c r="B2" s="298"/>
      <c r="C2" s="298"/>
      <c r="D2" s="298"/>
      <c r="E2" s="298"/>
      <c r="F2" s="122"/>
      <c r="G2" s="289"/>
      <c r="H2" s="289"/>
      <c r="I2" s="289"/>
      <c r="J2" s="289"/>
      <c r="K2" s="290"/>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93"/>
      <c r="J15" s="293"/>
      <c r="K15" s="293"/>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97" t="s">
        <v>330</v>
      </c>
      <c r="B21" s="292"/>
      <c r="C21" s="292"/>
      <c r="D21" s="292"/>
      <c r="E21" s="292"/>
      <c r="F21" s="76"/>
      <c r="G21" s="11"/>
      <c r="H21" s="11"/>
      <c r="I21" s="11"/>
      <c r="J21" s="11"/>
      <c r="K21" s="11"/>
      <c r="L21" s="11"/>
      <c r="M21" s="11"/>
      <c r="N21" s="11"/>
      <c r="O21" s="11"/>
      <c r="P21" s="11"/>
      <c r="Q21" s="11"/>
    </row>
    <row r="22" spans="1:17" ht="22" customHeight="1" x14ac:dyDescent="0.2">
      <c r="A22" s="292"/>
      <c r="B22" s="292"/>
      <c r="C22" s="292"/>
      <c r="D22" s="292"/>
      <c r="E22" s="292"/>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81" t="s">
        <v>174</v>
      </c>
      <c r="D33" s="282"/>
      <c r="E33" s="11"/>
      <c r="F33" s="11"/>
      <c r="G33" s="11"/>
      <c r="H33" s="11"/>
      <c r="I33" s="11"/>
      <c r="J33" s="11"/>
      <c r="K33" s="11"/>
      <c r="L33" s="11"/>
      <c r="M33" s="11"/>
      <c r="N33" s="11"/>
      <c r="O33" s="11"/>
      <c r="P33" s="11"/>
      <c r="Q33" s="11"/>
    </row>
    <row r="34" spans="1:17" ht="22" customHeight="1" x14ac:dyDescent="0.25">
      <c r="A34" s="56" t="s">
        <v>104</v>
      </c>
      <c r="B34" s="91">
        <f>ROUND((B13+H13-620)*0.06,2)</f>
        <v>337.3</v>
      </c>
      <c r="C34" s="281" t="s">
        <v>105</v>
      </c>
      <c r="D34" s="282"/>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77" t="s">
        <v>331</v>
      </c>
      <c r="B48" s="278"/>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B21" sqref="B21"/>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3"/>
  <sheetViews>
    <sheetView showGridLines="0" zoomScale="110" zoomScaleNormal="110" workbookViewId="0">
      <selection activeCell="B50" sqref="B50"/>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9" width="54.25" style="5" customWidth="1"/>
    <col min="20" max="20" width="14.5" style="5" customWidth="1"/>
    <col min="21" max="22" width="12.25" style="5"/>
    <col min="23" max="23" width="48.5" style="5" customWidth="1"/>
    <col min="24" max="16384" width="12.25" style="5"/>
  </cols>
  <sheetData>
    <row r="1" spans="1:23" ht="22" customHeight="1" x14ac:dyDescent="0.2">
      <c r="A1" s="295" t="s">
        <v>355</v>
      </c>
      <c r="B1" s="295"/>
      <c r="C1" s="295"/>
      <c r="D1" s="295"/>
      <c r="E1" s="295"/>
      <c r="F1" s="122"/>
      <c r="G1" s="295" t="s">
        <v>360</v>
      </c>
      <c r="H1" s="287"/>
      <c r="I1" s="287"/>
      <c r="J1" s="287"/>
      <c r="K1" s="288"/>
      <c r="L1" s="122"/>
      <c r="M1" s="295" t="s">
        <v>361</v>
      </c>
      <c r="N1" s="287"/>
      <c r="O1" s="287"/>
      <c r="P1" s="287"/>
      <c r="Q1" s="288"/>
      <c r="R1" s="122"/>
      <c r="S1" s="295" t="s">
        <v>363</v>
      </c>
      <c r="T1" s="287"/>
      <c r="U1" s="287"/>
      <c r="V1" s="287"/>
      <c r="W1" s="288"/>
    </row>
    <row r="2" spans="1:23" ht="22" customHeight="1" x14ac:dyDescent="0.2">
      <c r="A2" s="298"/>
      <c r="B2" s="298"/>
      <c r="C2" s="298"/>
      <c r="D2" s="298"/>
      <c r="E2" s="298"/>
      <c r="F2" s="122"/>
      <c r="G2" s="289"/>
      <c r="H2" s="289"/>
      <c r="I2" s="289"/>
      <c r="J2" s="289"/>
      <c r="K2" s="290"/>
      <c r="L2" s="122"/>
      <c r="M2" s="289"/>
      <c r="N2" s="289"/>
      <c r="O2" s="289"/>
      <c r="P2" s="289"/>
      <c r="Q2" s="290"/>
      <c r="R2" s="122"/>
      <c r="S2" s="289"/>
      <c r="T2" s="289"/>
      <c r="U2" s="289"/>
      <c r="V2" s="289"/>
      <c r="W2" s="290"/>
    </row>
    <row r="3" spans="1:23" ht="22" customHeight="1" x14ac:dyDescent="0.2">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2" customHeight="1" x14ac:dyDescent="0.2">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2" customHeight="1" x14ac:dyDescent="0.2">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1" t="s">
        <v>365</v>
      </c>
      <c r="T5" s="252">
        <v>38</v>
      </c>
      <c r="U5" s="46"/>
      <c r="V5" s="11"/>
      <c r="W5" s="11"/>
    </row>
    <row r="6" spans="1:23" ht="22" customHeight="1" x14ac:dyDescent="0.2">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49" t="s">
        <v>366</v>
      </c>
      <c r="T6" s="250">
        <f>T4*T5</f>
        <v>1903.04</v>
      </c>
      <c r="U6" s="49"/>
      <c r="V6" s="11"/>
      <c r="W6" s="11"/>
    </row>
    <row r="7" spans="1:23" ht="22" customHeight="1" x14ac:dyDescent="0.2">
      <c r="A7" s="50"/>
      <c r="B7" s="51"/>
      <c r="C7" s="52"/>
      <c r="D7" s="53"/>
      <c r="E7" s="53"/>
      <c r="F7" s="11"/>
      <c r="G7" s="50"/>
      <c r="H7" s="51"/>
      <c r="I7" s="52"/>
      <c r="J7" s="53"/>
      <c r="K7" s="53"/>
      <c r="L7" s="11"/>
      <c r="M7" s="50"/>
      <c r="N7" s="51"/>
      <c r="O7" s="52"/>
      <c r="P7" s="53"/>
      <c r="Q7" s="53"/>
      <c r="R7" s="11"/>
      <c r="S7" s="50"/>
      <c r="T7" s="51"/>
      <c r="U7" s="52"/>
      <c r="V7" s="53"/>
      <c r="W7" s="53"/>
    </row>
    <row r="8" spans="1:23" ht="22" customHeight="1" x14ac:dyDescent="0.25">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2" customHeight="1" x14ac:dyDescent="0.25">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2" customHeight="1" x14ac:dyDescent="0.25">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2" customHeight="1" x14ac:dyDescent="0.2">
      <c r="A11" s="60"/>
      <c r="B11" s="42"/>
      <c r="C11" s="52"/>
      <c r="D11" s="61"/>
      <c r="E11" s="61"/>
      <c r="F11" s="11"/>
      <c r="G11" s="60"/>
      <c r="H11" s="42"/>
      <c r="I11" s="52"/>
      <c r="J11" s="61"/>
      <c r="K11" s="61"/>
      <c r="L11" s="11"/>
      <c r="M11" s="60"/>
      <c r="N11" s="42"/>
      <c r="O11" s="52"/>
      <c r="P11" s="61"/>
      <c r="Q11" s="61"/>
      <c r="R11" s="11"/>
      <c r="S11" s="11"/>
      <c r="T11" s="11"/>
      <c r="U11" s="11"/>
      <c r="V11" s="11"/>
      <c r="W11" s="11"/>
    </row>
    <row r="12" spans="1:23" ht="22" customHeight="1" x14ac:dyDescent="0.2">
      <c r="A12" s="124" t="s">
        <v>170</v>
      </c>
      <c r="B12" s="45">
        <f>B5-B8-B16</f>
        <v>8137.58</v>
      </c>
      <c r="C12" s="49">
        <v>245</v>
      </c>
      <c r="D12" s="243" t="s">
        <v>390</v>
      </c>
      <c r="E12" s="11"/>
      <c r="F12" s="123"/>
      <c r="G12" s="124" t="s">
        <v>215</v>
      </c>
      <c r="H12" s="45">
        <f>H5-H8-H16</f>
        <v>1751.8799999999999</v>
      </c>
      <c r="I12" s="49">
        <v>245</v>
      </c>
      <c r="J12" s="9"/>
      <c r="K12" s="11"/>
      <c r="L12" s="123"/>
      <c r="M12" s="124" t="s">
        <v>215</v>
      </c>
      <c r="N12" s="45">
        <f>N5-N8-N16-N15</f>
        <v>67010.820000000007</v>
      </c>
      <c r="O12" s="49">
        <v>245</v>
      </c>
      <c r="P12" s="9"/>
      <c r="Q12" s="11"/>
      <c r="R12" s="123"/>
      <c r="S12" s="11"/>
      <c r="T12" s="11"/>
      <c r="U12" s="11"/>
      <c r="V12" s="11"/>
      <c r="W12" s="11"/>
    </row>
    <row r="13" spans="1:23" ht="22" customHeight="1" x14ac:dyDescent="0.2">
      <c r="A13" s="125" t="s">
        <v>88</v>
      </c>
      <c r="B13" s="48">
        <f>B6-B9</f>
        <v>1436.33</v>
      </c>
      <c r="C13" s="46"/>
      <c r="D13" s="243" t="s">
        <v>88</v>
      </c>
      <c r="E13" s="11"/>
      <c r="F13" s="123"/>
      <c r="G13" s="125" t="s">
        <v>88</v>
      </c>
      <c r="H13" s="48">
        <f>H6-H9</f>
        <v>143.04</v>
      </c>
      <c r="I13" s="46"/>
      <c r="J13" s="9"/>
      <c r="K13" s="11"/>
      <c r="L13" s="123"/>
      <c r="M13" s="125" t="s">
        <v>88</v>
      </c>
      <c r="N13" s="48">
        <f>N6-N9</f>
        <v>6042.54</v>
      </c>
      <c r="O13" s="46"/>
      <c r="P13" s="9"/>
      <c r="Q13" s="11"/>
      <c r="R13" s="123"/>
      <c r="S13" s="11"/>
      <c r="T13" s="11"/>
      <c r="U13" s="11"/>
      <c r="V13" s="11"/>
      <c r="W13" s="11"/>
    </row>
    <row r="14" spans="1:23" ht="22" customHeight="1" x14ac:dyDescent="0.2">
      <c r="A14" s="50"/>
      <c r="B14" s="51"/>
      <c r="C14" s="11"/>
      <c r="D14" s="11"/>
      <c r="E14" s="11"/>
      <c r="F14" s="11"/>
      <c r="G14" s="39"/>
      <c r="H14" s="58"/>
      <c r="I14" s="11"/>
      <c r="J14" s="11"/>
      <c r="K14" s="11"/>
      <c r="L14" s="11"/>
      <c r="M14" s="39"/>
      <c r="N14" s="58"/>
      <c r="O14" s="11"/>
      <c r="P14" s="11"/>
      <c r="Q14" s="11"/>
      <c r="R14" s="11"/>
      <c r="S14" s="11"/>
      <c r="T14" s="11"/>
      <c r="U14" s="11"/>
      <c r="V14" s="11"/>
      <c r="W14" s="11"/>
    </row>
    <row r="15" spans="1:23" ht="22" customHeight="1" x14ac:dyDescent="0.2">
      <c r="A15" s="127" t="s">
        <v>90</v>
      </c>
      <c r="B15" s="63">
        <v>0</v>
      </c>
      <c r="C15" s="238"/>
      <c r="D15" s="237"/>
      <c r="E15" s="237"/>
      <c r="F15" s="11"/>
      <c r="G15" s="11"/>
      <c r="H15" s="11"/>
      <c r="I15" s="293"/>
      <c r="J15" s="293"/>
      <c r="K15" s="293"/>
      <c r="L15" s="11"/>
      <c r="M15" s="245" t="s">
        <v>362</v>
      </c>
      <c r="N15" s="63">
        <v>688</v>
      </c>
      <c r="O15" s="49">
        <v>215</v>
      </c>
      <c r="P15" s="11"/>
      <c r="Q15" s="11"/>
      <c r="R15" s="11"/>
      <c r="S15" s="11"/>
      <c r="T15" s="11"/>
      <c r="U15" s="11"/>
      <c r="V15" s="11"/>
      <c r="W15" s="11"/>
    </row>
    <row r="16" spans="1:23" ht="22" customHeight="1" x14ac:dyDescent="0.2">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2" customHeight="1" x14ac:dyDescent="0.2">
      <c r="A17" s="50"/>
      <c r="B17" s="51"/>
      <c r="C17" s="11"/>
      <c r="D17" s="11"/>
      <c r="E17" s="11"/>
      <c r="F17" s="11"/>
      <c r="G17" s="60"/>
      <c r="H17" s="42"/>
      <c r="I17" s="11"/>
      <c r="J17" s="11"/>
      <c r="K17" s="11"/>
      <c r="L17" s="11"/>
      <c r="M17" s="60"/>
      <c r="N17" s="42"/>
      <c r="O17" s="11"/>
      <c r="P17" s="11"/>
      <c r="Q17" s="11"/>
      <c r="R17" s="11"/>
      <c r="S17" s="11"/>
      <c r="T17" s="11"/>
      <c r="U17" s="11"/>
      <c r="V17" s="11"/>
      <c r="W17" s="11"/>
    </row>
    <row r="18" spans="1:23" ht="22" customHeight="1" x14ac:dyDescent="0.2">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2" customHeight="1" x14ac:dyDescent="0.2">
      <c r="A19" s="39"/>
      <c r="B19" s="39"/>
      <c r="C19" s="11"/>
      <c r="D19" s="11"/>
      <c r="E19" s="11"/>
      <c r="F19" s="11"/>
      <c r="G19" s="39"/>
      <c r="H19" s="39"/>
      <c r="I19" s="11"/>
      <c r="J19" s="11"/>
      <c r="K19" s="11"/>
      <c r="L19" s="11"/>
      <c r="M19" s="39"/>
      <c r="N19" s="39"/>
      <c r="O19" s="11"/>
      <c r="P19" s="11"/>
      <c r="Q19" s="11"/>
      <c r="S19" s="11"/>
      <c r="T19" s="11"/>
      <c r="U19" s="11"/>
      <c r="V19" s="11"/>
      <c r="W19" s="11"/>
    </row>
    <row r="20" spans="1:23" ht="22" customHeight="1" x14ac:dyDescent="0.2">
      <c r="A20" s="53"/>
      <c r="B20" s="53"/>
      <c r="C20" s="53"/>
      <c r="D20" s="53"/>
      <c r="E20" s="53"/>
      <c r="F20" s="11"/>
      <c r="G20" s="11"/>
      <c r="H20" s="11"/>
      <c r="I20" s="11"/>
      <c r="J20" s="11"/>
      <c r="K20" s="11"/>
      <c r="L20" s="11"/>
      <c r="M20" s="11"/>
      <c r="N20" s="11"/>
      <c r="O20" s="11"/>
      <c r="P20" s="11"/>
      <c r="Q20" s="11"/>
      <c r="S20" s="11"/>
      <c r="T20" s="11"/>
      <c r="U20" s="11"/>
      <c r="V20" s="11"/>
      <c r="W20" s="11"/>
    </row>
    <row r="21" spans="1:23" ht="22" customHeight="1" x14ac:dyDescent="0.2">
      <c r="A21" s="297" t="s">
        <v>356</v>
      </c>
      <c r="B21" s="292"/>
      <c r="C21" s="292"/>
      <c r="D21" s="292"/>
      <c r="E21" s="292"/>
      <c r="F21" s="76"/>
      <c r="G21" s="11"/>
      <c r="H21" s="11"/>
      <c r="I21" s="11"/>
      <c r="J21" s="11"/>
      <c r="K21" s="11"/>
      <c r="L21" s="11"/>
      <c r="M21" s="11"/>
      <c r="N21" s="11"/>
      <c r="O21" s="11"/>
      <c r="P21" s="11"/>
      <c r="Q21" s="11"/>
      <c r="S21" s="11"/>
      <c r="T21" s="11"/>
      <c r="U21" s="11"/>
      <c r="V21" s="11"/>
      <c r="W21" s="11"/>
    </row>
    <row r="22" spans="1:23" ht="22" customHeight="1" x14ac:dyDescent="0.2">
      <c r="A22" s="292"/>
      <c r="B22" s="292"/>
      <c r="C22" s="292"/>
      <c r="D22" s="292"/>
      <c r="E22" s="292"/>
      <c r="F22" s="76"/>
      <c r="G22" s="11"/>
      <c r="H22" s="11"/>
      <c r="I22" s="11"/>
      <c r="J22" s="11"/>
      <c r="K22" s="11"/>
      <c r="L22" s="11"/>
      <c r="M22" s="11"/>
      <c r="N22" s="11"/>
      <c r="O22" s="11"/>
      <c r="P22" s="11"/>
      <c r="Q22" s="11"/>
    </row>
    <row r="23" spans="1:23" ht="22" customHeight="1" x14ac:dyDescent="0.2">
      <c r="A23" s="67" t="s">
        <v>95</v>
      </c>
      <c r="B23" s="68">
        <f>'2022'!B17</f>
        <v>2410.52</v>
      </c>
      <c r="C23" s="247"/>
      <c r="D23" s="61"/>
      <c r="E23" s="61"/>
      <c r="F23" s="11"/>
      <c r="G23" s="11"/>
      <c r="H23" s="11"/>
      <c r="I23" s="11"/>
      <c r="J23" s="11"/>
      <c r="K23" s="11"/>
      <c r="L23" s="11"/>
      <c r="M23" s="11"/>
      <c r="N23" s="11"/>
      <c r="O23" s="11"/>
      <c r="P23" s="11"/>
      <c r="Q23" s="11"/>
    </row>
    <row r="24" spans="1:23" ht="22" customHeight="1" x14ac:dyDescent="0.2">
      <c r="A24" s="44" t="s">
        <v>172</v>
      </c>
      <c r="B24" s="45">
        <f>B12+H12+N12+T6</f>
        <v>78803.319999999992</v>
      </c>
      <c r="C24" s="64"/>
      <c r="D24" s="11"/>
      <c r="E24" s="11"/>
      <c r="F24" s="11"/>
      <c r="G24" s="11"/>
      <c r="H24" s="11"/>
      <c r="I24" s="11"/>
      <c r="J24" s="11"/>
      <c r="K24" s="11"/>
      <c r="L24" s="11"/>
      <c r="M24" s="11"/>
      <c r="N24" s="11"/>
      <c r="O24" s="11"/>
      <c r="P24" s="11"/>
      <c r="Q24" s="11"/>
    </row>
    <row r="25" spans="1:23" ht="22" customHeight="1" x14ac:dyDescent="0.25">
      <c r="A25" s="129" t="s">
        <v>97</v>
      </c>
      <c r="B25" s="130">
        <f>B23+B24</f>
        <v>81213.84</v>
      </c>
      <c r="C25" s="64"/>
      <c r="D25" s="11"/>
      <c r="E25" s="11"/>
      <c r="F25" s="11"/>
      <c r="G25" s="11"/>
      <c r="H25" s="11"/>
      <c r="I25" s="11"/>
      <c r="J25" s="11"/>
      <c r="K25" s="11"/>
      <c r="L25" s="11"/>
      <c r="M25" s="11"/>
      <c r="N25" s="11"/>
      <c r="O25" s="11"/>
      <c r="P25" s="11"/>
      <c r="Q25" s="11"/>
    </row>
    <row r="26" spans="1:23" ht="22" customHeight="1" x14ac:dyDescent="0.2">
      <c r="A26" s="72"/>
      <c r="B26" s="88"/>
      <c r="C26" s="11"/>
      <c r="D26" s="11"/>
      <c r="E26" s="11"/>
      <c r="F26" s="11"/>
      <c r="G26" s="11"/>
      <c r="H26" s="11"/>
      <c r="I26" s="11"/>
      <c r="J26" s="11"/>
      <c r="K26" s="11"/>
      <c r="L26" s="11"/>
      <c r="M26" s="11"/>
      <c r="N26" s="11"/>
      <c r="O26" s="11"/>
      <c r="P26" s="11"/>
      <c r="Q26" s="11"/>
    </row>
    <row r="27" spans="1:23" ht="22" customHeight="1" x14ac:dyDescent="0.2">
      <c r="A27" s="74" t="s">
        <v>98</v>
      </c>
      <c r="B27" s="77"/>
      <c r="C27" s="76"/>
      <c r="D27" s="11"/>
      <c r="E27" s="11"/>
      <c r="F27" s="11"/>
      <c r="G27" s="11"/>
      <c r="H27" s="11"/>
      <c r="I27" s="11"/>
      <c r="J27" s="11"/>
      <c r="K27" s="11"/>
      <c r="L27" s="11"/>
      <c r="M27" s="11"/>
      <c r="N27" s="11"/>
      <c r="O27" s="11"/>
      <c r="P27" s="11"/>
      <c r="Q27" s="11"/>
    </row>
    <row r="28" spans="1:23" ht="22" customHeight="1" x14ac:dyDescent="0.25">
      <c r="A28" s="79" t="s">
        <v>383</v>
      </c>
      <c r="B28" s="150">
        <f>'2022'!B14</f>
        <v>872.14</v>
      </c>
      <c r="D28" s="11"/>
      <c r="E28" s="11"/>
      <c r="F28" s="11"/>
      <c r="G28" s="11"/>
      <c r="H28" s="11"/>
      <c r="I28" s="11"/>
      <c r="J28" s="11"/>
      <c r="K28" s="11"/>
      <c r="L28" s="11"/>
      <c r="M28" s="11"/>
      <c r="N28" s="11"/>
      <c r="O28" s="11"/>
      <c r="P28" s="11"/>
      <c r="Q28" s="11"/>
    </row>
    <row r="29" spans="1:23" ht="22" customHeight="1" x14ac:dyDescent="0.2">
      <c r="A29" s="81"/>
      <c r="B29" s="151"/>
      <c r="C29" s="11"/>
      <c r="D29" s="11"/>
      <c r="E29" s="11"/>
      <c r="F29" s="11"/>
      <c r="G29" s="11"/>
      <c r="H29" s="11"/>
      <c r="I29" s="11"/>
      <c r="J29" s="11"/>
      <c r="K29" s="11"/>
      <c r="L29" s="11"/>
      <c r="M29" s="11"/>
      <c r="N29" s="11"/>
      <c r="O29" s="11"/>
      <c r="P29" s="11"/>
      <c r="Q29" s="11"/>
    </row>
    <row r="30" spans="1:23" ht="22" customHeight="1" x14ac:dyDescent="0.25">
      <c r="A30" s="83" t="s">
        <v>334</v>
      </c>
      <c r="B30" s="152">
        <f>B25-B28</f>
        <v>80341.7</v>
      </c>
      <c r="C30" s="64"/>
      <c r="D30" s="11"/>
      <c r="E30" s="11"/>
      <c r="F30" s="11"/>
      <c r="G30" s="11"/>
      <c r="H30" s="11"/>
      <c r="I30" s="11"/>
      <c r="J30" s="11"/>
      <c r="K30" s="11"/>
      <c r="L30" s="11"/>
      <c r="M30" s="11"/>
      <c r="N30" s="11"/>
      <c r="O30" s="11"/>
      <c r="P30" s="11"/>
      <c r="Q30" s="11"/>
    </row>
    <row r="31" spans="1:23" ht="22" customHeight="1" x14ac:dyDescent="0.25">
      <c r="A31" s="56" t="s">
        <v>102</v>
      </c>
      <c r="B31" s="91">
        <f>ROUND((B30-60000)*0.48+1400+4225+12180,2)</f>
        <v>27569.02</v>
      </c>
      <c r="C31" s="302" t="s">
        <v>370</v>
      </c>
      <c r="D31" s="282"/>
      <c r="E31" s="11"/>
      <c r="F31" s="11"/>
      <c r="G31" s="11"/>
      <c r="H31" s="11"/>
      <c r="I31" s="11"/>
      <c r="J31" s="11"/>
      <c r="K31" s="11"/>
      <c r="L31" s="11"/>
      <c r="M31" s="11"/>
      <c r="N31" s="11"/>
      <c r="O31" s="11"/>
      <c r="P31" s="11"/>
      <c r="Q31" s="11"/>
    </row>
    <row r="32" spans="1:23" ht="22" customHeight="1" x14ac:dyDescent="0.25">
      <c r="A32" s="56" t="s">
        <v>104</v>
      </c>
      <c r="B32" s="91">
        <f>ROUND((B13+H13+N13-620)*0.06,2)</f>
        <v>420.11</v>
      </c>
      <c r="C32" s="281" t="s">
        <v>105</v>
      </c>
      <c r="D32" s="282"/>
      <c r="E32" s="11"/>
      <c r="F32" s="11"/>
      <c r="G32" s="11"/>
      <c r="H32" s="11"/>
      <c r="I32" s="11"/>
      <c r="J32" s="11"/>
      <c r="K32" s="11"/>
      <c r="L32" s="11"/>
      <c r="M32" s="11"/>
      <c r="N32" s="11"/>
      <c r="O32" s="11"/>
      <c r="P32" s="11"/>
      <c r="Q32" s="11"/>
    </row>
    <row r="33" spans="1:17" ht="22" customHeight="1" x14ac:dyDescent="0.2">
      <c r="A33" s="86" t="s">
        <v>382</v>
      </c>
      <c r="B33" s="87">
        <f>400+21.33</f>
        <v>421.33</v>
      </c>
      <c r="C33" s="64"/>
      <c r="D33" s="11"/>
      <c r="E33" s="11"/>
      <c r="F33" s="11"/>
      <c r="G33" s="11"/>
      <c r="H33" s="11"/>
      <c r="I33" s="11"/>
      <c r="J33" s="11"/>
      <c r="K33" s="11"/>
      <c r="L33" s="11"/>
      <c r="M33" s="11"/>
      <c r="N33" s="11"/>
      <c r="O33" s="11"/>
      <c r="P33" s="11"/>
      <c r="Q33" s="11"/>
    </row>
    <row r="34" spans="1:17" ht="22" customHeight="1" x14ac:dyDescent="0.2">
      <c r="A34" s="72"/>
      <c r="B34" s="153"/>
      <c r="C34" s="11"/>
      <c r="D34" s="11"/>
      <c r="E34" s="11"/>
      <c r="F34" s="11"/>
      <c r="G34" s="11"/>
      <c r="H34" s="11"/>
      <c r="I34" s="11"/>
      <c r="J34" s="11"/>
      <c r="K34" s="11"/>
      <c r="L34" s="11"/>
      <c r="M34" s="11"/>
      <c r="N34" s="11"/>
      <c r="O34" s="11"/>
      <c r="P34" s="11"/>
      <c r="Q34" s="11"/>
    </row>
    <row r="35" spans="1:17" ht="22" customHeight="1" x14ac:dyDescent="0.25">
      <c r="A35" s="56" t="s">
        <v>107</v>
      </c>
      <c r="B35" s="91">
        <f>B31+B32-B33</f>
        <v>27567.8</v>
      </c>
      <c r="C35" s="76"/>
      <c r="D35" s="11"/>
      <c r="E35" s="11"/>
      <c r="F35" s="11"/>
      <c r="G35" s="11"/>
      <c r="H35" s="11"/>
      <c r="I35" s="11"/>
      <c r="J35" s="11"/>
      <c r="K35" s="11"/>
      <c r="L35" s="11"/>
      <c r="M35" s="11"/>
      <c r="N35" s="11"/>
      <c r="O35" s="11"/>
      <c r="P35" s="11"/>
      <c r="Q35" s="11"/>
    </row>
    <row r="36" spans="1:17" ht="22" customHeight="1" x14ac:dyDescent="0.2">
      <c r="A36" s="86" t="s">
        <v>175</v>
      </c>
      <c r="B36" s="87">
        <f>B18+H18+N18</f>
        <v>27346.58</v>
      </c>
      <c r="C36" s="64"/>
      <c r="D36" s="11"/>
      <c r="E36" s="11"/>
      <c r="F36" s="11"/>
      <c r="G36" s="11"/>
      <c r="H36" s="11"/>
      <c r="I36" s="11"/>
      <c r="J36" s="11"/>
      <c r="K36" s="11"/>
      <c r="L36" s="11"/>
      <c r="M36" s="11"/>
      <c r="N36" s="11"/>
      <c r="O36" s="11"/>
      <c r="P36" s="11"/>
      <c r="Q36" s="11"/>
    </row>
    <row r="37" spans="1:17" ht="22" customHeight="1" x14ac:dyDescent="0.2">
      <c r="A37" s="57" t="s">
        <v>109</v>
      </c>
      <c r="B37" s="154">
        <v>-0.22</v>
      </c>
      <c r="C37" s="11"/>
      <c r="D37" s="11"/>
      <c r="E37" s="11"/>
      <c r="F37" s="11"/>
      <c r="G37" s="11"/>
      <c r="H37" s="11"/>
      <c r="I37" s="11"/>
      <c r="J37" s="11"/>
      <c r="K37" s="11"/>
      <c r="L37" s="11"/>
      <c r="M37" s="11"/>
      <c r="N37" s="11"/>
      <c r="O37" s="11"/>
      <c r="P37" s="11"/>
      <c r="Q37" s="11"/>
    </row>
    <row r="38" spans="1:17" ht="22" customHeight="1" x14ac:dyDescent="0.2">
      <c r="A38" s="53"/>
      <c r="B38" s="155"/>
      <c r="C38" s="11"/>
      <c r="D38" s="11"/>
      <c r="E38" s="11"/>
      <c r="F38" s="11"/>
      <c r="G38" s="11"/>
      <c r="H38" s="11"/>
      <c r="I38" s="11"/>
      <c r="J38" s="11"/>
      <c r="K38" s="11"/>
      <c r="L38" s="11"/>
      <c r="M38" s="11"/>
      <c r="N38" s="11"/>
      <c r="O38" s="11"/>
      <c r="P38" s="11"/>
      <c r="Q38" s="11"/>
    </row>
    <row r="39" spans="1:17" ht="22" customHeight="1" x14ac:dyDescent="0.25">
      <c r="A39" s="56" t="s">
        <v>176</v>
      </c>
      <c r="B39" s="91">
        <f>B35-B36+B37</f>
        <v>220.99999999999753</v>
      </c>
      <c r="C39" s="76"/>
      <c r="D39" s="11"/>
      <c r="E39" s="11"/>
      <c r="F39" s="11"/>
      <c r="G39" s="11"/>
      <c r="H39" s="11"/>
      <c r="I39" s="11"/>
      <c r="J39" s="11"/>
      <c r="K39" s="11"/>
      <c r="L39" s="11"/>
      <c r="M39" s="11"/>
      <c r="N39" s="11"/>
      <c r="O39" s="11"/>
      <c r="P39" s="11"/>
      <c r="Q39" s="11"/>
    </row>
    <row r="40" spans="1:17" ht="22" customHeight="1" x14ac:dyDescent="0.2">
      <c r="A40" s="86" t="s">
        <v>357</v>
      </c>
      <c r="B40" s="87">
        <v>3257</v>
      </c>
      <c r="C40" s="64"/>
      <c r="D40" s="11"/>
      <c r="E40" s="11"/>
      <c r="F40" s="11"/>
      <c r="G40" s="11"/>
      <c r="H40" s="11"/>
      <c r="I40" s="11"/>
      <c r="J40" s="11"/>
      <c r="K40" s="11"/>
      <c r="L40" s="11"/>
      <c r="M40" s="11"/>
      <c r="N40" s="11"/>
      <c r="O40" s="11"/>
      <c r="P40" s="11"/>
      <c r="Q40" s="11"/>
    </row>
    <row r="41" spans="1:17" ht="22" customHeight="1" x14ac:dyDescent="0.2">
      <c r="A41" s="72"/>
      <c r="B41" s="153"/>
      <c r="C41" s="11"/>
      <c r="D41" s="11"/>
      <c r="E41" s="11"/>
      <c r="F41" s="11"/>
      <c r="G41" s="11"/>
      <c r="H41" s="11"/>
      <c r="I41" s="11"/>
      <c r="J41" s="11"/>
      <c r="K41" s="11"/>
      <c r="L41" s="11"/>
      <c r="M41" s="11"/>
      <c r="N41" s="11"/>
      <c r="O41" s="11"/>
      <c r="P41" s="11"/>
      <c r="Q41" s="11"/>
    </row>
    <row r="42" spans="1:17" ht="22" customHeight="1" x14ac:dyDescent="0.3">
      <c r="A42" s="156" t="s">
        <v>112</v>
      </c>
      <c r="B42" s="157">
        <f>B39-B40</f>
        <v>-3036.0000000000023</v>
      </c>
      <c r="C42" s="256" t="s">
        <v>397</v>
      </c>
      <c r="D42" s="11"/>
      <c r="E42" s="299" t="s">
        <v>375</v>
      </c>
      <c r="F42" s="300"/>
      <c r="G42" s="300"/>
      <c r="H42" s="301"/>
      <c r="I42" s="11"/>
      <c r="J42" s="11"/>
      <c r="K42" s="11"/>
      <c r="L42" s="11"/>
      <c r="M42" s="11"/>
      <c r="N42" s="11"/>
      <c r="O42" s="11"/>
      <c r="P42" s="11"/>
      <c r="Q42" s="11"/>
    </row>
    <row r="43" spans="1:17" ht="22" customHeight="1" x14ac:dyDescent="0.2">
      <c r="A43" s="61"/>
      <c r="B43" s="61"/>
      <c r="C43" s="11"/>
      <c r="D43" s="11"/>
      <c r="E43" s="253" t="s">
        <v>374</v>
      </c>
      <c r="F43" s="11">
        <f>105600/8</f>
        <v>13200</v>
      </c>
      <c r="G43" s="11"/>
      <c r="H43" s="11"/>
      <c r="I43" s="11"/>
      <c r="J43" s="11"/>
      <c r="K43" s="11"/>
      <c r="L43" s="11"/>
      <c r="M43" s="11"/>
      <c r="N43" s="11"/>
      <c r="O43" s="11"/>
      <c r="P43" s="11"/>
      <c r="Q43" s="11"/>
    </row>
    <row r="44" spans="1:17" ht="22" customHeight="1" x14ac:dyDescent="0.2">
      <c r="A44" s="11"/>
      <c r="B44" s="11"/>
      <c r="C44" s="11"/>
      <c r="D44" s="11"/>
      <c r="E44" s="253" t="s">
        <v>373</v>
      </c>
      <c r="F44" s="11">
        <f>SUM(F46:F53)</f>
        <v>69914</v>
      </c>
      <c r="G44" s="240">
        <f>N4-F45</f>
        <v>-161.44999999999709</v>
      </c>
      <c r="H44" s="253" t="s">
        <v>385</v>
      </c>
      <c r="I44" s="11"/>
      <c r="J44" s="11"/>
      <c r="K44" s="11"/>
      <c r="L44" s="11"/>
      <c r="M44" s="11"/>
      <c r="N44" s="11"/>
      <c r="O44" s="11"/>
      <c r="P44" s="11"/>
      <c r="Q44" s="11"/>
    </row>
    <row r="45" spans="1:17" ht="22" customHeight="1" x14ac:dyDescent="0.2">
      <c r="A45" s="11"/>
      <c r="B45" s="11"/>
      <c r="C45" s="11"/>
      <c r="D45" s="11"/>
      <c r="E45" s="255" t="s">
        <v>376</v>
      </c>
      <c r="F45" s="255">
        <f>F43+F44</f>
        <v>83114</v>
      </c>
      <c r="G45" s="11"/>
      <c r="H45" s="253" t="s">
        <v>384</v>
      </c>
      <c r="I45" s="11"/>
      <c r="J45" s="11"/>
      <c r="K45" s="11"/>
      <c r="L45" s="11"/>
      <c r="M45" s="11"/>
      <c r="N45" s="11"/>
      <c r="O45" s="11"/>
      <c r="P45" s="11"/>
      <c r="Q45" s="11"/>
    </row>
    <row r="46" spans="1:17" ht="22" customHeight="1" x14ac:dyDescent="0.25">
      <c r="A46" s="277" t="s">
        <v>358</v>
      </c>
      <c r="B46" s="278"/>
      <c r="C46" s="11"/>
      <c r="D46" s="11"/>
      <c r="E46" s="253" t="s">
        <v>42</v>
      </c>
      <c r="F46" s="11">
        <v>21457</v>
      </c>
      <c r="G46" s="11"/>
      <c r="H46" s="11"/>
      <c r="I46" s="11"/>
      <c r="J46" s="11"/>
      <c r="K46" s="11"/>
      <c r="L46" s="11"/>
      <c r="M46" s="11"/>
      <c r="N46" s="11"/>
      <c r="O46" s="11"/>
      <c r="P46" s="11"/>
      <c r="Q46" s="11"/>
    </row>
    <row r="47" spans="1:17" ht="22" customHeight="1" x14ac:dyDescent="0.2">
      <c r="A47" s="92" t="s">
        <v>179</v>
      </c>
      <c r="B47" s="66">
        <f>B4+H4+N4+T6</f>
        <v>98671.03</v>
      </c>
      <c r="C47" s="64"/>
      <c r="D47" s="11"/>
      <c r="E47" s="253" t="s">
        <v>43</v>
      </c>
      <c r="F47" s="11">
        <v>10652</v>
      </c>
      <c r="G47" s="11"/>
      <c r="H47" s="11"/>
      <c r="I47" s="11"/>
      <c r="J47" s="11"/>
      <c r="K47" s="11"/>
      <c r="L47" s="11"/>
      <c r="M47" s="11"/>
      <c r="N47" s="11"/>
      <c r="O47" s="11"/>
      <c r="P47" s="11"/>
      <c r="Q47" s="11"/>
    </row>
    <row r="48" spans="1:17" ht="22" customHeight="1" x14ac:dyDescent="0.2">
      <c r="A48" s="94" t="s">
        <v>115</v>
      </c>
      <c r="B48" s="133">
        <f>B10+H10+N10</f>
        <v>11556.12</v>
      </c>
      <c r="C48" s="64"/>
      <c r="D48" s="11"/>
      <c r="E48" s="253" t="s">
        <v>44</v>
      </c>
      <c r="F48" s="11">
        <v>5614</v>
      </c>
      <c r="G48" s="11"/>
      <c r="H48" s="11"/>
      <c r="I48" s="11"/>
      <c r="J48" s="11"/>
      <c r="K48" s="11"/>
      <c r="L48" s="11"/>
      <c r="M48" s="11"/>
      <c r="N48" s="11"/>
      <c r="O48" s="11"/>
      <c r="P48" s="11"/>
      <c r="Q48" s="11"/>
    </row>
    <row r="49" spans="1:17" ht="22" customHeight="1" x14ac:dyDescent="0.2">
      <c r="A49" s="94" t="s">
        <v>107</v>
      </c>
      <c r="B49" s="133">
        <f>B35</f>
        <v>27567.8</v>
      </c>
      <c r="C49" s="64"/>
      <c r="D49" s="11"/>
      <c r="E49" s="253" t="s">
        <v>371</v>
      </c>
      <c r="F49" s="11">
        <v>5763</v>
      </c>
      <c r="G49" s="11"/>
      <c r="H49" s="11"/>
      <c r="I49" s="11"/>
      <c r="J49" s="11"/>
      <c r="K49" s="11"/>
      <c r="L49" s="11"/>
      <c r="M49" s="11"/>
      <c r="N49" s="11"/>
      <c r="O49" s="11"/>
      <c r="P49" s="11"/>
      <c r="Q49" s="11"/>
    </row>
    <row r="50" spans="1:17" ht="22" customHeight="1" x14ac:dyDescent="0.2">
      <c r="A50" s="92" t="s">
        <v>335</v>
      </c>
      <c r="B50" s="66">
        <f>6025-'2022'!B20</f>
        <v>5985.52</v>
      </c>
      <c r="C50" s="64"/>
      <c r="D50" s="11"/>
      <c r="E50" s="253" t="s">
        <v>372</v>
      </c>
      <c r="F50" s="11">
        <v>5631</v>
      </c>
      <c r="G50" s="11"/>
      <c r="H50" s="11"/>
      <c r="I50" s="11"/>
      <c r="J50" s="11"/>
      <c r="K50" s="11"/>
      <c r="L50" s="11"/>
      <c r="M50" s="11"/>
      <c r="N50" s="11"/>
      <c r="O50" s="11"/>
      <c r="P50" s="11"/>
      <c r="Q50" s="11"/>
    </row>
    <row r="51" spans="1:17" ht="22" customHeight="1" x14ac:dyDescent="0.2">
      <c r="A51" s="96" t="s">
        <v>377</v>
      </c>
      <c r="B51" s="88"/>
      <c r="C51" s="64"/>
      <c r="D51" s="11"/>
      <c r="E51" s="253" t="s">
        <v>47</v>
      </c>
      <c r="F51" s="11">
        <v>5618</v>
      </c>
      <c r="G51" s="11"/>
      <c r="H51" s="11"/>
      <c r="I51" s="11"/>
      <c r="J51" s="11"/>
      <c r="K51" s="11"/>
      <c r="L51" s="11"/>
      <c r="M51" s="11"/>
      <c r="N51" s="11"/>
      <c r="O51" s="11"/>
      <c r="P51" s="11"/>
      <c r="Q51" s="11"/>
    </row>
    <row r="52" spans="1:17" ht="22" customHeight="1" x14ac:dyDescent="0.2">
      <c r="A52" s="96"/>
      <c r="B52" s="88"/>
      <c r="C52" s="11"/>
      <c r="D52" s="11"/>
      <c r="E52" s="253" t="s">
        <v>48</v>
      </c>
      <c r="F52" s="11">
        <v>9259</v>
      </c>
      <c r="G52" s="11"/>
      <c r="H52" s="11"/>
      <c r="I52" s="11"/>
      <c r="J52" s="11"/>
      <c r="K52" s="11"/>
      <c r="L52" s="11"/>
      <c r="M52" s="11"/>
      <c r="N52" s="11"/>
      <c r="O52" s="11"/>
      <c r="P52" s="11"/>
      <c r="Q52" s="11"/>
    </row>
    <row r="53" spans="1:17" ht="22" customHeight="1" x14ac:dyDescent="0.3">
      <c r="A53" s="156" t="s">
        <v>117</v>
      </c>
      <c r="B53" s="157">
        <f>B47-B48-B49+B50+B16</f>
        <v>65532.630000000005</v>
      </c>
      <c r="C53" s="76"/>
      <c r="D53" s="11"/>
      <c r="E53" s="254" t="s">
        <v>49</v>
      </c>
      <c r="F53" s="11">
        <v>5920</v>
      </c>
      <c r="G53" s="11"/>
      <c r="H53" s="11"/>
      <c r="I53" s="11"/>
      <c r="J53" s="11"/>
      <c r="K53" s="11"/>
      <c r="L53" s="11"/>
      <c r="M53" s="11"/>
      <c r="N53" s="11"/>
      <c r="O53" s="11"/>
      <c r="P53" s="11"/>
      <c r="Q53" s="11"/>
    </row>
  </sheetData>
  <mergeCells count="10">
    <mergeCell ref="A46:B46"/>
    <mergeCell ref="M1:Q2"/>
    <mergeCell ref="S1:W2"/>
    <mergeCell ref="E42:H42"/>
    <mergeCell ref="A1:E2"/>
    <mergeCell ref="G1:K2"/>
    <mergeCell ref="I15:K15"/>
    <mergeCell ref="A21:E22"/>
    <mergeCell ref="C31:D31"/>
    <mergeCell ref="C32:D32"/>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3"/>
  <sheetViews>
    <sheetView showGridLines="0" zoomScale="80" zoomScaleNormal="80" workbookViewId="0">
      <selection activeCell="G8" sqref="G8"/>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25" customHeight="1" x14ac:dyDescent="0.2">
      <c r="A9" s="9" t="s">
        <v>30</v>
      </c>
      <c r="B9" s="100">
        <f>B27</f>
        <v>71.412000000000006</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B32</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386</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367</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248</f>
        <v>248</v>
      </c>
      <c r="C13" s="243" t="s">
        <v>380</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872.14</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2410.52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36</v>
      </c>
      <c r="B20" s="109">
        <v>39.479999999999997</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11"/>
      <c r="B21" s="17"/>
      <c r="C21" s="11"/>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0"/>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5">
      <c r="A23" s="19" t="s">
        <v>37</v>
      </c>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
      <c r="A24" s="11"/>
      <c r="B24" s="158" t="s">
        <v>38</v>
      </c>
      <c r="C24" s="158" t="s">
        <v>39</v>
      </c>
      <c r="D24" s="158" t="s">
        <v>40</v>
      </c>
      <c r="E24" s="158" t="s">
        <v>41</v>
      </c>
      <c r="F24" s="158" t="s">
        <v>42</v>
      </c>
      <c r="G24" s="158" t="s">
        <v>43</v>
      </c>
      <c r="H24" s="158" t="s">
        <v>44</v>
      </c>
      <c r="I24" s="158" t="s">
        <v>45</v>
      </c>
      <c r="J24" s="158" t="s">
        <v>46</v>
      </c>
      <c r="K24" s="158" t="s">
        <v>47</v>
      </c>
      <c r="L24" s="158" t="s">
        <v>48</v>
      </c>
      <c r="M24" s="158" t="s">
        <v>49</v>
      </c>
      <c r="N24" s="11"/>
      <c r="O24" s="11"/>
      <c r="P24" s="11"/>
      <c r="Q24" s="11"/>
      <c r="R24" s="11"/>
      <c r="S24" s="11"/>
      <c r="T24" s="11"/>
      <c r="U24" s="11"/>
      <c r="V24" s="11"/>
      <c r="W24" s="11"/>
    </row>
    <row r="25" spans="1:23" ht="22.25" customHeight="1" x14ac:dyDescent="0.2">
      <c r="A25" s="9" t="s">
        <v>180</v>
      </c>
      <c r="B25" s="100">
        <v>9.9</v>
      </c>
      <c r="C25" s="100">
        <v>9.9</v>
      </c>
      <c r="D25" s="100">
        <v>9.9</v>
      </c>
      <c r="E25" s="100">
        <v>9.9</v>
      </c>
      <c r="F25" s="100">
        <v>9.9</v>
      </c>
      <c r="G25" s="100">
        <v>9.9</v>
      </c>
      <c r="H25" s="100">
        <v>9.9</v>
      </c>
      <c r="I25" s="100">
        <v>10.119999999999999</v>
      </c>
      <c r="J25" s="100">
        <v>9.9</v>
      </c>
      <c r="K25" s="100">
        <v>9.9</v>
      </c>
      <c r="L25" s="100">
        <v>9.9</v>
      </c>
      <c r="M25" s="100">
        <v>9.9</v>
      </c>
      <c r="N25" s="11"/>
      <c r="O25" s="11"/>
      <c r="P25" s="11"/>
      <c r="Q25" s="11"/>
      <c r="R25" s="11"/>
      <c r="S25" s="11"/>
      <c r="T25" s="11"/>
      <c r="U25" s="11"/>
      <c r="V25" s="11"/>
      <c r="W25" s="11"/>
    </row>
    <row r="26" spans="1:23" ht="22.25" customHeight="1" x14ac:dyDescent="0.2">
      <c r="A26" s="9" t="s">
        <v>59</v>
      </c>
      <c r="B26" s="110">
        <f>SUM(B25:M25)</f>
        <v>119.02000000000002</v>
      </c>
      <c r="C26" s="100"/>
      <c r="D26" s="100"/>
      <c r="E26" s="100"/>
      <c r="F26" s="100"/>
      <c r="G26" s="100"/>
      <c r="H26" s="100"/>
      <c r="I26" s="100"/>
      <c r="J26" s="100"/>
      <c r="K26" s="100"/>
      <c r="L26" s="100"/>
      <c r="M26" s="100"/>
      <c r="N26" s="11"/>
      <c r="O26" s="11"/>
      <c r="P26" s="11"/>
      <c r="Q26" s="11"/>
      <c r="R26" s="11"/>
      <c r="S26" s="11"/>
      <c r="T26" s="11"/>
      <c r="U26" s="11"/>
      <c r="V26" s="11"/>
      <c r="W26" s="11"/>
    </row>
    <row r="27" spans="1:23" ht="22.25" customHeight="1" x14ac:dyDescent="0.25">
      <c r="A27" s="28" t="s">
        <v>54</v>
      </c>
      <c r="B27" s="161">
        <f>0.6*B26</f>
        <v>71.412000000000006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32"/>
      <c r="C28" s="11"/>
      <c r="D28" s="11"/>
      <c r="E28" s="11"/>
      <c r="F28" s="11"/>
      <c r="G28" s="11"/>
      <c r="H28" s="11"/>
      <c r="I28" s="11"/>
      <c r="J28" s="11"/>
      <c r="K28" s="11"/>
      <c r="L28" s="11"/>
      <c r="M28" s="11"/>
      <c r="N28" s="11"/>
      <c r="O28" s="11"/>
      <c r="P28" s="11"/>
      <c r="Q28" s="11"/>
      <c r="R28" s="11"/>
      <c r="S28" s="11"/>
      <c r="T28" s="11"/>
      <c r="U28" s="11"/>
      <c r="V28" s="11"/>
      <c r="W28" s="11"/>
    </row>
    <row r="29" spans="1:23" ht="22.25" customHeight="1" x14ac:dyDescent="0.2">
      <c r="A29" s="9" t="s">
        <v>56</v>
      </c>
      <c r="B29" s="10"/>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243" t="s">
        <v>369</v>
      </c>
      <c r="B30" s="100">
        <v>384.06</v>
      </c>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368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5">
      <c r="A32" s="28" t="s">
        <v>59</v>
      </c>
      <c r="B32" s="161">
        <f>B30+B31</f>
        <v>405.26</v>
      </c>
      <c r="C32" s="33"/>
      <c r="D32" s="11"/>
      <c r="E32" s="11"/>
      <c r="F32" s="11"/>
      <c r="G32" s="11"/>
      <c r="H32" s="11"/>
      <c r="I32" s="11"/>
      <c r="J32" s="11"/>
      <c r="K32" s="11"/>
      <c r="L32" s="11"/>
      <c r="M32" s="11"/>
      <c r="N32" s="11"/>
      <c r="O32" s="11"/>
      <c r="P32" s="11"/>
      <c r="Q32" s="11"/>
      <c r="R32" s="11"/>
      <c r="S32" s="11"/>
      <c r="T32" s="11"/>
      <c r="U32" s="11"/>
      <c r="V32" s="11"/>
      <c r="W32" s="11"/>
    </row>
    <row r="33" spans="1:23" ht="22.25" customHeight="1" x14ac:dyDescent="0.2">
      <c r="A33" s="11"/>
      <c r="B33" s="114"/>
      <c r="C33" s="11"/>
      <c r="D33" s="11"/>
      <c r="E33" s="11"/>
      <c r="F33" s="11"/>
      <c r="G33" s="11"/>
      <c r="H33" s="11"/>
      <c r="I33" s="11"/>
      <c r="J33" s="11"/>
      <c r="K33" s="11"/>
      <c r="L33" s="11"/>
      <c r="M33" s="11"/>
      <c r="N33" s="11"/>
      <c r="O33" s="11"/>
      <c r="P33" s="11"/>
      <c r="Q33" s="11"/>
      <c r="R33" s="11"/>
      <c r="S33" s="11"/>
      <c r="T33" s="11"/>
      <c r="U33" s="11"/>
      <c r="V33" s="11"/>
      <c r="W33"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6CB2C-C161-4B3C-882F-FC67C0CD3691}">
  <sheetPr>
    <pageSetUpPr fitToPage="1"/>
  </sheetPr>
  <dimension ref="A1:H53"/>
  <sheetViews>
    <sheetView showGridLines="0" topLeftCell="A13" zoomScale="110" zoomScaleNormal="110" workbookViewId="0">
      <selection activeCell="A46" sqref="A46:B46"/>
    </sheetView>
  </sheetViews>
  <sheetFormatPr baseColWidth="10" defaultColWidth="12.25" defaultRowHeight="20" customHeight="1" x14ac:dyDescent="0.2"/>
  <cols>
    <col min="1" max="1" width="53.375" style="5" customWidth="1"/>
    <col min="2" max="2" width="13.625" style="5" customWidth="1"/>
    <col min="3" max="3" width="9.25" style="5" customWidth="1"/>
    <col min="4" max="4" width="39.625" style="5" customWidth="1"/>
    <col min="5" max="5" width="32.125" style="5" customWidth="1"/>
    <col min="6" max="6" width="13.75" style="5" customWidth="1"/>
    <col min="7" max="16384" width="12.25" style="5"/>
  </cols>
  <sheetData>
    <row r="1" spans="1:6" ht="22" customHeight="1" x14ac:dyDescent="0.2">
      <c r="A1" s="295" t="s">
        <v>398</v>
      </c>
      <c r="B1" s="295"/>
      <c r="C1" s="295"/>
      <c r="D1" s="295"/>
      <c r="E1" s="295"/>
      <c r="F1" s="122"/>
    </row>
    <row r="2" spans="1:6" ht="22" customHeight="1" x14ac:dyDescent="0.2">
      <c r="A2" s="298"/>
      <c r="B2" s="298"/>
      <c r="C2" s="298"/>
      <c r="D2" s="298"/>
      <c r="E2" s="298"/>
      <c r="F2" s="122"/>
    </row>
    <row r="3" spans="1:6" ht="22" customHeight="1" x14ac:dyDescent="0.2">
      <c r="A3" s="39"/>
      <c r="B3" s="39"/>
      <c r="C3" s="40" t="s">
        <v>76</v>
      </c>
      <c r="D3" s="39"/>
      <c r="E3" s="39"/>
      <c r="F3" s="11"/>
    </row>
    <row r="4" spans="1:6" ht="22" customHeight="1" x14ac:dyDescent="0.2">
      <c r="A4" s="41" t="s">
        <v>212</v>
      </c>
      <c r="B4" s="42">
        <v>127762.55</v>
      </c>
      <c r="C4" s="43">
        <v>210</v>
      </c>
      <c r="D4" s="11"/>
      <c r="E4" s="11"/>
      <c r="F4" s="11"/>
    </row>
    <row r="5" spans="1:6" ht="22" customHeight="1" x14ac:dyDescent="0.2">
      <c r="A5" s="124" t="s">
        <v>213</v>
      </c>
      <c r="B5" s="45">
        <f>B4-B6</f>
        <v>110239.41</v>
      </c>
      <c r="C5" s="46"/>
      <c r="D5" s="11"/>
      <c r="E5" s="11"/>
      <c r="F5" s="123"/>
    </row>
    <row r="6" spans="1:6" ht="22" customHeight="1" x14ac:dyDescent="0.2">
      <c r="A6" s="244" t="s">
        <v>359</v>
      </c>
      <c r="B6" s="48">
        <v>17523.14</v>
      </c>
      <c r="C6" s="49">
        <v>220</v>
      </c>
      <c r="D6" s="11"/>
      <c r="E6" s="11"/>
      <c r="F6" s="123"/>
    </row>
    <row r="7" spans="1:6" ht="22" customHeight="1" x14ac:dyDescent="0.2">
      <c r="A7" s="50"/>
      <c r="B7" s="51"/>
      <c r="C7" s="52"/>
      <c r="D7" s="53"/>
      <c r="E7" s="53"/>
      <c r="F7" s="11"/>
    </row>
    <row r="8" spans="1:6" ht="22" customHeight="1" x14ac:dyDescent="0.25">
      <c r="A8" s="124" t="s">
        <v>214</v>
      </c>
      <c r="B8" s="45">
        <v>12647.41</v>
      </c>
      <c r="C8" s="54">
        <v>230</v>
      </c>
      <c r="D8" s="55"/>
      <c r="E8" s="56"/>
      <c r="F8" s="126"/>
    </row>
    <row r="9" spans="1:6" ht="22" customHeight="1" x14ac:dyDescent="0.25">
      <c r="A9" s="125" t="s">
        <v>82</v>
      </c>
      <c r="B9" s="48">
        <v>2003.04</v>
      </c>
      <c r="C9" s="54">
        <v>225</v>
      </c>
      <c r="D9" s="55"/>
      <c r="E9" s="56"/>
      <c r="F9" s="126"/>
    </row>
    <row r="10" spans="1:6" ht="22" customHeight="1" x14ac:dyDescent="0.25">
      <c r="A10" s="57" t="s">
        <v>84</v>
      </c>
      <c r="B10" s="58">
        <f>B8+B9</f>
        <v>14650.45</v>
      </c>
      <c r="C10" s="59"/>
      <c r="D10" s="55"/>
      <c r="E10" s="56"/>
      <c r="F10" s="76"/>
    </row>
    <row r="11" spans="1:6" ht="22" customHeight="1" x14ac:dyDescent="0.2">
      <c r="A11" s="60"/>
      <c r="B11" s="42"/>
      <c r="C11" s="52"/>
      <c r="D11" s="61"/>
      <c r="E11" s="61"/>
      <c r="F11" s="11"/>
    </row>
    <row r="12" spans="1:6" ht="22" customHeight="1" x14ac:dyDescent="0.2">
      <c r="A12" s="124" t="s">
        <v>215</v>
      </c>
      <c r="B12" s="45">
        <f>B5-B8-B16-B15</f>
        <v>96560</v>
      </c>
      <c r="C12" s="49">
        <v>245</v>
      </c>
      <c r="D12" s="243" t="s">
        <v>399</v>
      </c>
      <c r="E12" s="11"/>
      <c r="F12" s="123"/>
    </row>
    <row r="13" spans="1:6" ht="22" customHeight="1" x14ac:dyDescent="0.2">
      <c r="A13" s="125" t="s">
        <v>88</v>
      </c>
      <c r="B13" s="48">
        <f>B6-B9</f>
        <v>15520.099999999999</v>
      </c>
      <c r="C13" s="46"/>
      <c r="D13" s="243"/>
      <c r="E13" s="11"/>
      <c r="F13" s="123"/>
    </row>
    <row r="14" spans="1:6" ht="22" customHeight="1" x14ac:dyDescent="0.2">
      <c r="A14" s="50"/>
      <c r="B14" s="51"/>
      <c r="C14" s="11"/>
      <c r="D14" s="11"/>
      <c r="E14" s="11"/>
      <c r="F14" s="11"/>
    </row>
    <row r="15" spans="1:6" ht="22" customHeight="1" x14ac:dyDescent="0.2">
      <c r="A15" s="245" t="s">
        <v>362</v>
      </c>
      <c r="B15" s="63">
        <v>1032</v>
      </c>
      <c r="C15" s="49">
        <v>215</v>
      </c>
      <c r="D15" s="237"/>
      <c r="E15" s="237"/>
      <c r="F15" s="11"/>
    </row>
    <row r="16" spans="1:6" ht="22" customHeight="1" x14ac:dyDescent="0.2">
      <c r="A16" s="127" t="s">
        <v>217</v>
      </c>
      <c r="B16" s="63">
        <v>0</v>
      </c>
      <c r="C16" s="49">
        <v>243</v>
      </c>
      <c r="D16" s="11"/>
      <c r="E16" s="11"/>
      <c r="F16" s="11"/>
    </row>
    <row r="17" spans="1:6" ht="22" customHeight="1" x14ac:dyDescent="0.2">
      <c r="A17" s="50"/>
      <c r="B17" s="51"/>
      <c r="C17" s="11"/>
      <c r="D17" s="11"/>
      <c r="E17" s="11"/>
      <c r="F17" s="11"/>
    </row>
    <row r="18" spans="1:6" ht="22" customHeight="1" x14ac:dyDescent="0.2">
      <c r="A18" s="128" t="s">
        <v>93</v>
      </c>
      <c r="B18" s="66">
        <v>35403</v>
      </c>
      <c r="C18" s="49">
        <v>260</v>
      </c>
      <c r="D18" s="11"/>
      <c r="E18" s="11"/>
      <c r="F18" s="123"/>
    </row>
    <row r="19" spans="1:6" ht="22" customHeight="1" x14ac:dyDescent="0.2">
      <c r="A19" s="39"/>
      <c r="B19" s="39"/>
      <c r="C19" s="11"/>
      <c r="D19" s="11"/>
      <c r="E19" s="11"/>
      <c r="F19" s="11"/>
    </row>
    <row r="20" spans="1:6" ht="22" customHeight="1" x14ac:dyDescent="0.2">
      <c r="A20" s="53"/>
      <c r="B20" s="53"/>
      <c r="C20" s="53"/>
      <c r="D20" s="53"/>
      <c r="E20" s="53"/>
      <c r="F20" s="11"/>
    </row>
    <row r="21" spans="1:6" ht="22" customHeight="1" x14ac:dyDescent="0.2">
      <c r="A21" s="297" t="s">
        <v>400</v>
      </c>
      <c r="B21" s="292"/>
      <c r="C21" s="292"/>
      <c r="D21" s="292"/>
      <c r="E21" s="292"/>
      <c r="F21" s="76"/>
    </row>
    <row r="22" spans="1:6" ht="22" customHeight="1" x14ac:dyDescent="0.2">
      <c r="A22" s="292"/>
      <c r="B22" s="292"/>
      <c r="C22" s="292"/>
      <c r="D22" s="292"/>
      <c r="E22" s="292"/>
      <c r="F22" s="76"/>
    </row>
    <row r="23" spans="1:6" ht="22" customHeight="1" x14ac:dyDescent="0.2">
      <c r="A23" s="67" t="s">
        <v>95</v>
      </c>
      <c r="B23" s="68">
        <f>'2023'!B18</f>
        <v>410.52</v>
      </c>
      <c r="C23" s="247"/>
      <c r="D23" s="61"/>
      <c r="E23" s="61"/>
      <c r="F23" s="11"/>
    </row>
    <row r="24" spans="1:6" ht="22" customHeight="1" x14ac:dyDescent="0.2">
      <c r="A24" s="44" t="s">
        <v>172</v>
      </c>
      <c r="B24" s="45">
        <f>B12</f>
        <v>96560</v>
      </c>
      <c r="C24" s="64"/>
      <c r="D24" s="11"/>
      <c r="E24" s="11"/>
      <c r="F24" s="11"/>
    </row>
    <row r="25" spans="1:6" ht="22" customHeight="1" x14ac:dyDescent="0.25">
      <c r="A25" s="129" t="s">
        <v>97</v>
      </c>
      <c r="B25" s="130">
        <f>IF(B23&gt;730,B23,0)+B24</f>
        <v>96560</v>
      </c>
      <c r="C25" s="260"/>
      <c r="D25" s="11"/>
      <c r="E25" s="11"/>
      <c r="F25" s="11"/>
    </row>
    <row r="26" spans="1:6" ht="22" customHeight="1" x14ac:dyDescent="0.2">
      <c r="A26" s="72"/>
      <c r="B26" s="88"/>
      <c r="C26" s="11"/>
      <c r="D26" s="11"/>
      <c r="E26" s="11"/>
      <c r="F26" s="11"/>
    </row>
    <row r="27" spans="1:6" ht="22" customHeight="1" x14ac:dyDescent="0.2">
      <c r="A27" s="74" t="s">
        <v>98</v>
      </c>
      <c r="B27" s="77"/>
      <c r="C27" s="76"/>
      <c r="D27" s="11"/>
      <c r="E27" s="11"/>
      <c r="F27" s="11"/>
    </row>
    <row r="28" spans="1:6" ht="22" customHeight="1" x14ac:dyDescent="0.25">
      <c r="A28" s="79" t="s">
        <v>383</v>
      </c>
      <c r="B28" s="150">
        <f>'2023'!B14</f>
        <v>530.678</v>
      </c>
      <c r="D28" s="11"/>
      <c r="E28" s="11"/>
      <c r="F28" s="11"/>
    </row>
    <row r="29" spans="1:6" ht="22" customHeight="1" x14ac:dyDescent="0.2">
      <c r="A29" s="81"/>
      <c r="B29" s="151"/>
      <c r="C29" s="11"/>
      <c r="D29" s="11"/>
      <c r="E29" s="11"/>
      <c r="F29" s="11"/>
    </row>
    <row r="30" spans="1:6" ht="22" customHeight="1" x14ac:dyDescent="0.25">
      <c r="A30" s="83" t="s">
        <v>334</v>
      </c>
      <c r="B30" s="152">
        <f>B25-B28</f>
        <v>96029.322</v>
      </c>
      <c r="C30" s="64"/>
      <c r="D30" s="11"/>
      <c r="E30" s="11"/>
      <c r="F30" s="11"/>
    </row>
    <row r="31" spans="1:6" ht="22" customHeight="1" x14ac:dyDescent="0.25">
      <c r="A31" s="56" t="s">
        <v>102</v>
      </c>
      <c r="B31" s="91">
        <f>ROUND((B30-93120)*0.5+32571.75,2)</f>
        <v>34026.410000000003</v>
      </c>
      <c r="C31" s="302" t="s">
        <v>406</v>
      </c>
      <c r="D31" s="282"/>
      <c r="E31" s="11"/>
      <c r="F31" s="11"/>
    </row>
    <row r="32" spans="1:6" ht="22" customHeight="1" x14ac:dyDescent="0.25">
      <c r="A32" s="56" t="s">
        <v>104</v>
      </c>
      <c r="B32" s="91">
        <f>ROUND((B13-620)*0.06,2)</f>
        <v>894.01</v>
      </c>
      <c r="C32" s="281" t="s">
        <v>105</v>
      </c>
      <c r="D32" s="282"/>
      <c r="E32" s="11"/>
      <c r="F32" s="11"/>
    </row>
    <row r="33" spans="1:8" ht="22" customHeight="1" x14ac:dyDescent="0.2">
      <c r="A33" s="86" t="s">
        <v>382</v>
      </c>
      <c r="B33" s="87">
        <f>421+'2023'!B16</f>
        <v>442.33</v>
      </c>
      <c r="C33" s="64"/>
      <c r="D33" s="11"/>
      <c r="E33" s="11"/>
      <c r="F33" s="11"/>
    </row>
    <row r="34" spans="1:8" ht="22" customHeight="1" x14ac:dyDescent="0.2">
      <c r="A34" s="72"/>
      <c r="B34" s="153"/>
      <c r="C34" s="11"/>
      <c r="D34" s="11"/>
      <c r="E34" s="11"/>
      <c r="F34" s="11"/>
    </row>
    <row r="35" spans="1:8" ht="22" customHeight="1" x14ac:dyDescent="0.25">
      <c r="A35" s="56" t="s">
        <v>107</v>
      </c>
      <c r="B35" s="91">
        <f>B31+B32-B33</f>
        <v>34478.090000000004</v>
      </c>
      <c r="C35" s="76"/>
      <c r="D35" s="11"/>
      <c r="E35" s="11"/>
      <c r="F35" s="11"/>
    </row>
    <row r="36" spans="1:8" ht="22" customHeight="1" x14ac:dyDescent="0.2">
      <c r="A36" s="86" t="s">
        <v>175</v>
      </c>
      <c r="B36" s="87">
        <f>B18</f>
        <v>35403</v>
      </c>
      <c r="C36" s="64"/>
      <c r="D36" s="11"/>
      <c r="E36" s="11"/>
      <c r="F36" s="11"/>
    </row>
    <row r="37" spans="1:8" ht="22" customHeight="1" x14ac:dyDescent="0.2">
      <c r="A37" s="57" t="s">
        <v>109</v>
      </c>
      <c r="B37" s="154">
        <v>-0.09</v>
      </c>
      <c r="C37" s="11"/>
      <c r="D37" s="11"/>
      <c r="E37" s="11"/>
      <c r="F37" s="11"/>
    </row>
    <row r="38" spans="1:8" ht="22" customHeight="1" x14ac:dyDescent="0.2">
      <c r="A38" s="53"/>
      <c r="B38" s="155"/>
      <c r="C38" s="11"/>
      <c r="D38" s="11"/>
      <c r="E38" s="11"/>
      <c r="F38" s="11"/>
    </row>
    <row r="39" spans="1:8" ht="22" customHeight="1" x14ac:dyDescent="0.25">
      <c r="A39" s="56" t="s">
        <v>176</v>
      </c>
      <c r="B39" s="91">
        <f>B35-B36+B37</f>
        <v>-924.99999999999625</v>
      </c>
      <c r="C39" s="76"/>
      <c r="D39" s="11"/>
      <c r="E39" s="11"/>
      <c r="F39" s="11"/>
    </row>
    <row r="40" spans="1:8" ht="22" customHeight="1" x14ac:dyDescent="0.2">
      <c r="A40" s="86" t="s">
        <v>405</v>
      </c>
      <c r="B40" s="87">
        <v>0</v>
      </c>
      <c r="C40" s="64"/>
      <c r="D40" s="11"/>
      <c r="E40" s="11"/>
      <c r="F40" s="11"/>
    </row>
    <row r="41" spans="1:8" ht="22" customHeight="1" x14ac:dyDescent="0.2">
      <c r="A41" s="72"/>
      <c r="B41" s="153"/>
      <c r="C41" s="11"/>
      <c r="D41" s="11"/>
      <c r="E41" s="11"/>
      <c r="F41" s="11"/>
    </row>
    <row r="42" spans="1:8" ht="22" customHeight="1" x14ac:dyDescent="0.3">
      <c r="A42" s="156" t="s">
        <v>112</v>
      </c>
      <c r="B42" s="157">
        <f>B39-B40</f>
        <v>-924.99999999999625</v>
      </c>
      <c r="C42" s="303" t="s">
        <v>407</v>
      </c>
      <c r="D42" s="304"/>
      <c r="E42" s="299" t="s">
        <v>423</v>
      </c>
      <c r="F42" s="300"/>
    </row>
    <row r="43" spans="1:8" ht="22" customHeight="1" x14ac:dyDescent="0.2">
      <c r="A43" s="61"/>
      <c r="B43" s="61"/>
      <c r="C43" s="305" t="s">
        <v>421</v>
      </c>
      <c r="D43" s="296"/>
      <c r="E43" s="253" t="s">
        <v>374</v>
      </c>
      <c r="F43" s="11">
        <f>18133+19500</f>
        <v>37633</v>
      </c>
    </row>
    <row r="44" spans="1:8" ht="22" customHeight="1" x14ac:dyDescent="0.2">
      <c r="A44" s="11"/>
      <c r="B44" s="11"/>
      <c r="C44" s="11"/>
      <c r="D44" s="11"/>
      <c r="E44" s="253" t="s">
        <v>412</v>
      </c>
      <c r="F44" s="258">
        <f>SUM(F46:F51)+SUM(H46:H51)</f>
        <v>90149</v>
      </c>
    </row>
    <row r="45" spans="1:8" ht="22" customHeight="1" x14ac:dyDescent="0.2">
      <c r="A45" s="11"/>
      <c r="B45" s="11"/>
      <c r="C45" s="11"/>
      <c r="D45" s="11"/>
      <c r="E45" s="255" t="s">
        <v>376</v>
      </c>
      <c r="F45" s="259">
        <f>F43+F44</f>
        <v>127782</v>
      </c>
    </row>
    <row r="46" spans="1:8" ht="22" customHeight="1" x14ac:dyDescent="0.25">
      <c r="A46" s="277" t="s">
        <v>426</v>
      </c>
      <c r="B46" s="278"/>
      <c r="C46" s="11"/>
      <c r="D46" s="11"/>
      <c r="E46" s="253" t="s">
        <v>38</v>
      </c>
      <c r="F46" s="258">
        <v>5804</v>
      </c>
      <c r="G46" s="253" t="s">
        <v>44</v>
      </c>
      <c r="H46" s="258">
        <v>6269</v>
      </c>
    </row>
    <row r="47" spans="1:8" ht="22" customHeight="1" x14ac:dyDescent="0.2">
      <c r="A47" s="92" t="s">
        <v>179</v>
      </c>
      <c r="B47" s="66">
        <f>B4</f>
        <v>127762.55</v>
      </c>
      <c r="C47" s="64"/>
      <c r="D47" s="11"/>
      <c r="E47" s="253" t="s">
        <v>39</v>
      </c>
      <c r="F47" s="258">
        <v>5723</v>
      </c>
      <c r="G47" s="253" t="s">
        <v>45</v>
      </c>
      <c r="H47" s="258">
        <v>6182</v>
      </c>
    </row>
    <row r="48" spans="1:8" ht="22" customHeight="1" x14ac:dyDescent="0.2">
      <c r="A48" s="94" t="s">
        <v>115</v>
      </c>
      <c r="B48" s="133">
        <f>B10</f>
        <v>14650.45</v>
      </c>
      <c r="C48" s="64"/>
      <c r="D48" s="11"/>
      <c r="E48" s="253" t="s">
        <v>40</v>
      </c>
      <c r="F48" s="258">
        <v>5614</v>
      </c>
      <c r="G48" s="253" t="s">
        <v>46</v>
      </c>
      <c r="H48" s="258">
        <v>6170</v>
      </c>
    </row>
    <row r="49" spans="1:8" ht="22" customHeight="1" x14ac:dyDescent="0.2">
      <c r="A49" s="94" t="s">
        <v>107</v>
      </c>
      <c r="B49" s="133">
        <f>B35</f>
        <v>34478.090000000004</v>
      </c>
      <c r="C49" s="64"/>
      <c r="D49" s="11"/>
      <c r="E49" s="253" t="s">
        <v>41</v>
      </c>
      <c r="F49" s="258">
        <v>5824</v>
      </c>
      <c r="G49" s="253" t="s">
        <v>411</v>
      </c>
      <c r="H49" s="258">
        <v>11353</v>
      </c>
    </row>
    <row r="50" spans="1:8" ht="22" customHeight="1" x14ac:dyDescent="0.2">
      <c r="A50" s="92" t="s">
        <v>335</v>
      </c>
      <c r="B50" s="66">
        <f>925-'2023'!B21</f>
        <v>885.52</v>
      </c>
      <c r="C50" s="64"/>
      <c r="D50" s="11"/>
      <c r="E50" s="253" t="s">
        <v>42</v>
      </c>
      <c r="F50" s="258">
        <v>6170</v>
      </c>
      <c r="G50" s="253" t="s">
        <v>410</v>
      </c>
      <c r="H50" s="258">
        <v>12340</v>
      </c>
    </row>
    <row r="51" spans="1:8" ht="22" customHeight="1" x14ac:dyDescent="0.2">
      <c r="A51" s="96" t="s">
        <v>377</v>
      </c>
      <c r="B51" s="88"/>
      <c r="C51" s="64"/>
      <c r="D51" s="11"/>
      <c r="E51" s="253" t="s">
        <v>422</v>
      </c>
      <c r="F51" s="258">
        <v>12530</v>
      </c>
      <c r="G51" s="253" t="s">
        <v>49</v>
      </c>
      <c r="H51" s="258">
        <v>6170</v>
      </c>
    </row>
    <row r="52" spans="1:8" ht="22" customHeight="1" x14ac:dyDescent="0.2">
      <c r="A52" s="96"/>
      <c r="B52" s="88"/>
      <c r="C52" s="11"/>
      <c r="D52" s="11"/>
      <c r="E52" s="253"/>
      <c r="F52" s="11"/>
    </row>
    <row r="53" spans="1:8" ht="22" customHeight="1" x14ac:dyDescent="0.3">
      <c r="A53" s="156" t="s">
        <v>117</v>
      </c>
      <c r="B53" s="157">
        <f>B47-B48-B49+B50+B16</f>
        <v>79519.530000000013</v>
      </c>
      <c r="C53" s="76"/>
      <c r="D53" s="11"/>
      <c r="E53" s="254"/>
      <c r="F53" s="11"/>
    </row>
  </sheetData>
  <mergeCells count="8">
    <mergeCell ref="C31:D31"/>
    <mergeCell ref="C32:D32"/>
    <mergeCell ref="E42:F42"/>
    <mergeCell ref="A46:B46"/>
    <mergeCell ref="A1:E2"/>
    <mergeCell ref="A21:E22"/>
    <mergeCell ref="C42:D42"/>
    <mergeCell ref="C43:D43"/>
  </mergeCells>
  <phoneticPr fontId="39" type="noConversion"/>
  <pageMargins left="1" right="1" top="1" bottom="1" header="0.25" footer="0.25"/>
  <pageSetup orientation="portrait" r:id="rId1"/>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15F9-6261-4D0C-989B-F6F420F5F9B7}">
  <sheetPr>
    <pageSetUpPr fitToPage="1"/>
  </sheetPr>
  <dimension ref="A1:W34"/>
  <sheetViews>
    <sheetView showGridLines="0" zoomScale="80" zoomScaleNormal="80" workbookViewId="0">
      <selection activeCell="B21" sqref="B21"/>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43.9</v>
      </c>
      <c r="G8" s="160">
        <f>B9</f>
        <v>74.478000000000009</v>
      </c>
      <c r="H8" s="240">
        <f>B11+B12</f>
        <v>164.29999999999998</v>
      </c>
      <c r="I8" s="11"/>
      <c r="J8" s="11"/>
      <c r="K8" s="11"/>
      <c r="L8" s="11"/>
      <c r="M8" s="11"/>
      <c r="N8" s="11"/>
      <c r="O8" s="11"/>
      <c r="P8" s="11"/>
      <c r="Q8" s="11"/>
      <c r="R8" s="11"/>
      <c r="S8" s="11"/>
      <c r="T8" s="11"/>
      <c r="U8" s="11"/>
      <c r="V8" s="11"/>
      <c r="W8" s="11"/>
    </row>
    <row r="9" spans="1:23" ht="22.25" customHeight="1" x14ac:dyDescent="0.2">
      <c r="A9" s="9" t="s">
        <v>30</v>
      </c>
      <c r="B9" s="100">
        <f>B28</f>
        <v>74.478000000000009</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B33</f>
        <v>43.9</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401</v>
      </c>
      <c r="B11" s="100">
        <f>218.4*0.6</f>
        <v>131.04</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402</v>
      </c>
      <c r="B12" s="101">
        <f>33.26</f>
        <v>33.26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248</f>
        <v>248</v>
      </c>
      <c r="C13" s="243" t="s">
        <v>380</v>
      </c>
      <c r="D13" s="11"/>
      <c r="E13" s="11" t="s">
        <v>404</v>
      </c>
      <c r="F13" s="136"/>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530.678</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261"/>
      <c r="B15" s="262"/>
      <c r="C15" s="64"/>
      <c r="D15" s="11"/>
      <c r="E15" s="257"/>
      <c r="F15" s="11"/>
      <c r="G15" s="11"/>
      <c r="H15" s="11"/>
      <c r="I15" s="11"/>
      <c r="J15" s="11"/>
      <c r="K15" s="11"/>
      <c r="L15" s="11"/>
      <c r="M15" s="11"/>
      <c r="N15" s="11"/>
      <c r="O15" s="11"/>
      <c r="P15" s="11"/>
      <c r="Q15" s="11"/>
      <c r="R15" s="11"/>
      <c r="S15" s="11"/>
      <c r="T15" s="11"/>
      <c r="U15" s="11"/>
      <c r="V15" s="11"/>
      <c r="W15" s="11"/>
    </row>
    <row r="16" spans="1:23" ht="22.25" customHeight="1" x14ac:dyDescent="0.2">
      <c r="A16" s="248" t="s">
        <v>413</v>
      </c>
      <c r="B16" s="101">
        <f>21.33</f>
        <v>21.33</v>
      </c>
      <c r="C16" s="243" t="s">
        <v>414</v>
      </c>
      <c r="D16" s="11"/>
      <c r="E16" s="5" t="s">
        <v>403</v>
      </c>
      <c r="F16" s="11"/>
      <c r="G16" s="11"/>
      <c r="H16" s="11"/>
      <c r="I16" s="11"/>
      <c r="J16" s="11"/>
      <c r="K16" s="11"/>
      <c r="L16" s="11"/>
      <c r="M16" s="11"/>
      <c r="N16" s="11"/>
      <c r="O16" s="11"/>
      <c r="P16" s="11"/>
      <c r="Q16" s="11"/>
      <c r="R16" s="11"/>
      <c r="S16" s="11"/>
      <c r="T16" s="11"/>
      <c r="U16" s="11"/>
      <c r="V16" s="11"/>
      <c r="W16" s="11"/>
    </row>
    <row r="17" spans="1:23" ht="22.25" customHeight="1" x14ac:dyDescent="0.2">
      <c r="A17" s="105"/>
      <c r="B17" s="101"/>
      <c r="C17" s="11"/>
      <c r="D17" s="11"/>
      <c r="E17" s="100"/>
      <c r="F17" s="11"/>
      <c r="G17" s="11"/>
      <c r="H17" s="11"/>
      <c r="I17" s="11"/>
      <c r="J17" s="11"/>
      <c r="K17" s="11"/>
      <c r="L17" s="11"/>
      <c r="M17" s="11"/>
      <c r="N17" s="11"/>
      <c r="O17" s="11"/>
      <c r="P17" s="11"/>
      <c r="Q17" s="11"/>
      <c r="R17" s="11"/>
      <c r="S17" s="11"/>
      <c r="T17" s="11"/>
      <c r="U17" s="11"/>
      <c r="V17" s="11"/>
      <c r="W17" s="11"/>
    </row>
    <row r="18" spans="1:23" ht="22.25" customHeight="1" x14ac:dyDescent="0.2">
      <c r="A18" s="147" t="s">
        <v>66</v>
      </c>
      <c r="B18" s="21">
        <v>410.52</v>
      </c>
      <c r="C18" s="22" t="s">
        <v>67</v>
      </c>
      <c r="D18" s="11"/>
      <c r="E18" s="11" t="s">
        <v>415</v>
      </c>
      <c r="F18" s="11"/>
      <c r="G18" s="11"/>
      <c r="H18" s="11"/>
      <c r="I18" s="11"/>
      <c r="J18" s="11"/>
      <c r="K18" s="11"/>
      <c r="L18" s="11"/>
      <c r="M18" s="11"/>
      <c r="N18" s="11"/>
      <c r="O18" s="11"/>
      <c r="P18" s="11"/>
      <c r="Q18" s="11"/>
      <c r="R18" s="11"/>
      <c r="S18" s="11"/>
      <c r="T18" s="11"/>
      <c r="U18" s="11"/>
      <c r="V18" s="11"/>
      <c r="W18" s="11"/>
    </row>
    <row r="19" spans="1:23" ht="22.25" customHeight="1" x14ac:dyDescent="0.2">
      <c r="A19" s="17"/>
      <c r="B19" s="108"/>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5">
      <c r="A20" s="19" t="s">
        <v>34</v>
      </c>
      <c r="B20" s="101"/>
      <c r="C20" s="11"/>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180</v>
      </c>
      <c r="B26" s="100">
        <v>9.9</v>
      </c>
      <c r="C26" s="100">
        <v>12.24</v>
      </c>
      <c r="D26" s="100">
        <v>9.9</v>
      </c>
      <c r="E26" s="100">
        <v>9.9</v>
      </c>
      <c r="F26" s="100">
        <v>9.9</v>
      </c>
      <c r="G26" s="100">
        <v>12.67</v>
      </c>
      <c r="H26" s="100">
        <v>9.9</v>
      </c>
      <c r="I26" s="100">
        <v>10.119999999999999</v>
      </c>
      <c r="J26" s="100">
        <v>9.9</v>
      </c>
      <c r="K26" s="100">
        <v>9.9</v>
      </c>
      <c r="L26" s="100">
        <v>9.9</v>
      </c>
      <c r="M26" s="100">
        <v>9.9</v>
      </c>
      <c r="N26" s="11"/>
      <c r="O26" s="11"/>
      <c r="P26" s="11"/>
      <c r="Q26" s="11"/>
      <c r="R26" s="11"/>
      <c r="S26" s="11"/>
      <c r="T26" s="11"/>
      <c r="U26" s="11"/>
      <c r="V26" s="11"/>
      <c r="W26" s="11"/>
    </row>
    <row r="27" spans="1:23" ht="22.25" customHeight="1" x14ac:dyDescent="0.2">
      <c r="A27" s="9" t="s">
        <v>59</v>
      </c>
      <c r="B27" s="110">
        <f>SUM(B26:M26)</f>
        <v>124.13000000000002</v>
      </c>
      <c r="C27" s="100"/>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5">
      <c r="A28" s="28" t="s">
        <v>54</v>
      </c>
      <c r="B28" s="161">
        <f>0.6*B27</f>
        <v>74.478000000000009</v>
      </c>
      <c r="C28" s="112"/>
      <c r="D28" s="100"/>
      <c r="E28" s="100"/>
      <c r="F28" s="100"/>
      <c r="G28" s="100"/>
      <c r="H28" s="100"/>
      <c r="I28" s="100"/>
      <c r="J28" s="100"/>
      <c r="K28" s="100"/>
      <c r="L28" s="100"/>
      <c r="M28" s="100"/>
      <c r="N28" s="11"/>
      <c r="O28" s="11"/>
      <c r="P28" s="11"/>
      <c r="Q28" s="11"/>
      <c r="R28" s="11"/>
      <c r="S28" s="11"/>
      <c r="T28" s="11"/>
      <c r="U28" s="11"/>
      <c r="V28" s="11"/>
      <c r="W28" s="11"/>
    </row>
    <row r="29" spans="1:23" ht="22.25" customHeight="1" x14ac:dyDescent="0.2">
      <c r="A29" s="11"/>
      <c r="B29" s="32"/>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9" t="s">
        <v>56</v>
      </c>
      <c r="B30" s="10"/>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408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
      <c r="A32" s="243" t="s">
        <v>409</v>
      </c>
      <c r="B32" s="100">
        <v>22.7</v>
      </c>
      <c r="C32" s="11"/>
      <c r="D32" s="11"/>
      <c r="E32" s="11"/>
      <c r="F32" s="11"/>
      <c r="G32" s="11"/>
      <c r="H32" s="11"/>
      <c r="I32" s="11"/>
      <c r="J32" s="11"/>
      <c r="K32" s="11"/>
      <c r="L32" s="11"/>
      <c r="M32" s="11"/>
      <c r="N32" s="11"/>
      <c r="O32" s="11"/>
      <c r="P32" s="11"/>
      <c r="Q32" s="11"/>
      <c r="R32" s="11"/>
      <c r="S32" s="11"/>
      <c r="T32" s="11"/>
      <c r="U32" s="11"/>
      <c r="V32" s="11"/>
      <c r="W32" s="11"/>
    </row>
    <row r="33" spans="1:23" ht="22.25" customHeight="1" x14ac:dyDescent="0.25">
      <c r="A33" s="28" t="s">
        <v>59</v>
      </c>
      <c r="B33" s="161">
        <f>B31+B32</f>
        <v>43.9</v>
      </c>
      <c r="C33" s="33"/>
      <c r="D33" s="11"/>
      <c r="E33" s="11"/>
      <c r="F33" s="11"/>
      <c r="G33" s="11"/>
      <c r="H33" s="11"/>
      <c r="I33" s="11"/>
      <c r="J33" s="11"/>
      <c r="K33" s="11"/>
      <c r="L33" s="11"/>
      <c r="M33" s="11"/>
      <c r="N33" s="11"/>
      <c r="O33" s="11"/>
      <c r="P33" s="11"/>
      <c r="Q33" s="11"/>
      <c r="R33" s="11"/>
      <c r="S33" s="11"/>
      <c r="T33" s="11"/>
      <c r="U33" s="11"/>
      <c r="V33" s="11"/>
      <c r="W33" s="11"/>
    </row>
    <row r="34" spans="1:23" ht="22.25" customHeight="1" x14ac:dyDescent="0.2">
      <c r="A34" s="11"/>
      <c r="B34" s="114"/>
      <c r="C34" s="11"/>
      <c r="D34" s="11"/>
      <c r="E34" s="11"/>
      <c r="F34" s="11"/>
      <c r="G34" s="11"/>
      <c r="H34" s="11"/>
      <c r="I34" s="11"/>
      <c r="J34" s="11"/>
      <c r="K34" s="11"/>
      <c r="L34" s="11"/>
      <c r="M34" s="11"/>
      <c r="N34" s="11"/>
      <c r="O34" s="11"/>
      <c r="P34" s="11"/>
      <c r="Q34" s="11"/>
      <c r="R34" s="11"/>
      <c r="S34" s="11"/>
      <c r="T34" s="11"/>
      <c r="U34" s="11"/>
      <c r="V34" s="11"/>
      <c r="W34" s="11"/>
    </row>
  </sheetData>
  <pageMargins left="1" right="1" top="1" bottom="1" header="0.25" footer="0.25"/>
  <pageSetup orientation="portrait"/>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51719-54A0-F142-A24C-859E119AF1E8}">
  <sheetPr>
    <pageSetUpPr fitToPage="1"/>
  </sheetPr>
  <dimension ref="A1:H56"/>
  <sheetViews>
    <sheetView showGridLines="0" tabSelected="1" topLeftCell="A21" zoomScale="110" zoomScaleNormal="110" workbookViewId="0">
      <selection activeCell="B56" sqref="B56"/>
    </sheetView>
  </sheetViews>
  <sheetFormatPr baseColWidth="10" defaultColWidth="12.25" defaultRowHeight="20" customHeight="1" x14ac:dyDescent="0.2"/>
  <cols>
    <col min="1" max="1" width="53.375" style="5" customWidth="1"/>
    <col min="2" max="2" width="13.625" style="5" customWidth="1"/>
    <col min="3" max="3" width="9.25" style="5" customWidth="1"/>
    <col min="4" max="4" width="39.625" style="5" customWidth="1"/>
    <col min="5" max="5" width="32.125" style="5" customWidth="1"/>
    <col min="6" max="6" width="18.75" style="5" customWidth="1"/>
    <col min="7" max="7" width="30.5" style="5" customWidth="1"/>
    <col min="8" max="8" width="21.125" style="5" customWidth="1"/>
    <col min="9" max="16384" width="12.25" style="5"/>
  </cols>
  <sheetData>
    <row r="1" spans="1:6" ht="22" customHeight="1" x14ac:dyDescent="0.2">
      <c r="A1" s="295" t="s">
        <v>424</v>
      </c>
      <c r="B1" s="295"/>
      <c r="C1" s="295"/>
      <c r="D1" s="295"/>
      <c r="E1" s="295"/>
      <c r="F1" s="122"/>
    </row>
    <row r="2" spans="1:6" ht="22" customHeight="1" x14ac:dyDescent="0.2">
      <c r="A2" s="298"/>
      <c r="B2" s="298"/>
      <c r="C2" s="298"/>
      <c r="D2" s="298"/>
      <c r="E2" s="298"/>
      <c r="F2" s="122"/>
    </row>
    <row r="3" spans="1:6" ht="22" customHeight="1" x14ac:dyDescent="0.2">
      <c r="A3" s="39"/>
      <c r="B3" s="39"/>
      <c r="C3" s="40" t="s">
        <v>76</v>
      </c>
      <c r="D3" s="39"/>
      <c r="E3" s="39"/>
      <c r="F3" s="11"/>
    </row>
    <row r="4" spans="1:6" ht="22" customHeight="1" x14ac:dyDescent="0.2">
      <c r="A4" s="41" t="s">
        <v>212</v>
      </c>
      <c r="B4" s="42">
        <v>158076.70000000001</v>
      </c>
      <c r="C4" s="43">
        <v>210</v>
      </c>
      <c r="D4" s="11"/>
      <c r="E4" s="11"/>
      <c r="F4" s="11"/>
    </row>
    <row r="5" spans="1:6" ht="22" customHeight="1" x14ac:dyDescent="0.2">
      <c r="A5" s="124" t="s">
        <v>213</v>
      </c>
      <c r="B5" s="45">
        <f>B4-B6</f>
        <v>135609.98000000001</v>
      </c>
      <c r="C5" s="46"/>
      <c r="D5" s="11"/>
      <c r="E5" s="11"/>
      <c r="F5" s="123"/>
    </row>
    <row r="6" spans="1:6" ht="22" customHeight="1" x14ac:dyDescent="0.2">
      <c r="A6" s="244" t="s">
        <v>359</v>
      </c>
      <c r="B6" s="48">
        <v>22466.720000000001</v>
      </c>
      <c r="C6" s="49">
        <v>220</v>
      </c>
      <c r="D6" s="11"/>
      <c r="E6" s="11"/>
      <c r="F6" s="123"/>
    </row>
    <row r="7" spans="1:6" ht="22" customHeight="1" x14ac:dyDescent="0.2">
      <c r="A7" s="50"/>
      <c r="B7" s="51"/>
      <c r="C7" s="52"/>
      <c r="D7" s="53"/>
      <c r="E7" s="53"/>
      <c r="F7" s="11"/>
    </row>
    <row r="8" spans="1:6" ht="22" customHeight="1" x14ac:dyDescent="0.25">
      <c r="A8" s="124" t="s">
        <v>214</v>
      </c>
      <c r="B8" s="45">
        <v>13154.28</v>
      </c>
      <c r="C8" s="54">
        <v>230</v>
      </c>
      <c r="D8" s="55"/>
      <c r="E8" s="56"/>
      <c r="F8" s="126"/>
    </row>
    <row r="9" spans="1:6" ht="22" customHeight="1" x14ac:dyDescent="0.25">
      <c r="A9" s="125" t="s">
        <v>82</v>
      </c>
      <c r="B9" s="48">
        <v>2068.88</v>
      </c>
      <c r="C9" s="54">
        <v>225</v>
      </c>
      <c r="D9" s="55"/>
      <c r="E9" s="56"/>
      <c r="F9" s="126"/>
    </row>
    <row r="10" spans="1:6" ht="22" customHeight="1" x14ac:dyDescent="0.25">
      <c r="A10" s="57" t="s">
        <v>84</v>
      </c>
      <c r="B10" s="58">
        <f>B8+B9</f>
        <v>15223.16</v>
      </c>
      <c r="C10" s="59"/>
      <c r="D10" s="55"/>
      <c r="E10" s="56"/>
      <c r="F10" s="76"/>
    </row>
    <row r="11" spans="1:6" ht="22" customHeight="1" x14ac:dyDescent="0.2">
      <c r="A11" s="60"/>
      <c r="B11" s="42"/>
      <c r="C11" s="52"/>
      <c r="D11" s="61"/>
      <c r="E11" s="61"/>
      <c r="F11" s="11"/>
    </row>
    <row r="12" spans="1:6" ht="22" customHeight="1" x14ac:dyDescent="0.2">
      <c r="A12" s="124" t="s">
        <v>215</v>
      </c>
      <c r="B12" s="45">
        <f>B5-B8-B16-B15</f>
        <v>120269.70000000001</v>
      </c>
      <c r="C12" s="49">
        <v>245</v>
      </c>
      <c r="D12" s="243" t="s">
        <v>399</v>
      </c>
      <c r="E12" s="11"/>
      <c r="F12" s="123"/>
    </row>
    <row r="13" spans="1:6" ht="22" customHeight="1" x14ac:dyDescent="0.2">
      <c r="A13" s="125" t="s">
        <v>88</v>
      </c>
      <c r="B13" s="48">
        <f>B6-B9</f>
        <v>20397.84</v>
      </c>
      <c r="C13" s="46"/>
      <c r="D13" s="243"/>
      <c r="E13" s="11"/>
      <c r="F13" s="123"/>
    </row>
    <row r="14" spans="1:6" ht="22" customHeight="1" x14ac:dyDescent="0.2">
      <c r="A14" s="50"/>
      <c r="B14" s="51"/>
      <c r="C14" s="11"/>
      <c r="D14" s="11"/>
      <c r="E14" s="11"/>
      <c r="F14" s="11"/>
    </row>
    <row r="15" spans="1:6" ht="22" customHeight="1" x14ac:dyDescent="0.2">
      <c r="A15" s="245" t="s">
        <v>362</v>
      </c>
      <c r="B15" s="63">
        <v>2186</v>
      </c>
      <c r="C15" s="49">
        <v>215</v>
      </c>
      <c r="D15" s="237"/>
      <c r="E15" s="237"/>
      <c r="F15" s="11"/>
    </row>
    <row r="16" spans="1:6" ht="22" customHeight="1" x14ac:dyDescent="0.2">
      <c r="A16" s="127" t="s">
        <v>217</v>
      </c>
      <c r="B16" s="63">
        <v>0</v>
      </c>
      <c r="C16" s="49">
        <v>243</v>
      </c>
      <c r="D16" s="11"/>
      <c r="E16" s="11"/>
      <c r="F16" s="11"/>
    </row>
    <row r="17" spans="1:6" ht="22" customHeight="1" x14ac:dyDescent="0.2">
      <c r="A17" s="50"/>
      <c r="B17" s="51"/>
      <c r="C17" s="11"/>
      <c r="D17" s="11"/>
      <c r="E17" s="11"/>
      <c r="F17" s="11"/>
    </row>
    <row r="18" spans="1:6" ht="22" customHeight="1" x14ac:dyDescent="0.2">
      <c r="A18" s="128" t="s">
        <v>93</v>
      </c>
      <c r="B18" s="66">
        <v>45878.89</v>
      </c>
      <c r="C18" s="49">
        <v>260</v>
      </c>
      <c r="D18" s="11"/>
      <c r="E18" s="11"/>
      <c r="F18" s="123"/>
    </row>
    <row r="19" spans="1:6" ht="22" customHeight="1" x14ac:dyDescent="0.2">
      <c r="A19" s="39"/>
      <c r="B19" s="39"/>
      <c r="C19" s="11"/>
      <c r="D19" s="11"/>
      <c r="E19" s="11"/>
      <c r="F19" s="11"/>
    </row>
    <row r="20" spans="1:6" ht="22" customHeight="1" x14ac:dyDescent="0.2">
      <c r="A20" s="53"/>
      <c r="B20" s="53"/>
      <c r="C20" s="53"/>
      <c r="D20" s="53"/>
      <c r="E20" s="53"/>
      <c r="F20" s="11"/>
    </row>
    <row r="21" spans="1:6" ht="22" customHeight="1" x14ac:dyDescent="0.2">
      <c r="A21" s="297" t="s">
        <v>425</v>
      </c>
      <c r="B21" s="292"/>
      <c r="C21" s="292"/>
      <c r="D21" s="292"/>
      <c r="E21" s="292"/>
      <c r="F21" s="76"/>
    </row>
    <row r="22" spans="1:6" ht="22" customHeight="1" x14ac:dyDescent="0.2">
      <c r="A22" s="292"/>
      <c r="B22" s="292"/>
      <c r="C22" s="292"/>
      <c r="D22" s="292"/>
      <c r="E22" s="292"/>
      <c r="F22" s="76"/>
    </row>
    <row r="23" spans="1:6" ht="22" customHeight="1" x14ac:dyDescent="0.2">
      <c r="A23" s="67" t="s">
        <v>95</v>
      </c>
      <c r="B23" s="68">
        <f>'2024'!B18</f>
        <v>-42.48</v>
      </c>
      <c r="C23" s="247"/>
      <c r="D23" s="61"/>
      <c r="E23" s="61"/>
      <c r="F23" s="11"/>
    </row>
    <row r="24" spans="1:6" ht="22" customHeight="1" x14ac:dyDescent="0.2">
      <c r="A24" s="266" t="s">
        <v>431</v>
      </c>
      <c r="B24" s="45">
        <v>195</v>
      </c>
      <c r="C24" s="265"/>
      <c r="D24" s="39"/>
      <c r="E24" s="39"/>
      <c r="F24" s="11"/>
    </row>
    <row r="25" spans="1:6" ht="22" customHeight="1" x14ac:dyDescent="0.2">
      <c r="A25" s="266" t="s">
        <v>432</v>
      </c>
      <c r="B25" s="45">
        <f>B12</f>
        <v>120269.70000000001</v>
      </c>
      <c r="C25" s="64"/>
      <c r="D25" s="11"/>
      <c r="E25" s="11"/>
      <c r="F25" s="11"/>
    </row>
    <row r="26" spans="1:6" ht="22" customHeight="1" x14ac:dyDescent="0.25">
      <c r="A26" s="129" t="s">
        <v>438</v>
      </c>
      <c r="B26" s="130">
        <f>B23+B24+B25</f>
        <v>120422.22000000002</v>
      </c>
      <c r="C26" s="260"/>
      <c r="D26" s="11"/>
      <c r="E26" s="11"/>
      <c r="F26" s="11"/>
    </row>
    <row r="27" spans="1:6" ht="22" customHeight="1" x14ac:dyDescent="0.2">
      <c r="A27" s="72"/>
      <c r="B27" s="88"/>
      <c r="C27" s="11"/>
      <c r="D27" s="11"/>
      <c r="E27" s="11"/>
      <c r="F27" s="11"/>
    </row>
    <row r="28" spans="1:6" ht="22" customHeight="1" x14ac:dyDescent="0.2">
      <c r="A28" s="74" t="s">
        <v>433</v>
      </c>
      <c r="B28" s="77">
        <v>15</v>
      </c>
      <c r="C28" s="64"/>
      <c r="D28" s="11"/>
      <c r="E28" s="11"/>
      <c r="F28" s="11"/>
    </row>
    <row r="29" spans="1:6" ht="22" customHeight="1" x14ac:dyDescent="0.2">
      <c r="A29" s="74" t="s">
        <v>25</v>
      </c>
      <c r="B29" s="77">
        <f>'2024'!B13</f>
        <v>132</v>
      </c>
      <c r="C29" s="64"/>
      <c r="D29" s="11"/>
      <c r="E29" s="11"/>
      <c r="F29" s="11"/>
    </row>
    <row r="30" spans="1:6" ht="22" customHeight="1" x14ac:dyDescent="0.2">
      <c r="A30" s="74" t="s">
        <v>381</v>
      </c>
      <c r="B30" s="77">
        <f>'2024'!B15</f>
        <v>372</v>
      </c>
      <c r="C30" s="76"/>
      <c r="D30" s="11"/>
      <c r="E30" s="11"/>
      <c r="F30" s="11"/>
    </row>
    <row r="31" spans="1:6" ht="22" customHeight="1" x14ac:dyDescent="0.25">
      <c r="A31" s="79" t="s">
        <v>434</v>
      </c>
      <c r="B31" s="150">
        <f>B29+B30+B28</f>
        <v>519</v>
      </c>
      <c r="D31" s="11"/>
      <c r="E31" s="11"/>
      <c r="F31" s="11"/>
    </row>
    <row r="32" spans="1:6" ht="22" customHeight="1" x14ac:dyDescent="0.2">
      <c r="A32" s="81"/>
      <c r="B32" s="151"/>
      <c r="C32" s="11"/>
      <c r="D32" s="11"/>
      <c r="E32" s="11"/>
      <c r="F32" s="11"/>
    </row>
    <row r="33" spans="1:6" ht="22" customHeight="1" x14ac:dyDescent="0.25">
      <c r="A33" s="83" t="s">
        <v>334</v>
      </c>
      <c r="B33" s="152">
        <f>B26-B31</f>
        <v>119903.22000000002</v>
      </c>
      <c r="C33" s="64"/>
      <c r="D33" s="11"/>
      <c r="E33" s="11"/>
      <c r="F33" s="11"/>
    </row>
    <row r="34" spans="1:6" ht="22" customHeight="1" x14ac:dyDescent="0.25">
      <c r="A34" s="56" t="s">
        <v>102</v>
      </c>
      <c r="B34" s="91">
        <f>ROUND((B33-99266)*0.5+34222.42,2)</f>
        <v>44541.03</v>
      </c>
      <c r="C34" s="302" t="s">
        <v>406</v>
      </c>
      <c r="D34" s="282"/>
      <c r="E34" s="11"/>
      <c r="F34" s="11"/>
    </row>
    <row r="35" spans="1:6" ht="22" customHeight="1" x14ac:dyDescent="0.25">
      <c r="A35" s="56" t="s">
        <v>104</v>
      </c>
      <c r="B35" s="91">
        <f>ROUND((B13-620)*0.06,2)</f>
        <v>1186.67</v>
      </c>
      <c r="C35" s="281" t="s">
        <v>105</v>
      </c>
      <c r="D35" s="282"/>
      <c r="E35" s="11"/>
      <c r="F35" s="11"/>
    </row>
    <row r="36" spans="1:6" ht="22" customHeight="1" x14ac:dyDescent="0.2">
      <c r="A36" s="86" t="s">
        <v>382</v>
      </c>
      <c r="B36" s="87">
        <f>463+'2024'!B16</f>
        <v>495</v>
      </c>
      <c r="C36" s="64"/>
      <c r="D36" s="11"/>
      <c r="E36" s="11"/>
      <c r="F36" s="11"/>
    </row>
    <row r="37" spans="1:6" ht="22" customHeight="1" x14ac:dyDescent="0.2">
      <c r="A37" s="72"/>
      <c r="B37" s="153"/>
      <c r="C37" s="11"/>
      <c r="D37" s="11"/>
      <c r="E37" s="11"/>
      <c r="F37" s="11"/>
    </row>
    <row r="38" spans="1:6" ht="22" customHeight="1" x14ac:dyDescent="0.25">
      <c r="A38" s="56" t="s">
        <v>107</v>
      </c>
      <c r="B38" s="91">
        <f>B34+B35-B36</f>
        <v>45232.7</v>
      </c>
      <c r="C38" s="76"/>
      <c r="D38" s="11"/>
      <c r="E38" s="11"/>
      <c r="F38" s="11"/>
    </row>
    <row r="39" spans="1:6" ht="22" customHeight="1" x14ac:dyDescent="0.2">
      <c r="A39" s="86" t="s">
        <v>175</v>
      </c>
      <c r="B39" s="87">
        <f>B18</f>
        <v>45878.89</v>
      </c>
      <c r="C39" s="64"/>
      <c r="D39" s="11"/>
      <c r="E39" s="11"/>
      <c r="F39" s="11"/>
    </row>
    <row r="40" spans="1:6" ht="22" customHeight="1" x14ac:dyDescent="0.2">
      <c r="A40" s="57" t="s">
        <v>109</v>
      </c>
      <c r="B40" s="154">
        <v>0.19</v>
      </c>
      <c r="C40" s="11"/>
      <c r="D40" s="11"/>
      <c r="E40" s="11"/>
      <c r="F40" s="11"/>
    </row>
    <row r="41" spans="1:6" ht="22" customHeight="1" x14ac:dyDescent="0.2">
      <c r="A41" s="53"/>
      <c r="B41" s="155"/>
      <c r="C41" s="11"/>
      <c r="D41" s="11"/>
      <c r="E41" s="11"/>
      <c r="F41" s="11"/>
    </row>
    <row r="42" spans="1:6" ht="22" customHeight="1" x14ac:dyDescent="0.25">
      <c r="A42" s="56" t="s">
        <v>176</v>
      </c>
      <c r="B42" s="91">
        <f>B38-B39+B40</f>
        <v>-646.00000000000227</v>
      </c>
      <c r="C42" s="76"/>
      <c r="D42" s="11"/>
      <c r="E42" s="11"/>
      <c r="F42" s="11"/>
    </row>
    <row r="43" spans="1:6" ht="22" customHeight="1" x14ac:dyDescent="0.2">
      <c r="A43" s="86" t="s">
        <v>435</v>
      </c>
      <c r="B43" s="87">
        <v>0</v>
      </c>
      <c r="C43" s="64"/>
      <c r="D43" s="11"/>
      <c r="E43" s="11"/>
      <c r="F43" s="11"/>
    </row>
    <row r="44" spans="1:6" ht="22" customHeight="1" x14ac:dyDescent="0.2">
      <c r="A44" s="72"/>
      <c r="B44" s="153"/>
      <c r="C44" s="11"/>
      <c r="D44" s="11"/>
      <c r="E44" s="11"/>
      <c r="F44" s="11"/>
    </row>
    <row r="45" spans="1:6" ht="22" customHeight="1" x14ac:dyDescent="0.3">
      <c r="A45" s="156" t="s">
        <v>112</v>
      </c>
      <c r="B45" s="157">
        <f>B42-B43</f>
        <v>-646.00000000000227</v>
      </c>
      <c r="C45" s="303" t="s">
        <v>439</v>
      </c>
      <c r="D45" s="304"/>
      <c r="E45" s="299" t="s">
        <v>423</v>
      </c>
      <c r="F45" s="300"/>
    </row>
    <row r="46" spans="1:6" ht="22" customHeight="1" x14ac:dyDescent="0.2">
      <c r="A46" s="61"/>
      <c r="B46" s="61"/>
      <c r="C46" s="305"/>
      <c r="D46" s="296"/>
      <c r="E46" s="253" t="s">
        <v>374</v>
      </c>
      <c r="F46" s="11">
        <f>20795.83+24551.94+4502.42+6105.58</f>
        <v>55955.770000000004</v>
      </c>
    </row>
    <row r="47" spans="1:6" ht="22" customHeight="1" x14ac:dyDescent="0.2">
      <c r="A47" s="11"/>
      <c r="B47" s="11"/>
      <c r="C47" s="11"/>
      <c r="D47" s="11"/>
      <c r="E47" s="253" t="s">
        <v>412</v>
      </c>
      <c r="F47" s="258">
        <f>SUM(F49:F54)+SUM(H49:H54)</f>
        <v>102751.8</v>
      </c>
    </row>
    <row r="48" spans="1:6" ht="22" customHeight="1" x14ac:dyDescent="0.2">
      <c r="A48" s="11"/>
      <c r="B48" s="11"/>
      <c r="C48" s="11"/>
      <c r="D48" s="11"/>
      <c r="E48" s="255" t="s">
        <v>376</v>
      </c>
      <c r="F48" s="259">
        <f>F46+F47</f>
        <v>158707.57</v>
      </c>
    </row>
    <row r="49" spans="1:8" ht="22" customHeight="1" x14ac:dyDescent="0.25">
      <c r="A49" s="277" t="s">
        <v>426</v>
      </c>
      <c r="B49" s="278"/>
      <c r="C49" s="11"/>
      <c r="D49" s="11"/>
      <c r="E49" s="253" t="s">
        <v>38</v>
      </c>
      <c r="F49" s="258">
        <v>6342.13</v>
      </c>
      <c r="G49" s="253" t="s">
        <v>44</v>
      </c>
      <c r="H49" s="258">
        <v>6681.5</v>
      </c>
    </row>
    <row r="50" spans="1:8" ht="22" customHeight="1" x14ac:dyDescent="0.2">
      <c r="A50" s="92" t="s">
        <v>179</v>
      </c>
      <c r="B50" s="66">
        <f>B4</f>
        <v>158076.70000000001</v>
      </c>
      <c r="C50" s="64"/>
      <c r="D50" s="11"/>
      <c r="E50" s="253" t="s">
        <v>39</v>
      </c>
      <c r="F50" s="258">
        <v>6454.29</v>
      </c>
      <c r="G50" s="253" t="s">
        <v>45</v>
      </c>
      <c r="H50" s="258">
        <v>7140.8</v>
      </c>
    </row>
    <row r="51" spans="1:8" ht="22" customHeight="1" x14ac:dyDescent="0.2">
      <c r="A51" s="94" t="s">
        <v>115</v>
      </c>
      <c r="B51" s="133">
        <f>B10</f>
        <v>15223.16</v>
      </c>
      <c r="C51" s="64"/>
      <c r="D51" s="11"/>
      <c r="E51" s="253" t="s">
        <v>40</v>
      </c>
      <c r="F51" s="258">
        <v>6379.64</v>
      </c>
      <c r="G51" s="253" t="s">
        <v>46</v>
      </c>
      <c r="H51" s="258">
        <v>6773.36</v>
      </c>
    </row>
    <row r="52" spans="1:8" ht="22" customHeight="1" x14ac:dyDescent="0.2">
      <c r="A52" s="94" t="s">
        <v>107</v>
      </c>
      <c r="B52" s="133">
        <f>B38</f>
        <v>45232.7</v>
      </c>
      <c r="C52" s="64"/>
      <c r="D52" s="11"/>
      <c r="E52" s="253" t="s">
        <v>41</v>
      </c>
      <c r="F52" s="258">
        <v>6362.83</v>
      </c>
      <c r="G52" s="253" t="s">
        <v>411</v>
      </c>
      <c r="H52" s="258">
        <v>15845.98</v>
      </c>
    </row>
    <row r="53" spans="1:8" ht="22" customHeight="1" x14ac:dyDescent="0.2">
      <c r="A53" s="92" t="s">
        <v>335</v>
      </c>
      <c r="B53" s="66">
        <f>0-'2024'!B21</f>
        <v>-42.48</v>
      </c>
      <c r="C53" s="64"/>
      <c r="D53" s="11"/>
      <c r="E53" s="253" t="s">
        <v>42</v>
      </c>
      <c r="F53" s="258">
        <v>6542.13</v>
      </c>
      <c r="G53" s="253" t="s">
        <v>410</v>
      </c>
      <c r="H53" s="258">
        <v>13546.72</v>
      </c>
    </row>
    <row r="54" spans="1:8" ht="22" customHeight="1" x14ac:dyDescent="0.2">
      <c r="A54" s="96" t="s">
        <v>377</v>
      </c>
      <c r="B54" s="88"/>
      <c r="C54" s="64"/>
      <c r="D54" s="11"/>
      <c r="E54" s="253" t="s">
        <v>422</v>
      </c>
      <c r="F54" s="258">
        <v>13702.37</v>
      </c>
      <c r="G54" s="253" t="s">
        <v>49</v>
      </c>
      <c r="H54" s="258">
        <v>6980.05</v>
      </c>
    </row>
    <row r="55" spans="1:8" ht="22" customHeight="1" x14ac:dyDescent="0.2">
      <c r="A55" s="96"/>
      <c r="B55" s="88"/>
      <c r="C55" s="11"/>
      <c r="D55" s="11"/>
      <c r="E55" s="253"/>
      <c r="F55" s="11"/>
    </row>
    <row r="56" spans="1:8" ht="22" customHeight="1" x14ac:dyDescent="0.3">
      <c r="A56" s="156" t="s">
        <v>117</v>
      </c>
      <c r="B56" s="157">
        <f>B50-B51-B52+B53+B16</f>
        <v>97578.360000000015</v>
      </c>
      <c r="C56" s="76"/>
      <c r="D56" s="11"/>
      <c r="E56" s="254"/>
      <c r="F56" s="11"/>
    </row>
  </sheetData>
  <mergeCells count="8">
    <mergeCell ref="C46:D46"/>
    <mergeCell ref="A49:B49"/>
    <mergeCell ref="A1:E2"/>
    <mergeCell ref="A21:E22"/>
    <mergeCell ref="C34:D34"/>
    <mergeCell ref="C35:D35"/>
    <mergeCell ref="C45:D45"/>
    <mergeCell ref="E45:F45"/>
  </mergeCells>
  <pageMargins left="1" right="1" top="1" bottom="1" header="0.25" footer="0.25"/>
  <pageSetup orientation="portrait" r:id="rId1"/>
  <headerFooter>
    <oddFooter>&amp;C&amp;"Helvetica Neue,Regular"&amp;12&amp;K000000&amp;P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2099-42BD-F041-8E3E-6D5DEA47325B}">
  <sheetPr>
    <pageSetUpPr fitToPage="1"/>
  </sheetPr>
  <dimension ref="A1:W34"/>
  <sheetViews>
    <sheetView showGridLines="0" zoomScale="110" zoomScaleNormal="110" workbookViewId="0">
      <selection activeCell="D15" sqref="D15"/>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47.4</v>
      </c>
      <c r="G8" s="160">
        <f>B9</f>
        <v>0</v>
      </c>
      <c r="H8" s="240">
        <f>B11+B12</f>
        <v>0</v>
      </c>
      <c r="I8" s="11"/>
      <c r="J8" s="11"/>
      <c r="K8" s="11"/>
      <c r="L8" s="11"/>
      <c r="M8" s="11"/>
      <c r="N8" s="11"/>
      <c r="O8" s="11"/>
      <c r="P8" s="11"/>
      <c r="Q8" s="11"/>
      <c r="R8" s="11"/>
      <c r="S8" s="11"/>
      <c r="T8" s="11"/>
      <c r="U8" s="11"/>
      <c r="V8" s="11"/>
      <c r="W8" s="11"/>
    </row>
    <row r="9" spans="1:23" ht="22.25" customHeight="1" x14ac:dyDescent="0.2">
      <c r="A9" s="9" t="s">
        <v>30</v>
      </c>
      <c r="B9" s="100">
        <v>0</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B33</f>
        <v>47.4</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c r="B11" s="100">
        <v>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c r="B12" s="101">
        <v>0</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47" t="s">
        <v>21</v>
      </c>
      <c r="B13" s="102">
        <f>IF(SUM(B9:B12)&gt;132,SUM(B9:B12),132)</f>
        <v>132</v>
      </c>
      <c r="C13" s="16"/>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267"/>
      <c r="B14" s="268"/>
      <c r="C14" s="269"/>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248" t="s">
        <v>381</v>
      </c>
      <c r="B15" s="101">
        <f>372</f>
        <v>372</v>
      </c>
      <c r="C15" s="243" t="s">
        <v>380</v>
      </c>
      <c r="D15" s="11"/>
      <c r="E15" s="253" t="s">
        <v>429</v>
      </c>
      <c r="F15" s="136"/>
      <c r="G15" s="11"/>
      <c r="H15" s="11"/>
      <c r="I15" s="11"/>
      <c r="J15" s="11"/>
      <c r="K15" s="11"/>
      <c r="L15" s="11"/>
      <c r="M15" s="11"/>
      <c r="N15" s="11"/>
      <c r="O15" s="11"/>
      <c r="P15" s="11"/>
      <c r="Q15" s="11"/>
      <c r="R15" s="11"/>
      <c r="S15" s="11"/>
      <c r="T15" s="11"/>
      <c r="U15" s="11"/>
      <c r="V15" s="11"/>
      <c r="W15" s="11"/>
    </row>
    <row r="16" spans="1:23" ht="22.25" customHeight="1" x14ac:dyDescent="0.2">
      <c r="A16" s="248" t="s">
        <v>413</v>
      </c>
      <c r="B16" s="101">
        <f>2*16</f>
        <v>32</v>
      </c>
      <c r="C16" s="243" t="s">
        <v>414</v>
      </c>
      <c r="D16" s="11"/>
      <c r="E16" s="263" t="s">
        <v>430</v>
      </c>
      <c r="F16" s="11"/>
      <c r="G16" s="11"/>
      <c r="H16" s="11"/>
      <c r="I16" s="11"/>
      <c r="J16" s="11"/>
      <c r="K16" s="11"/>
      <c r="L16" s="11"/>
      <c r="M16" s="11"/>
      <c r="N16" s="11"/>
      <c r="O16" s="11"/>
      <c r="P16" s="11"/>
      <c r="Q16" s="11"/>
      <c r="R16" s="11"/>
      <c r="S16" s="11"/>
      <c r="T16" s="11"/>
      <c r="U16" s="11"/>
      <c r="V16" s="11"/>
      <c r="W16" s="11"/>
    </row>
    <row r="17" spans="1:23" ht="22.25" customHeight="1" x14ac:dyDescent="0.2">
      <c r="A17" s="105"/>
      <c r="B17" s="101"/>
      <c r="C17" s="11"/>
      <c r="D17" s="11"/>
      <c r="E17" s="100"/>
      <c r="F17" s="11"/>
      <c r="G17" s="11"/>
      <c r="H17" s="11"/>
      <c r="I17" s="11"/>
      <c r="J17" s="11"/>
      <c r="K17" s="11"/>
      <c r="L17" s="11"/>
      <c r="M17" s="11"/>
      <c r="N17" s="11"/>
      <c r="O17" s="11"/>
      <c r="P17" s="11"/>
      <c r="Q17" s="11"/>
      <c r="R17" s="11"/>
      <c r="S17" s="11"/>
      <c r="T17" s="11"/>
      <c r="U17" s="11"/>
      <c r="V17" s="11"/>
      <c r="W17" s="11"/>
    </row>
    <row r="18" spans="1:23" ht="22.25" customHeight="1" x14ac:dyDescent="0.2">
      <c r="A18" s="147" t="s">
        <v>66</v>
      </c>
      <c r="B18" s="21">
        <v>-42.48</v>
      </c>
      <c r="C18" s="22" t="s">
        <v>67</v>
      </c>
      <c r="D18" s="11"/>
      <c r="E18" s="11" t="s">
        <v>415</v>
      </c>
      <c r="F18" s="11"/>
      <c r="G18" s="11"/>
      <c r="H18" s="11"/>
      <c r="I18" s="11"/>
      <c r="J18" s="11"/>
      <c r="K18" s="11"/>
      <c r="L18" s="11"/>
      <c r="M18" s="11"/>
      <c r="N18" s="11"/>
      <c r="O18" s="11"/>
      <c r="P18" s="11"/>
      <c r="Q18" s="11"/>
      <c r="R18" s="11"/>
      <c r="S18" s="11"/>
      <c r="T18" s="11"/>
      <c r="U18" s="11"/>
      <c r="V18" s="11"/>
      <c r="W18" s="11"/>
    </row>
    <row r="19" spans="1:23" ht="22.25" customHeight="1" x14ac:dyDescent="0.2">
      <c r="A19" s="17"/>
      <c r="B19" s="108"/>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5">
      <c r="A20" s="19" t="s">
        <v>34</v>
      </c>
      <c r="B20" s="101"/>
      <c r="C20" s="11"/>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42.48</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180</v>
      </c>
      <c r="B26" s="100">
        <v>9.9</v>
      </c>
      <c r="C26" s="100">
        <v>9.9</v>
      </c>
      <c r="D26" s="100">
        <v>9.9</v>
      </c>
      <c r="E26" s="100">
        <v>11.9</v>
      </c>
      <c r="F26" s="100">
        <v>11.9</v>
      </c>
      <c r="G26" s="100">
        <v>11.9</v>
      </c>
      <c r="H26" s="100">
        <v>11.9</v>
      </c>
      <c r="I26" s="100">
        <v>11.9</v>
      </c>
      <c r="J26" s="100">
        <v>11.9</v>
      </c>
      <c r="K26" s="100">
        <v>11.9</v>
      </c>
      <c r="L26" s="100">
        <v>11.9</v>
      </c>
      <c r="M26" s="100">
        <v>11.9</v>
      </c>
      <c r="N26" s="11"/>
      <c r="O26" s="11"/>
      <c r="P26" s="11"/>
      <c r="Q26" s="11"/>
      <c r="R26" s="11"/>
      <c r="S26" s="11"/>
      <c r="T26" s="11"/>
      <c r="U26" s="11"/>
      <c r="V26" s="11"/>
      <c r="W26" s="11"/>
    </row>
    <row r="27" spans="1:23" ht="22.25" customHeight="1" x14ac:dyDescent="0.2">
      <c r="A27" s="9" t="s">
        <v>59</v>
      </c>
      <c r="B27" s="110">
        <f>SUM(B26:M26)</f>
        <v>136.80000000000004</v>
      </c>
      <c r="C27" s="100"/>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5">
      <c r="A28" s="28" t="s">
        <v>54</v>
      </c>
      <c r="B28" s="161">
        <f>0.6*B27</f>
        <v>82.080000000000027</v>
      </c>
      <c r="C28" s="264" t="s">
        <v>436</v>
      </c>
      <c r="D28" s="100"/>
      <c r="E28" s="100"/>
      <c r="F28" s="100"/>
      <c r="G28" s="100"/>
      <c r="H28" s="100"/>
      <c r="I28" s="100"/>
      <c r="J28" s="100"/>
      <c r="K28" s="100"/>
      <c r="L28" s="100"/>
      <c r="M28" s="100"/>
      <c r="N28" s="11"/>
      <c r="O28" s="11"/>
      <c r="P28" s="11"/>
      <c r="Q28" s="11"/>
      <c r="R28" s="11"/>
      <c r="S28" s="11"/>
      <c r="T28" s="11"/>
      <c r="U28" s="11"/>
      <c r="V28" s="11"/>
      <c r="W28" s="11"/>
    </row>
    <row r="29" spans="1:23" ht="22.25" customHeight="1" x14ac:dyDescent="0.2">
      <c r="A29" s="11"/>
      <c r="B29" s="32"/>
      <c r="C29" s="253" t="s">
        <v>437</v>
      </c>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9" t="s">
        <v>56</v>
      </c>
      <c r="B30" s="10"/>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427</v>
      </c>
      <c r="B31" s="100">
        <v>22.7</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
      <c r="A32" s="243" t="s">
        <v>428</v>
      </c>
      <c r="B32" s="100">
        <v>24.7</v>
      </c>
      <c r="C32" s="11"/>
      <c r="D32" s="11"/>
      <c r="E32" s="11"/>
      <c r="F32" s="11"/>
      <c r="G32" s="11"/>
      <c r="H32" s="11"/>
      <c r="I32" s="11"/>
      <c r="J32" s="11"/>
      <c r="K32" s="11"/>
      <c r="L32" s="11"/>
      <c r="M32" s="11"/>
      <c r="N32" s="11"/>
      <c r="O32" s="11"/>
      <c r="P32" s="11"/>
      <c r="Q32" s="11"/>
      <c r="R32" s="11"/>
      <c r="S32" s="11"/>
      <c r="T32" s="11"/>
      <c r="U32" s="11"/>
      <c r="V32" s="11"/>
      <c r="W32" s="11"/>
    </row>
    <row r="33" spans="1:23" ht="22.25" customHeight="1" x14ac:dyDescent="0.25">
      <c r="A33" s="28" t="s">
        <v>59</v>
      </c>
      <c r="B33" s="161">
        <f>B31+B32</f>
        <v>47.4</v>
      </c>
      <c r="C33" s="33"/>
      <c r="D33" s="11"/>
      <c r="E33" s="11"/>
      <c r="F33" s="11"/>
      <c r="G33" s="11"/>
      <c r="H33" s="11"/>
      <c r="I33" s="11"/>
      <c r="J33" s="11"/>
      <c r="K33" s="11"/>
      <c r="L33" s="11"/>
      <c r="M33" s="11"/>
      <c r="N33" s="11"/>
      <c r="O33" s="11"/>
      <c r="P33" s="11"/>
      <c r="Q33" s="11"/>
      <c r="R33" s="11"/>
      <c r="S33" s="11"/>
      <c r="T33" s="11"/>
      <c r="U33" s="11"/>
      <c r="V33" s="11"/>
      <c r="W33" s="11"/>
    </row>
    <row r="34" spans="1:23" ht="22.25" customHeight="1" x14ac:dyDescent="0.2">
      <c r="A34" s="11"/>
      <c r="B34" s="114"/>
      <c r="C34" s="11"/>
      <c r="D34" s="11"/>
      <c r="E34" s="11"/>
      <c r="F34" s="11"/>
      <c r="G34" s="11"/>
      <c r="H34" s="11"/>
      <c r="I34" s="11"/>
      <c r="J34" s="11"/>
      <c r="K34" s="11"/>
      <c r="L34" s="11"/>
      <c r="M34" s="11"/>
      <c r="N34" s="11"/>
      <c r="O34" s="11"/>
      <c r="P34" s="11"/>
      <c r="Q34" s="11"/>
      <c r="R34" s="11"/>
      <c r="S34" s="11"/>
      <c r="T34" s="11"/>
      <c r="U34" s="11"/>
      <c r="V34" s="11"/>
      <c r="W34" s="11"/>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27"/>
  <sheetViews>
    <sheetView showGridLines="0" topLeftCell="A104" zoomScale="140" zoomScaleNormal="140" workbookViewId="0">
      <selection activeCell="E57" sqref="E57"/>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318" t="s">
        <v>232</v>
      </c>
      <c r="B1" s="319"/>
      <c r="C1" s="320"/>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43"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321" t="s">
        <v>249</v>
      </c>
      <c r="B11" s="322"/>
      <c r="C11" s="320"/>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321" t="s">
        <v>260</v>
      </c>
      <c r="B23" s="322"/>
      <c r="C23" s="320"/>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323" t="s">
        <v>276</v>
      </c>
      <c r="B40" s="324"/>
      <c r="C40" s="325"/>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310"/>
      <c r="E46" s="282"/>
      <c r="F46" s="282"/>
      <c r="G46" s="282"/>
      <c r="H46" s="282"/>
      <c r="I46" s="282"/>
      <c r="J46" s="282"/>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311" t="s">
        <v>288</v>
      </c>
      <c r="B55" s="312"/>
      <c r="C55" s="313"/>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314" t="s">
        <v>304</v>
      </c>
      <c r="B76" s="315"/>
      <c r="C76" s="64"/>
      <c r="D76" s="11"/>
      <c r="E76" s="11"/>
      <c r="F76" s="11"/>
      <c r="G76" s="11"/>
      <c r="H76" s="11"/>
      <c r="I76" s="11"/>
      <c r="J76" s="11"/>
    </row>
    <row r="77" spans="1:10" ht="22.25" customHeight="1" x14ac:dyDescent="0.2">
      <c r="A77" s="316"/>
      <c r="B77" s="315"/>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306" t="s">
        <v>307</v>
      </c>
      <c r="B80" s="317"/>
      <c r="C80" s="64"/>
      <c r="D80" s="11"/>
      <c r="E80" s="11"/>
      <c r="F80" s="11"/>
      <c r="G80" s="11"/>
      <c r="H80" s="11"/>
      <c r="I80" s="11"/>
      <c r="J80" s="11"/>
    </row>
    <row r="81" spans="1:10" ht="22.25" customHeight="1" x14ac:dyDescent="0.2">
      <c r="A81" s="316"/>
      <c r="B81" s="315"/>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306" t="s">
        <v>322</v>
      </c>
      <c r="B96" s="307"/>
      <c r="C96" s="11"/>
      <c r="D96" s="11"/>
      <c r="E96" s="11"/>
      <c r="F96" s="11"/>
      <c r="G96" s="11"/>
      <c r="H96" s="11"/>
      <c r="I96" s="11"/>
      <c r="J96" s="11"/>
    </row>
    <row r="97" spans="1:10" ht="22.25" customHeight="1" x14ac:dyDescent="0.2">
      <c r="A97" s="308"/>
      <c r="B97" s="293"/>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309" t="s">
        <v>352</v>
      </c>
      <c r="B109" s="307"/>
    </row>
    <row r="110" spans="1:10" ht="20" customHeight="1" x14ac:dyDescent="0.2">
      <c r="A110" s="308"/>
      <c r="B110" s="293"/>
    </row>
    <row r="111" spans="1:10" ht="20" customHeight="1" x14ac:dyDescent="0.3">
      <c r="A111" s="241" t="s">
        <v>353</v>
      </c>
      <c r="B111" s="76"/>
    </row>
    <row r="112" spans="1:10" ht="20" customHeight="1" x14ac:dyDescent="0.2">
      <c r="A112" s="242" t="s">
        <v>354</v>
      </c>
      <c r="B112" s="11"/>
    </row>
    <row r="113" spans="1:2" ht="20" customHeight="1" x14ac:dyDescent="0.2">
      <c r="A113" s="243" t="s">
        <v>379</v>
      </c>
      <c r="B113" s="11"/>
    </row>
    <row r="114" spans="1:2" ht="20" customHeight="1" x14ac:dyDescent="0.3">
      <c r="A114" s="230" t="s">
        <v>378</v>
      </c>
    </row>
    <row r="115" spans="1:2" ht="20" customHeight="1" x14ac:dyDescent="0.2">
      <c r="A115" s="243" t="s">
        <v>388</v>
      </c>
    </row>
    <row r="116" spans="1:2" ht="20" customHeight="1" x14ac:dyDescent="0.3">
      <c r="A116" s="230" t="s">
        <v>387</v>
      </c>
      <c r="B116" s="11"/>
    </row>
    <row r="117" spans="1:2" ht="20" customHeight="1" x14ac:dyDescent="0.2">
      <c r="A117" s="243" t="s">
        <v>389</v>
      </c>
    </row>
    <row r="118" spans="1:2" ht="20" customHeight="1" x14ac:dyDescent="0.3">
      <c r="A118" s="230" t="s">
        <v>391</v>
      </c>
    </row>
    <row r="119" spans="1:2" ht="20" customHeight="1" x14ac:dyDescent="0.2">
      <c r="A119" s="243" t="s">
        <v>392</v>
      </c>
    </row>
    <row r="120" spans="1:2" ht="20" customHeight="1" x14ac:dyDescent="0.3">
      <c r="A120" s="230" t="s">
        <v>393</v>
      </c>
    </row>
    <row r="121" spans="1:2" ht="20" customHeight="1" x14ac:dyDescent="0.2">
      <c r="A121" s="243" t="s">
        <v>394</v>
      </c>
    </row>
    <row r="122" spans="1:2" ht="20" customHeight="1" x14ac:dyDescent="0.3">
      <c r="A122" s="230" t="s">
        <v>395</v>
      </c>
    </row>
    <row r="123" spans="1:2" ht="20" customHeight="1" x14ac:dyDescent="0.2">
      <c r="A123" s="243" t="s">
        <v>396</v>
      </c>
    </row>
    <row r="124" spans="1:2" ht="20" customHeight="1" x14ac:dyDescent="0.2">
      <c r="A124" s="306" t="s">
        <v>416</v>
      </c>
      <c r="B124" s="307"/>
    </row>
    <row r="125" spans="1:2" ht="20" customHeight="1" x14ac:dyDescent="0.2">
      <c r="A125" s="308"/>
      <c r="B125" s="293"/>
    </row>
    <row r="126" spans="1:2" ht="20" customHeight="1" x14ac:dyDescent="0.3">
      <c r="A126" s="230" t="s">
        <v>417</v>
      </c>
      <c r="B126" s="76" t="s">
        <v>418</v>
      </c>
    </row>
    <row r="127" spans="1:2" ht="20" customHeight="1" x14ac:dyDescent="0.3">
      <c r="A127" s="230" t="s">
        <v>419</v>
      </c>
      <c r="B127" s="76" t="s">
        <v>420</v>
      </c>
    </row>
  </sheetData>
  <mergeCells count="11">
    <mergeCell ref="A1:C1"/>
    <mergeCell ref="A11:C11"/>
    <mergeCell ref="A23:C23"/>
    <mergeCell ref="A40:C40"/>
    <mergeCell ref="A96:B97"/>
    <mergeCell ref="A124:B125"/>
    <mergeCell ref="A109:B110"/>
    <mergeCell ref="D46:J46"/>
    <mergeCell ref="A55:C55"/>
    <mergeCell ref="A76:B77"/>
    <mergeCell ref="A80:B81"/>
  </mergeCells>
  <phoneticPr fontId="39" type="noConversion"/>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72" t="s">
        <v>75</v>
      </c>
      <c r="B1" s="273"/>
      <c r="C1" s="273"/>
      <c r="D1" s="273"/>
      <c r="E1" s="274"/>
    </row>
    <row r="2" spans="1:5" ht="22.25" customHeight="1" x14ac:dyDescent="0.2">
      <c r="A2" s="283"/>
      <c r="B2" s="284"/>
      <c r="C2" s="284"/>
      <c r="D2" s="284"/>
      <c r="E2" s="285"/>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79" t="s">
        <v>91</v>
      </c>
      <c r="D15" s="280"/>
      <c r="E15" s="280"/>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75" t="s">
        <v>94</v>
      </c>
      <c r="B21" s="276"/>
      <c r="C21" s="276"/>
      <c r="D21" s="276"/>
      <c r="E21" s="276"/>
    </row>
    <row r="22" spans="1:5" ht="22.25" customHeight="1" x14ac:dyDescent="0.2">
      <c r="A22" s="276"/>
      <c r="B22" s="276"/>
      <c r="C22" s="276"/>
      <c r="D22" s="276"/>
      <c r="E22" s="276"/>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81" t="s">
        <v>103</v>
      </c>
      <c r="D34" s="282"/>
      <c r="E34" s="11"/>
    </row>
    <row r="35" spans="1:5" ht="22.25" customHeight="1" x14ac:dyDescent="0.25">
      <c r="A35" s="56" t="s">
        <v>104</v>
      </c>
      <c r="B35" s="85">
        <f>ROUND((B13-620)*0.06,2)</f>
        <v>244.34</v>
      </c>
      <c r="C35" s="281" t="s">
        <v>105</v>
      </c>
      <c r="D35" s="282"/>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77" t="s">
        <v>113</v>
      </c>
      <c r="B49" s="278"/>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91" t="s">
        <v>166</v>
      </c>
      <c r="B1" s="287"/>
      <c r="C1" s="287"/>
      <c r="D1" s="287"/>
      <c r="E1" s="287"/>
      <c r="F1" s="122"/>
      <c r="G1" s="286" t="s">
        <v>167</v>
      </c>
      <c r="H1" s="287"/>
      <c r="I1" s="287"/>
      <c r="J1" s="287"/>
      <c r="K1" s="288"/>
    </row>
    <row r="2" spans="1:11" ht="22" customHeight="1" x14ac:dyDescent="0.2">
      <c r="A2" s="283"/>
      <c r="B2" s="289"/>
      <c r="C2" s="289"/>
      <c r="D2" s="289"/>
      <c r="E2" s="289"/>
      <c r="F2" s="122"/>
      <c r="G2" s="289"/>
      <c r="H2" s="289"/>
      <c r="I2" s="289"/>
      <c r="J2" s="289"/>
      <c r="K2" s="290"/>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79" t="s">
        <v>91</v>
      </c>
      <c r="D15" s="280"/>
      <c r="E15" s="280"/>
      <c r="F15" s="123"/>
      <c r="G15" s="127" t="s">
        <v>90</v>
      </c>
      <c r="H15" s="63">
        <v>413.13</v>
      </c>
      <c r="I15" s="279" t="s">
        <v>91</v>
      </c>
      <c r="J15" s="280"/>
      <c r="K15" s="280"/>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75" t="s">
        <v>171</v>
      </c>
      <c r="B21" s="292"/>
      <c r="C21" s="292"/>
      <c r="D21" s="292"/>
      <c r="E21" s="292"/>
      <c r="F21" s="76"/>
      <c r="G21" s="11"/>
      <c r="H21" s="11"/>
      <c r="I21" s="11"/>
      <c r="J21" s="11"/>
      <c r="K21" s="11"/>
    </row>
    <row r="22" spans="1:11" ht="22" customHeight="1" x14ac:dyDescent="0.2">
      <c r="A22" s="292"/>
      <c r="B22" s="292"/>
      <c r="C22" s="292"/>
      <c r="D22" s="292"/>
      <c r="E22" s="292"/>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81" t="s">
        <v>174</v>
      </c>
      <c r="D34" s="282"/>
      <c r="E34" s="11"/>
      <c r="F34" s="11"/>
      <c r="G34" s="11"/>
      <c r="H34" s="11"/>
      <c r="I34" s="11"/>
      <c r="J34" s="11"/>
      <c r="K34" s="11"/>
    </row>
    <row r="35" spans="1:11" ht="22" customHeight="1" x14ac:dyDescent="0.25">
      <c r="A35" s="56" t="s">
        <v>104</v>
      </c>
      <c r="B35" s="85">
        <f>ROUND((B13+H13-620)*0.06,2)</f>
        <v>312.08999999999997</v>
      </c>
      <c r="C35" s="281" t="s">
        <v>105</v>
      </c>
      <c r="D35" s="282"/>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77" t="s">
        <v>178</v>
      </c>
      <c r="B50" s="278"/>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2"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91" t="s">
        <v>192</v>
      </c>
      <c r="B1" s="287"/>
      <c r="C1" s="287"/>
      <c r="D1" s="287"/>
      <c r="E1" s="287"/>
      <c r="F1" s="122"/>
      <c r="G1" s="286" t="s">
        <v>193</v>
      </c>
      <c r="H1" s="287"/>
      <c r="I1" s="287"/>
      <c r="J1" s="287"/>
      <c r="K1" s="287"/>
      <c r="L1" s="122"/>
      <c r="M1" s="286" t="s">
        <v>194</v>
      </c>
      <c r="N1" s="287"/>
      <c r="O1" s="287"/>
      <c r="P1" s="287"/>
      <c r="Q1" s="288"/>
    </row>
    <row r="2" spans="1:17" ht="22" customHeight="1" x14ac:dyDescent="0.2">
      <c r="A2" s="283"/>
      <c r="B2" s="289"/>
      <c r="C2" s="289"/>
      <c r="D2" s="289"/>
      <c r="E2" s="289"/>
      <c r="F2" s="122"/>
      <c r="G2" s="289"/>
      <c r="H2" s="289"/>
      <c r="I2" s="289"/>
      <c r="J2" s="289"/>
      <c r="K2" s="289"/>
      <c r="L2" s="122"/>
      <c r="M2" s="289"/>
      <c r="N2" s="289"/>
      <c r="O2" s="289"/>
      <c r="P2" s="289"/>
      <c r="Q2" s="290"/>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79" t="s">
        <v>91</v>
      </c>
      <c r="D15" s="280"/>
      <c r="E15" s="280"/>
      <c r="F15" s="123"/>
      <c r="G15" s="127" t="s">
        <v>90</v>
      </c>
      <c r="H15" s="63">
        <v>13.93</v>
      </c>
      <c r="I15" s="279" t="s">
        <v>91</v>
      </c>
      <c r="J15" s="280"/>
      <c r="K15" s="280"/>
      <c r="L15" s="11"/>
      <c r="M15" s="11"/>
      <c r="N15" s="11"/>
      <c r="O15" s="293"/>
      <c r="P15" s="293"/>
      <c r="Q15" s="293"/>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75" t="s">
        <v>198</v>
      </c>
      <c r="B21" s="292"/>
      <c r="C21" s="292"/>
      <c r="D21" s="292"/>
      <c r="E21" s="292"/>
      <c r="F21" s="76"/>
      <c r="G21" s="11"/>
      <c r="H21" s="11"/>
      <c r="I21" s="11"/>
      <c r="J21" s="11"/>
      <c r="K21" s="11"/>
      <c r="L21" s="11"/>
      <c r="M21" s="11"/>
      <c r="N21" s="11"/>
      <c r="O21" s="11"/>
      <c r="P21" s="11"/>
      <c r="Q21" s="11"/>
    </row>
    <row r="22" spans="1:17" ht="22" customHeight="1" x14ac:dyDescent="0.2">
      <c r="A22" s="292"/>
      <c r="B22" s="292"/>
      <c r="C22" s="292"/>
      <c r="D22" s="292"/>
      <c r="E22" s="292"/>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81" t="s">
        <v>174</v>
      </c>
      <c r="D33" s="282"/>
      <c r="E33" s="11"/>
      <c r="F33" s="11"/>
      <c r="G33" s="11"/>
      <c r="H33" s="11"/>
      <c r="I33" s="11"/>
      <c r="J33" s="11"/>
      <c r="K33" s="11"/>
      <c r="L33" s="11"/>
      <c r="M33" s="11"/>
      <c r="N33" s="11"/>
      <c r="O33" s="11"/>
      <c r="P33" s="11"/>
      <c r="Q33" s="11"/>
    </row>
    <row r="34" spans="1:17" ht="22" customHeight="1" x14ac:dyDescent="0.25">
      <c r="A34" s="56" t="s">
        <v>104</v>
      </c>
      <c r="B34" s="85">
        <f>ROUND((B13+H13+N13-620)*0.06,2)</f>
        <v>329.36</v>
      </c>
      <c r="C34" s="281" t="s">
        <v>105</v>
      </c>
      <c r="D34" s="282"/>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77" t="s">
        <v>201</v>
      </c>
      <c r="B47" s="278"/>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Berechnung 2023</vt:lpstr>
      <vt:lpstr>2023</vt:lpstr>
      <vt:lpstr>Berechnung 2024</vt:lpstr>
      <vt:lpstr>2024</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2025-04-10T08:19:47Z</dcterms:modified>
  <cp:category/>
  <cp:contentStatus/>
</cp:coreProperties>
</file>