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omments3.xml" ContentType="application/vnd.openxmlformats-officedocument.spreadsheetml.comment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40" windowHeight="2600" tabRatio="582" firstSheet="7" activeTab="10"/>
  </bookViews>
  <sheets>
    <sheet name="BD - Heats Maps (2)" sheetId="52" state="hidden" r:id="rId1"/>
    <sheet name="Dragons - Unlock" sheetId="54" r:id="rId2"/>
    <sheet name="Run - Duration" sheetId="13" r:id="rId3"/>
    <sheet name="Pets list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  <sheet name="Quest Calculator" sheetId="58" r:id="rId10"/>
    <sheet name="Offers IAPs&amp;Texts" sheetId="59" r:id="rId11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M31" i="57" l="1"/>
  <c r="M146" i="57" s="1"/>
  <c r="H146" i="57" l="1"/>
  <c r="C146" i="57"/>
  <c r="C85" i="57"/>
  <c r="H85" i="57"/>
  <c r="M86" i="57"/>
  <c r="M85" i="57"/>
  <c r="B26" i="57"/>
  <c r="S31" i="57"/>
  <c r="P31" i="57"/>
  <c r="G31" i="57"/>
  <c r="J31" i="57"/>
  <c r="N30" i="56"/>
  <c r="AJ29" i="56"/>
  <c r="AI29" i="56"/>
  <c r="AH29" i="56"/>
  <c r="AG29" i="56"/>
  <c r="AF29" i="56"/>
  <c r="AE29" i="56"/>
  <c r="AD29" i="56"/>
  <c r="AC29" i="56"/>
  <c r="AB29" i="56"/>
  <c r="AA29" i="56"/>
  <c r="Z29" i="56"/>
  <c r="Y29" i="56"/>
  <c r="X29" i="56"/>
  <c r="W29" i="56"/>
  <c r="N29" i="56"/>
  <c r="M28" i="2"/>
  <c r="N28" i="2" s="1"/>
  <c r="N33" i="2"/>
  <c r="M33" i="2"/>
  <c r="L33" i="2"/>
  <c r="L28" i="2"/>
  <c r="I28" i="2"/>
  <c r="H28" i="2"/>
  <c r="I33" i="2"/>
  <c r="H33" i="2"/>
  <c r="G33" i="2"/>
  <c r="G28" i="2"/>
  <c r="E40" i="2"/>
  <c r="B101" i="55"/>
  <c r="B102" i="55"/>
  <c r="L34" i="55"/>
  <c r="G36" i="55"/>
  <c r="F36" i="55"/>
  <c r="F34" i="55"/>
  <c r="C62" i="55"/>
  <c r="Y63" i="55"/>
  <c r="X63" i="55"/>
  <c r="W63" i="55"/>
  <c r="V63" i="55"/>
  <c r="U63" i="55"/>
  <c r="T63" i="55"/>
  <c r="S63" i="55"/>
  <c r="R63" i="55"/>
  <c r="Q63" i="55"/>
  <c r="P63" i="55"/>
  <c r="O63" i="55"/>
  <c r="N63" i="55"/>
  <c r="M63" i="55"/>
  <c r="L63" i="55"/>
  <c r="K63" i="55"/>
  <c r="J63" i="55"/>
  <c r="I63" i="55"/>
  <c r="H63" i="55"/>
  <c r="G63" i="55"/>
  <c r="F63" i="55"/>
  <c r="D64" i="55" a="1"/>
  <c r="D64" i="55" s="1"/>
  <c r="C64" i="55"/>
  <c r="C63" i="55"/>
  <c r="E26" i="55"/>
  <c r="C26" i="55"/>
  <c r="C22" i="13"/>
  <c r="Q11" i="54"/>
  <c r="Q9" i="54"/>
  <c r="M148" i="57" l="1"/>
  <c r="H148" i="57"/>
  <c r="C148" i="57"/>
  <c r="M147" i="57"/>
  <c r="H147" i="57"/>
  <c r="C147" i="57"/>
  <c r="H145" i="57"/>
  <c r="C145" i="57"/>
  <c r="M145" i="57"/>
  <c r="L29" i="56"/>
  <c r="I29" i="56" s="1"/>
  <c r="M29" i="56"/>
  <c r="K29" i="56"/>
  <c r="J29" i="56"/>
  <c r="H29" i="56" s="1"/>
  <c r="L64" i="55"/>
  <c r="R64" i="55"/>
  <c r="Q64" i="55"/>
  <c r="V64" i="55"/>
  <c r="J64" i="55"/>
  <c r="T64" i="55"/>
  <c r="S64" i="55"/>
  <c r="E64" i="55"/>
  <c r="G64" i="55" s="1"/>
  <c r="W64" i="55" l="1"/>
  <c r="N64" i="55"/>
  <c r="M64" i="55"/>
  <c r="I64" i="55"/>
  <c r="E83" i="55" s="1"/>
  <c r="F64" i="55"/>
  <c r="B83" i="55" s="1"/>
  <c r="K64" i="55"/>
  <c r="H64" i="55"/>
  <c r="X64" i="55"/>
  <c r="O64" i="55"/>
  <c r="P64" i="55"/>
  <c r="U64" i="55"/>
  <c r="O83" i="55" l="1"/>
  <c r="K83" i="55"/>
  <c r="R83" i="55"/>
  <c r="I83" i="55"/>
  <c r="S83" i="55"/>
  <c r="N83" i="55"/>
  <c r="Q83" i="55"/>
  <c r="L83" i="55"/>
  <c r="H83" i="55"/>
  <c r="P83" i="55"/>
  <c r="D83" i="55"/>
  <c r="F83" i="55"/>
  <c r="J83" i="55"/>
  <c r="T83" i="55"/>
  <c r="G83" i="55"/>
  <c r="M83" i="55"/>
  <c r="C83" i="55"/>
  <c r="C102" i="55" l="1"/>
  <c r="J30" i="57" l="1"/>
  <c r="J29" i="57"/>
  <c r="C163" i="57" l="1"/>
  <c r="P30" i="57" l="1"/>
  <c r="P29" i="57"/>
  <c r="B13" i="58" l="1"/>
  <c r="B15" i="58" s="1"/>
  <c r="B19" i="58" l="1"/>
  <c r="B20" i="58"/>
  <c r="B21" i="58"/>
  <c r="B18" i="58"/>
  <c r="M143" i="57"/>
  <c r="M141" i="57"/>
  <c r="H143" i="57"/>
  <c r="H141" i="57"/>
  <c r="C143" i="57"/>
  <c r="C141" i="57"/>
  <c r="S30" i="57"/>
  <c r="H144" i="57" s="1"/>
  <c r="M30" i="57"/>
  <c r="H142" i="57" s="1"/>
  <c r="G30" i="57"/>
  <c r="C84" i="57" s="1"/>
  <c r="AJ27" i="56"/>
  <c r="W30" i="56"/>
  <c r="X30" i="56"/>
  <c r="Y30" i="56"/>
  <c r="Z30" i="56"/>
  <c r="AA30" i="56"/>
  <c r="AB30" i="56"/>
  <c r="K30" i="56" s="1"/>
  <c r="AC30" i="56"/>
  <c r="AD30" i="56"/>
  <c r="AE30" i="56"/>
  <c r="AF30" i="56"/>
  <c r="AG30" i="56"/>
  <c r="AH30" i="56"/>
  <c r="AI30" i="56"/>
  <c r="AJ30" i="56"/>
  <c r="N31" i="56"/>
  <c r="W31" i="56"/>
  <c r="X31" i="56"/>
  <c r="Y31" i="56"/>
  <c r="Z31" i="56"/>
  <c r="AA31" i="56"/>
  <c r="AB31" i="56"/>
  <c r="AC31" i="56"/>
  <c r="AD31" i="56"/>
  <c r="AE31" i="56"/>
  <c r="AF31" i="56"/>
  <c r="AG31" i="56"/>
  <c r="AH31" i="56"/>
  <c r="AI31" i="56"/>
  <c r="AJ31" i="56"/>
  <c r="N32" i="56"/>
  <c r="W32" i="56"/>
  <c r="X32" i="56"/>
  <c r="Y32" i="56"/>
  <c r="Z32" i="56"/>
  <c r="AA32" i="56"/>
  <c r="AB32" i="56"/>
  <c r="AC32" i="56"/>
  <c r="AD32" i="56"/>
  <c r="AE32" i="56"/>
  <c r="AF32" i="56"/>
  <c r="AG32" i="56"/>
  <c r="AH32" i="56"/>
  <c r="AI32" i="56"/>
  <c r="M32" i="56" s="1"/>
  <c r="AJ32" i="56"/>
  <c r="N33" i="56"/>
  <c r="W33" i="56"/>
  <c r="X33" i="56"/>
  <c r="Y33" i="56"/>
  <c r="Z33" i="56"/>
  <c r="AA33" i="56"/>
  <c r="AB33" i="56"/>
  <c r="AC33" i="56"/>
  <c r="AD33" i="56"/>
  <c r="AE33" i="56"/>
  <c r="AF33" i="56"/>
  <c r="AG33" i="56"/>
  <c r="AH33" i="56"/>
  <c r="AI33" i="56"/>
  <c r="AJ33" i="56"/>
  <c r="N34" i="56"/>
  <c r="W34" i="56"/>
  <c r="X34" i="56"/>
  <c r="Y34" i="56"/>
  <c r="Z34" i="56"/>
  <c r="AA34" i="56"/>
  <c r="AB34" i="56"/>
  <c r="K34" i="56" s="1"/>
  <c r="AC34" i="56"/>
  <c r="AD34" i="56"/>
  <c r="AE34" i="56"/>
  <c r="AF34" i="56"/>
  <c r="AG34" i="56"/>
  <c r="AH34" i="56"/>
  <c r="AI34" i="56"/>
  <c r="AJ34" i="56"/>
  <c r="G29" i="2"/>
  <c r="H29" i="2"/>
  <c r="I29" i="2"/>
  <c r="L29" i="2"/>
  <c r="M29" i="2"/>
  <c r="G30" i="2"/>
  <c r="H30" i="2"/>
  <c r="I30" i="2"/>
  <c r="L30" i="2"/>
  <c r="M30" i="2"/>
  <c r="G31" i="2"/>
  <c r="H31" i="2"/>
  <c r="I31" i="2"/>
  <c r="L31" i="2"/>
  <c r="M31" i="2"/>
  <c r="G32" i="2"/>
  <c r="H32" i="2"/>
  <c r="I32" i="2"/>
  <c r="L32" i="2"/>
  <c r="M32" i="2"/>
  <c r="B69" i="55"/>
  <c r="B68" i="55"/>
  <c r="B76" i="55"/>
  <c r="B75" i="55"/>
  <c r="B74" i="55"/>
  <c r="B73" i="55"/>
  <c r="B72" i="55"/>
  <c r="B71" i="55"/>
  <c r="B70" i="55"/>
  <c r="Y61" i="55"/>
  <c r="X61" i="55"/>
  <c r="W61" i="55"/>
  <c r="V61" i="55"/>
  <c r="U61" i="55"/>
  <c r="T61" i="55"/>
  <c r="S61" i="55"/>
  <c r="R61" i="55"/>
  <c r="Q61" i="55"/>
  <c r="P61" i="55"/>
  <c r="O61" i="55"/>
  <c r="N61" i="55"/>
  <c r="M61" i="55"/>
  <c r="L61" i="55"/>
  <c r="K61" i="55"/>
  <c r="J61" i="55"/>
  <c r="I61" i="55"/>
  <c r="H61" i="55"/>
  <c r="G61" i="55"/>
  <c r="F61" i="55"/>
  <c r="C60" i="55"/>
  <c r="C61" i="55"/>
  <c r="D62" i="55" s="1" a="1"/>
  <c r="E62" i="55" s="1"/>
  <c r="C25" i="55"/>
  <c r="C21" i="13"/>
  <c r="E25" i="55" s="1"/>
  <c r="P11" i="54"/>
  <c r="P9" i="54"/>
  <c r="M142" i="57" l="1"/>
  <c r="C142" i="57"/>
  <c r="K33" i="56"/>
  <c r="L34" i="56"/>
  <c r="I34" i="56" s="1"/>
  <c r="J32" i="56"/>
  <c r="H32" i="56" s="1"/>
  <c r="L33" i="56"/>
  <c r="I33" i="56" s="1"/>
  <c r="K31" i="56"/>
  <c r="J33" i="56"/>
  <c r="H33" i="56" s="1"/>
  <c r="J31" i="56"/>
  <c r="H31" i="56" s="1"/>
  <c r="M33" i="56"/>
  <c r="J34" i="56"/>
  <c r="H34" i="56" s="1"/>
  <c r="L32" i="56"/>
  <c r="I32" i="56" s="1"/>
  <c r="M34" i="56"/>
  <c r="M31" i="56"/>
  <c r="J30" i="56"/>
  <c r="H30" i="56" s="1"/>
  <c r="K32" i="56"/>
  <c r="L31" i="56"/>
  <c r="I31" i="56" s="1"/>
  <c r="M30" i="56"/>
  <c r="L30" i="56"/>
  <c r="I30" i="56" s="1"/>
  <c r="N30" i="2"/>
  <c r="N32" i="2"/>
  <c r="N29" i="2"/>
  <c r="N31" i="2"/>
  <c r="C144" i="57"/>
  <c r="M144" i="57"/>
  <c r="M84" i="57"/>
  <c r="H84" i="57"/>
  <c r="D62" i="55"/>
  <c r="M62" i="55" l="1"/>
  <c r="F62" i="55"/>
  <c r="B82" i="55" s="1"/>
  <c r="N62" i="55"/>
  <c r="P62" i="55"/>
  <c r="I62" i="55"/>
  <c r="E82" i="55" s="1"/>
  <c r="J62" i="55"/>
  <c r="K62" i="55"/>
  <c r="G82" i="55" s="1"/>
  <c r="X62" i="55"/>
  <c r="O62" i="55"/>
  <c r="K82" i="55" s="1"/>
  <c r="T62" i="55"/>
  <c r="P82" i="55" s="1"/>
  <c r="V62" i="55"/>
  <c r="R82" i="55" s="1"/>
  <c r="W62" i="55"/>
  <c r="S82" i="55" s="1"/>
  <c r="Q62" i="55"/>
  <c r="R62" i="55"/>
  <c r="G62" i="55"/>
  <c r="C82" i="55" s="1"/>
  <c r="S62" i="55"/>
  <c r="H62" i="55"/>
  <c r="D82" i="55" s="1"/>
  <c r="U62" i="55"/>
  <c r="L62" i="55"/>
  <c r="H82" i="55" s="1"/>
  <c r="C63" i="57"/>
  <c r="C62" i="57"/>
  <c r="T82" i="55" l="1"/>
  <c r="F82" i="55"/>
  <c r="L82" i="55"/>
  <c r="J82" i="55"/>
  <c r="Q82" i="55"/>
  <c r="N82" i="55"/>
  <c r="O82" i="55"/>
  <c r="M82" i="55"/>
  <c r="I82" i="55"/>
  <c r="Y28" i="57"/>
  <c r="M136" i="57" s="1"/>
  <c r="Y22" i="57"/>
  <c r="C109" i="57" s="1"/>
  <c r="V25" i="57"/>
  <c r="V26" i="57"/>
  <c r="C101" i="55" l="1"/>
  <c r="M109" i="57"/>
  <c r="H109" i="57"/>
  <c r="C136" i="57"/>
  <c r="H136" i="57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L13" i="2"/>
  <c r="L14" i="2"/>
  <c r="L15" i="2"/>
  <c r="L16" i="2"/>
  <c r="L17" i="2"/>
  <c r="L18" i="2"/>
  <c r="N18" i="2" s="1"/>
  <c r="L19" i="2"/>
  <c r="L20" i="2"/>
  <c r="L21" i="2"/>
  <c r="L22" i="2"/>
  <c r="L23" i="2"/>
  <c r="L24" i="2"/>
  <c r="L25" i="2"/>
  <c r="L26" i="2"/>
  <c r="L27" i="2"/>
  <c r="N17" i="2" l="1"/>
  <c r="N21" i="2"/>
  <c r="N20" i="2"/>
  <c r="N25" i="2"/>
  <c r="N13" i="2"/>
  <c r="N15" i="2"/>
  <c r="N19" i="2"/>
  <c r="N16" i="2"/>
  <c r="N23" i="2"/>
  <c r="N22" i="2"/>
  <c r="N24" i="2"/>
  <c r="N27" i="2"/>
  <c r="N26" i="2"/>
  <c r="N14" i="2"/>
  <c r="E15" i="55"/>
  <c r="E16" i="55"/>
  <c r="C7" i="13"/>
  <c r="E11" i="55" s="1"/>
  <c r="C8" i="13"/>
  <c r="E12" i="55" s="1"/>
  <c r="C9" i="13"/>
  <c r="E13" i="55" s="1"/>
  <c r="C10" i="13"/>
  <c r="E14" i="55" s="1"/>
  <c r="C11" i="13"/>
  <c r="C12" i="13"/>
  <c r="C13" i="13"/>
  <c r="E17" i="55" s="1"/>
  <c r="C14" i="13"/>
  <c r="E18" i="55" s="1"/>
  <c r="C15" i="13"/>
  <c r="E19" i="55" s="1"/>
  <c r="C16" i="13"/>
  <c r="E20" i="55" s="1"/>
  <c r="C17" i="13"/>
  <c r="E21" i="55" s="1"/>
  <c r="C18" i="13"/>
  <c r="E22" i="55" s="1"/>
  <c r="C19" i="13"/>
  <c r="E23" i="55" s="1"/>
  <c r="C20" i="13"/>
  <c r="E24" i="55" s="1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G27" i="2" l="1"/>
  <c r="H27" i="2"/>
  <c r="K56" i="2" s="1"/>
  <c r="I27" i="2"/>
  <c r="M58" i="2" s="1"/>
  <c r="M87" i="57" l="1"/>
  <c r="M83" i="57"/>
  <c r="M63" i="57"/>
  <c r="H63" i="57"/>
  <c r="M62" i="57"/>
  <c r="H62" i="57"/>
  <c r="E38" i="57"/>
  <c r="G36" i="57"/>
  <c r="H90" i="57" s="1"/>
  <c r="G35" i="57"/>
  <c r="H89" i="57" s="1"/>
  <c r="G34" i="57"/>
  <c r="H88" i="57" s="1"/>
  <c r="B34" i="57"/>
  <c r="G33" i="57"/>
  <c r="H87" i="57" s="1"/>
  <c r="G32" i="57"/>
  <c r="S29" i="57"/>
  <c r="H140" i="57" s="1"/>
  <c r="H139" i="57"/>
  <c r="M29" i="57"/>
  <c r="M138" i="57" s="1"/>
  <c r="H137" i="57"/>
  <c r="G29" i="57"/>
  <c r="H83" i="57" s="1"/>
  <c r="S28" i="57"/>
  <c r="P28" i="57"/>
  <c r="H134" i="57" s="1"/>
  <c r="M28" i="57"/>
  <c r="H133" i="57" s="1"/>
  <c r="J28" i="57"/>
  <c r="H132" i="57" s="1"/>
  <c r="G28" i="57"/>
  <c r="H82" i="57" s="1"/>
  <c r="S27" i="57"/>
  <c r="M131" i="57" s="1"/>
  <c r="P27" i="57"/>
  <c r="M27" i="57"/>
  <c r="H129" i="57" s="1"/>
  <c r="J27" i="57"/>
  <c r="H128" i="57" s="1"/>
  <c r="G27" i="57"/>
  <c r="H81" i="57" s="1"/>
  <c r="H127" i="57"/>
  <c r="S26" i="57"/>
  <c r="H126" i="57" s="1"/>
  <c r="P26" i="57"/>
  <c r="M26" i="57"/>
  <c r="H124" i="57" s="1"/>
  <c r="J26" i="57"/>
  <c r="H123" i="57" s="1"/>
  <c r="G26" i="57"/>
  <c r="M80" i="57" s="1"/>
  <c r="H122" i="57"/>
  <c r="S25" i="57"/>
  <c r="P25" i="57"/>
  <c r="H120" i="57" s="1"/>
  <c r="M25" i="57"/>
  <c r="H119" i="57" s="1"/>
  <c r="J25" i="57"/>
  <c r="H118" i="57" s="1"/>
  <c r="G25" i="57"/>
  <c r="H79" i="57" s="1"/>
  <c r="B25" i="57"/>
  <c r="S24" i="57"/>
  <c r="M117" i="57" s="1"/>
  <c r="P24" i="57"/>
  <c r="M24" i="57"/>
  <c r="H115" i="57" s="1"/>
  <c r="J24" i="57"/>
  <c r="H114" i="57" s="1"/>
  <c r="G24" i="57"/>
  <c r="M78" i="57" s="1"/>
  <c r="B24" i="57"/>
  <c r="S23" i="57"/>
  <c r="M113" i="57" s="1"/>
  <c r="P23" i="57"/>
  <c r="M23" i="57"/>
  <c r="H111" i="57" s="1"/>
  <c r="J23" i="57"/>
  <c r="H110" i="57" s="1"/>
  <c r="G23" i="57"/>
  <c r="H77" i="57" s="1"/>
  <c r="B23" i="57"/>
  <c r="V22" i="57"/>
  <c r="S22" i="57"/>
  <c r="H107" i="57" s="1"/>
  <c r="P22" i="57"/>
  <c r="M22" i="57"/>
  <c r="H105" i="57" s="1"/>
  <c r="J22" i="57"/>
  <c r="H104" i="57" s="1"/>
  <c r="G22" i="57"/>
  <c r="M76" i="57" s="1"/>
  <c r="B22" i="57"/>
  <c r="P21" i="57"/>
  <c r="H103" i="57" s="1"/>
  <c r="M21" i="57"/>
  <c r="J21" i="57"/>
  <c r="H101" i="57" s="1"/>
  <c r="G21" i="57"/>
  <c r="H75" i="57" s="1"/>
  <c r="B21" i="57"/>
  <c r="P20" i="57"/>
  <c r="M100" i="57" s="1"/>
  <c r="M20" i="57"/>
  <c r="H99" i="57" s="1"/>
  <c r="J20" i="57"/>
  <c r="M98" i="57" s="1"/>
  <c r="G20" i="57"/>
  <c r="P19" i="57"/>
  <c r="H97" i="57" s="1"/>
  <c r="M19" i="57"/>
  <c r="H96" i="57" s="1"/>
  <c r="J19" i="57"/>
  <c r="H95" i="57" s="1"/>
  <c r="G19" i="57"/>
  <c r="H73" i="57" s="1"/>
  <c r="M18" i="57"/>
  <c r="M94" i="57" s="1"/>
  <c r="J18" i="57"/>
  <c r="M93" i="57" s="1"/>
  <c r="G18" i="57"/>
  <c r="H72" i="57" s="1"/>
  <c r="M17" i="57"/>
  <c r="M92" i="57" s="1"/>
  <c r="J17" i="57"/>
  <c r="H91" i="57" s="1"/>
  <c r="G17" i="57"/>
  <c r="H71" i="57" s="1"/>
  <c r="F13" i="57"/>
  <c r="B13" i="57"/>
  <c r="B4" i="57" s="1"/>
  <c r="N31" i="57" s="1"/>
  <c r="F12" i="57"/>
  <c r="J43" i="57" s="1"/>
  <c r="B12" i="57"/>
  <c r="B11" i="57"/>
  <c r="B10" i="57"/>
  <c r="F9" i="57"/>
  <c r="H70" i="57" s="1"/>
  <c r="B9" i="57"/>
  <c r="F8" i="57"/>
  <c r="H69" i="57" s="1"/>
  <c r="B8" i="57"/>
  <c r="F7" i="57"/>
  <c r="G7" i="57" s="1"/>
  <c r="M68" i="57" s="1"/>
  <c r="B7" i="57"/>
  <c r="F4" i="57"/>
  <c r="G4" i="57" s="1"/>
  <c r="F3" i="57"/>
  <c r="B38" i="57" s="1"/>
  <c r="C64" i="57" s="1"/>
  <c r="J110" i="56"/>
  <c r="F110" i="56"/>
  <c r="D50" i="56" s="1"/>
  <c r="J109" i="56"/>
  <c r="F109" i="56"/>
  <c r="J108" i="56"/>
  <c r="F108" i="56"/>
  <c r="J107" i="56"/>
  <c r="F107" i="56"/>
  <c r="C50" i="56" s="1"/>
  <c r="J105" i="56"/>
  <c r="F49" i="56" s="1"/>
  <c r="F105" i="56"/>
  <c r="D49" i="56" s="1"/>
  <c r="J104" i="56"/>
  <c r="E49" i="56" s="1"/>
  <c r="F104" i="56"/>
  <c r="J103" i="56"/>
  <c r="F103" i="56"/>
  <c r="J102" i="56"/>
  <c r="F102" i="56"/>
  <c r="J100" i="56"/>
  <c r="F100" i="56"/>
  <c r="J99" i="56"/>
  <c r="F99" i="56"/>
  <c r="J98" i="56"/>
  <c r="F98" i="56"/>
  <c r="C48" i="56" s="1"/>
  <c r="AA21" i="56" s="1"/>
  <c r="J97" i="56"/>
  <c r="E48" i="56" s="1"/>
  <c r="AH21" i="56" s="1"/>
  <c r="F97" i="56"/>
  <c r="J95" i="56"/>
  <c r="F95" i="56"/>
  <c r="J94" i="56"/>
  <c r="F94" i="56"/>
  <c r="J93" i="56"/>
  <c r="F93" i="56"/>
  <c r="J92" i="56"/>
  <c r="F92" i="56"/>
  <c r="J90" i="56"/>
  <c r="F90" i="56"/>
  <c r="J89" i="56"/>
  <c r="F89" i="56"/>
  <c r="J88" i="56"/>
  <c r="F88" i="56"/>
  <c r="J87" i="56"/>
  <c r="F87" i="56"/>
  <c r="J85" i="56"/>
  <c r="F85" i="56"/>
  <c r="J84" i="56"/>
  <c r="F84" i="56"/>
  <c r="J83" i="56"/>
  <c r="F83" i="56"/>
  <c r="J82" i="56"/>
  <c r="E45" i="56" s="1"/>
  <c r="AH18" i="56" s="1"/>
  <c r="F82" i="56"/>
  <c r="J80" i="56"/>
  <c r="F80" i="56"/>
  <c r="J79" i="56"/>
  <c r="F79" i="56"/>
  <c r="J78" i="56"/>
  <c r="F78" i="56"/>
  <c r="J77" i="56"/>
  <c r="F77" i="56"/>
  <c r="J75" i="56"/>
  <c r="F75" i="56"/>
  <c r="J74" i="56"/>
  <c r="E43" i="56" s="1"/>
  <c r="AH16" i="56" s="1"/>
  <c r="F74" i="56"/>
  <c r="J73" i="56"/>
  <c r="F73" i="56"/>
  <c r="J72" i="56"/>
  <c r="F72" i="56"/>
  <c r="J71" i="56"/>
  <c r="F71" i="56"/>
  <c r="J70" i="56"/>
  <c r="F70" i="56"/>
  <c r="J69" i="56"/>
  <c r="F69" i="56"/>
  <c r="J68" i="56"/>
  <c r="F68" i="56"/>
  <c r="J67" i="56"/>
  <c r="F67" i="56"/>
  <c r="J66" i="56"/>
  <c r="F66" i="56"/>
  <c r="J65" i="56"/>
  <c r="F65" i="56"/>
  <c r="J64" i="56"/>
  <c r="F64" i="56"/>
  <c r="J63" i="56"/>
  <c r="F63" i="56"/>
  <c r="J62" i="56"/>
  <c r="E41" i="56" s="1"/>
  <c r="AH14" i="56" s="1"/>
  <c r="F62" i="56"/>
  <c r="F50" i="56"/>
  <c r="E50" i="56"/>
  <c r="F48" i="56"/>
  <c r="AI21" i="56" s="1"/>
  <c r="D48" i="56"/>
  <c r="E47" i="56"/>
  <c r="AH20" i="56" s="1"/>
  <c r="C42" i="56"/>
  <c r="AA15" i="56" s="1"/>
  <c r="AJ28" i="56"/>
  <c r="AI28" i="56"/>
  <c r="AG28" i="56"/>
  <c r="AF28" i="56"/>
  <c r="AE28" i="56"/>
  <c r="AD28" i="56"/>
  <c r="AC28" i="56"/>
  <c r="Z28" i="56"/>
  <c r="Y28" i="56"/>
  <c r="X28" i="56"/>
  <c r="W28" i="56"/>
  <c r="N28" i="56"/>
  <c r="AI27" i="56"/>
  <c r="M27" i="56" s="1"/>
  <c r="AG27" i="56"/>
  <c r="AF27" i="56"/>
  <c r="AE27" i="56"/>
  <c r="AD27" i="56"/>
  <c r="AC27" i="56"/>
  <c r="Z27" i="56"/>
  <c r="Y27" i="56"/>
  <c r="X27" i="56"/>
  <c r="W27" i="56"/>
  <c r="N27" i="56"/>
  <c r="AJ26" i="56"/>
  <c r="AI26" i="56"/>
  <c r="M26" i="56" s="1"/>
  <c r="AH26" i="56"/>
  <c r="AG26" i="56"/>
  <c r="AF26" i="56"/>
  <c r="AE26" i="56"/>
  <c r="AD26" i="56"/>
  <c r="AC26" i="56"/>
  <c r="Z26" i="56"/>
  <c r="Y26" i="56"/>
  <c r="X26" i="56"/>
  <c r="W26" i="56"/>
  <c r="N26" i="56"/>
  <c r="AJ25" i="56"/>
  <c r="AI25" i="56"/>
  <c r="AH25" i="56"/>
  <c r="AG25" i="56"/>
  <c r="M25" i="56" s="1"/>
  <c r="AF25" i="56"/>
  <c r="AE25" i="56"/>
  <c r="AD25" i="56"/>
  <c r="AC25" i="56"/>
  <c r="Z25" i="56"/>
  <c r="Y25" i="56"/>
  <c r="X25" i="56"/>
  <c r="W25" i="56"/>
  <c r="N25" i="56"/>
  <c r="AJ24" i="56"/>
  <c r="AI24" i="56"/>
  <c r="AH24" i="56"/>
  <c r="AG24" i="56"/>
  <c r="AF24" i="56"/>
  <c r="AE24" i="56"/>
  <c r="AD24" i="56"/>
  <c r="AC24" i="56"/>
  <c r="Z24" i="56"/>
  <c r="Y24" i="56"/>
  <c r="X24" i="56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AC21" i="56"/>
  <c r="AB21" i="56"/>
  <c r="K21" i="56" s="1"/>
  <c r="Z21" i="56"/>
  <c r="Y21" i="56"/>
  <c r="X21" i="56"/>
  <c r="W21" i="56"/>
  <c r="N21" i="56"/>
  <c r="AJ20" i="56"/>
  <c r="AI20" i="56"/>
  <c r="AG20" i="56"/>
  <c r="AF20" i="56"/>
  <c r="AE20" i="56"/>
  <c r="AD20" i="56"/>
  <c r="AC20" i="56"/>
  <c r="AB20" i="56"/>
  <c r="Z20" i="56"/>
  <c r="Y20" i="56"/>
  <c r="X20" i="56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W19" i="56"/>
  <c r="N19" i="56"/>
  <c r="M19" i="56"/>
  <c r="AJ18" i="56"/>
  <c r="AI18" i="56"/>
  <c r="AG18" i="56"/>
  <c r="AF18" i="56"/>
  <c r="AE18" i="56"/>
  <c r="AD18" i="56"/>
  <c r="AC18" i="56"/>
  <c r="AB18" i="56"/>
  <c r="Z18" i="56"/>
  <c r="Y18" i="56"/>
  <c r="X18" i="56"/>
  <c r="W18" i="56"/>
  <c r="N18" i="56"/>
  <c r="AJ17" i="56"/>
  <c r="AI17" i="56"/>
  <c r="AG17" i="56"/>
  <c r="AF17" i="56"/>
  <c r="AE17" i="56"/>
  <c r="AD17" i="56"/>
  <c r="AC17" i="56"/>
  <c r="AB17" i="56"/>
  <c r="K17" i="56" s="1"/>
  <c r="Z17" i="56"/>
  <c r="Y17" i="56"/>
  <c r="X17" i="56"/>
  <c r="W17" i="56"/>
  <c r="N17" i="56"/>
  <c r="AJ16" i="56"/>
  <c r="AI16" i="56"/>
  <c r="AG16" i="56"/>
  <c r="AF16" i="56"/>
  <c r="AE16" i="56"/>
  <c r="AD16" i="56"/>
  <c r="AC16" i="56"/>
  <c r="AB16" i="56"/>
  <c r="Z16" i="56"/>
  <c r="Y16" i="56"/>
  <c r="X16" i="56"/>
  <c r="W16" i="56"/>
  <c r="N16" i="56"/>
  <c r="AJ15" i="56"/>
  <c r="AI15" i="56"/>
  <c r="M15" i="56" s="1"/>
  <c r="AG15" i="56"/>
  <c r="AF15" i="56"/>
  <c r="AE15" i="56"/>
  <c r="AD15" i="56"/>
  <c r="AC15" i="56"/>
  <c r="AB15" i="56"/>
  <c r="Z15" i="56"/>
  <c r="Y15" i="56"/>
  <c r="X15" i="56"/>
  <c r="W15" i="56"/>
  <c r="N15" i="56"/>
  <c r="AJ14" i="56"/>
  <c r="AI14" i="56"/>
  <c r="AG14" i="56"/>
  <c r="AF14" i="56"/>
  <c r="AE14" i="56"/>
  <c r="AD14" i="56"/>
  <c r="AC14" i="56"/>
  <c r="AB14" i="56"/>
  <c r="Z14" i="56"/>
  <c r="Y14" i="56"/>
  <c r="X14" i="56"/>
  <c r="W14" i="56"/>
  <c r="N14" i="56"/>
  <c r="B100" i="55"/>
  <c r="B99" i="55"/>
  <c r="B98" i="55"/>
  <c r="B97" i="55"/>
  <c r="B96" i="55"/>
  <c r="B95" i="55"/>
  <c r="B94" i="55"/>
  <c r="B93" i="55"/>
  <c r="B92" i="55"/>
  <c r="B91" i="55"/>
  <c r="B90" i="55"/>
  <c r="B89" i="55"/>
  <c r="B88" i="55"/>
  <c r="B87" i="55"/>
  <c r="U77" i="55"/>
  <c r="U76" i="55"/>
  <c r="U75" i="55"/>
  <c r="U74" i="55"/>
  <c r="S74" i="55"/>
  <c r="U73" i="55"/>
  <c r="U72" i="55"/>
  <c r="Q72" i="55"/>
  <c r="U71" i="55"/>
  <c r="M71" i="55"/>
  <c r="U70" i="55"/>
  <c r="R70" i="55"/>
  <c r="Q70" i="55"/>
  <c r="K70" i="55"/>
  <c r="U69" i="55"/>
  <c r="N69" i="55"/>
  <c r="U68" i="55"/>
  <c r="J68" i="55"/>
  <c r="I68" i="55"/>
  <c r="D60" i="55" a="1"/>
  <c r="Y59" i="55"/>
  <c r="X59" i="55"/>
  <c r="W59" i="55"/>
  <c r="V59" i="55"/>
  <c r="U59" i="55"/>
  <c r="T59" i="55"/>
  <c r="S59" i="55"/>
  <c r="R59" i="55"/>
  <c r="Q59" i="55"/>
  <c r="P59" i="55"/>
  <c r="O59" i="55"/>
  <c r="N59" i="55"/>
  <c r="M59" i="55"/>
  <c r="L59" i="55"/>
  <c r="K59" i="55"/>
  <c r="J59" i="55"/>
  <c r="I59" i="55"/>
  <c r="H59" i="55"/>
  <c r="G59" i="55"/>
  <c r="F59" i="55"/>
  <c r="C59" i="55"/>
  <c r="C58" i="55"/>
  <c r="Y57" i="55"/>
  <c r="X57" i="55"/>
  <c r="W57" i="55"/>
  <c r="V57" i="55"/>
  <c r="U57" i="55"/>
  <c r="T57" i="55"/>
  <c r="S57" i="55"/>
  <c r="R57" i="55"/>
  <c r="Q57" i="55"/>
  <c r="P57" i="55"/>
  <c r="O57" i="55"/>
  <c r="N57" i="55"/>
  <c r="M57" i="55"/>
  <c r="L57" i="55"/>
  <c r="K57" i="55"/>
  <c r="J57" i="55"/>
  <c r="I57" i="55"/>
  <c r="H57" i="55"/>
  <c r="G57" i="55"/>
  <c r="F57" i="55"/>
  <c r="C57" i="55"/>
  <c r="C56" i="55"/>
  <c r="Y55" i="55"/>
  <c r="Y56" i="55" s="1"/>
  <c r="X55" i="55"/>
  <c r="W55" i="55"/>
  <c r="V55" i="55"/>
  <c r="U55" i="55"/>
  <c r="T55" i="55"/>
  <c r="S55" i="55"/>
  <c r="R55" i="55"/>
  <c r="Q55" i="55"/>
  <c r="P55" i="55"/>
  <c r="O55" i="55"/>
  <c r="N55" i="55"/>
  <c r="M55" i="55"/>
  <c r="L55" i="55"/>
  <c r="K55" i="55"/>
  <c r="J55" i="55"/>
  <c r="I55" i="55"/>
  <c r="H55" i="55"/>
  <c r="G55" i="55"/>
  <c r="F55" i="55"/>
  <c r="C55" i="55"/>
  <c r="E54" i="55"/>
  <c r="C54" i="55"/>
  <c r="Y53" i="55"/>
  <c r="Y54" i="55" s="1"/>
  <c r="X53" i="55"/>
  <c r="W53" i="55"/>
  <c r="V53" i="55"/>
  <c r="U53" i="55"/>
  <c r="T53" i="55"/>
  <c r="S53" i="55"/>
  <c r="R53" i="55"/>
  <c r="Q53" i="55"/>
  <c r="P53" i="55"/>
  <c r="O53" i="55"/>
  <c r="N53" i="55"/>
  <c r="M53" i="55"/>
  <c r="M54" i="55" s="1"/>
  <c r="L53" i="55"/>
  <c r="K53" i="55"/>
  <c r="J53" i="55"/>
  <c r="I53" i="55"/>
  <c r="H53" i="55"/>
  <c r="G53" i="55"/>
  <c r="F53" i="55"/>
  <c r="C53" i="55"/>
  <c r="D54" i="55" s="1" a="1"/>
  <c r="D54" i="55" s="1"/>
  <c r="Y52" i="55"/>
  <c r="C52" i="55"/>
  <c r="Y51" i="55"/>
  <c r="X51" i="55"/>
  <c r="W51" i="55"/>
  <c r="V51" i="55"/>
  <c r="U51" i="55"/>
  <c r="T51" i="55"/>
  <c r="S51" i="55"/>
  <c r="R51" i="55"/>
  <c r="Q51" i="55"/>
  <c r="P51" i="55"/>
  <c r="O51" i="55"/>
  <c r="N51" i="55"/>
  <c r="M51" i="55"/>
  <c r="L51" i="55"/>
  <c r="K51" i="55"/>
  <c r="J51" i="55"/>
  <c r="I51" i="55"/>
  <c r="H51" i="55"/>
  <c r="G51" i="55"/>
  <c r="F51" i="55"/>
  <c r="C51" i="55"/>
  <c r="C50" i="55"/>
  <c r="Y49" i="55"/>
  <c r="Y50" i="55" s="1"/>
  <c r="X49" i="55"/>
  <c r="W49" i="55"/>
  <c r="V49" i="55"/>
  <c r="U49" i="55"/>
  <c r="T49" i="55"/>
  <c r="S49" i="55"/>
  <c r="R49" i="55"/>
  <c r="Q49" i="55"/>
  <c r="P49" i="55"/>
  <c r="O49" i="55"/>
  <c r="N49" i="55"/>
  <c r="M49" i="55"/>
  <c r="L49" i="55"/>
  <c r="K49" i="55"/>
  <c r="J49" i="55"/>
  <c r="I49" i="55"/>
  <c r="H49" i="55"/>
  <c r="G49" i="55"/>
  <c r="F49" i="55"/>
  <c r="C49" i="55"/>
  <c r="D50" i="55" s="1" a="1"/>
  <c r="C48" i="55"/>
  <c r="Y47" i="55"/>
  <c r="Y48" i="55" s="1"/>
  <c r="X47" i="55"/>
  <c r="W47" i="55"/>
  <c r="V47" i="55"/>
  <c r="U47" i="55"/>
  <c r="T47" i="55"/>
  <c r="S47" i="55"/>
  <c r="R47" i="55"/>
  <c r="Q47" i="55"/>
  <c r="P47" i="55"/>
  <c r="O47" i="55"/>
  <c r="N47" i="55"/>
  <c r="M47" i="55"/>
  <c r="L47" i="55"/>
  <c r="K47" i="55"/>
  <c r="J47" i="55"/>
  <c r="I47" i="55"/>
  <c r="H47" i="55"/>
  <c r="G47" i="55"/>
  <c r="F47" i="55"/>
  <c r="C47" i="55"/>
  <c r="D48" i="55" s="1" a="1"/>
  <c r="T46" i="55"/>
  <c r="P74" i="55" s="1"/>
  <c r="C46" i="55"/>
  <c r="Y45" i="55"/>
  <c r="Y46" i="55" s="1"/>
  <c r="X45" i="55"/>
  <c r="X46" i="55" s="1"/>
  <c r="T74" i="55" s="1"/>
  <c r="W45" i="55"/>
  <c r="W46" i="55" s="1"/>
  <c r="V45" i="55"/>
  <c r="V46" i="55" s="1"/>
  <c r="R74" i="55" s="1"/>
  <c r="U45" i="55"/>
  <c r="U46" i="55" s="1"/>
  <c r="Q74" i="55" s="1"/>
  <c r="T45" i="55"/>
  <c r="S45" i="55"/>
  <c r="R45" i="55"/>
  <c r="Q45" i="55"/>
  <c r="P45" i="55"/>
  <c r="O45" i="55"/>
  <c r="N45" i="55"/>
  <c r="M45" i="55"/>
  <c r="L45" i="55"/>
  <c r="K45" i="55"/>
  <c r="J45" i="55"/>
  <c r="I45" i="55"/>
  <c r="H45" i="55"/>
  <c r="G45" i="55"/>
  <c r="F45" i="55"/>
  <c r="C45" i="55"/>
  <c r="V44" i="55"/>
  <c r="R73" i="55" s="1"/>
  <c r="U44" i="55"/>
  <c r="Q73" i="55" s="1"/>
  <c r="T44" i="55"/>
  <c r="P73" i="55" s="1"/>
  <c r="C44" i="55"/>
  <c r="Y43" i="55"/>
  <c r="Y44" i="55" s="1"/>
  <c r="X43" i="55"/>
  <c r="X44" i="55" s="1"/>
  <c r="T73" i="55" s="1"/>
  <c r="W43" i="55"/>
  <c r="W44" i="55" s="1"/>
  <c r="S73" i="55" s="1"/>
  <c r="V43" i="55"/>
  <c r="U43" i="55"/>
  <c r="T43" i="55"/>
  <c r="S43" i="55"/>
  <c r="R43" i="55"/>
  <c r="Q43" i="55"/>
  <c r="P43" i="55"/>
  <c r="O43" i="55"/>
  <c r="N43" i="55"/>
  <c r="M43" i="55"/>
  <c r="L43" i="55"/>
  <c r="K43" i="55"/>
  <c r="J43" i="55"/>
  <c r="I43" i="55"/>
  <c r="H43" i="55"/>
  <c r="G43" i="55"/>
  <c r="F43" i="55"/>
  <c r="C43" i="55"/>
  <c r="T42" i="55"/>
  <c r="P72" i="55" s="1"/>
  <c r="D42" i="55" a="1"/>
  <c r="E42" i="55" s="1"/>
  <c r="C42" i="55"/>
  <c r="Y41" i="55"/>
  <c r="Y42" i="55" s="1"/>
  <c r="X41" i="55"/>
  <c r="X42" i="55" s="1"/>
  <c r="T72" i="55" s="1"/>
  <c r="W41" i="55"/>
  <c r="W42" i="55" s="1"/>
  <c r="S72" i="55" s="1"/>
  <c r="V41" i="55"/>
  <c r="V42" i="55" s="1"/>
  <c r="R72" i="55" s="1"/>
  <c r="U41" i="55"/>
  <c r="U42" i="55" s="1"/>
  <c r="T41" i="55"/>
  <c r="S41" i="55"/>
  <c r="R41" i="55"/>
  <c r="Q41" i="55"/>
  <c r="P41" i="55"/>
  <c r="O41" i="55"/>
  <c r="N41" i="55"/>
  <c r="M41" i="55"/>
  <c r="L41" i="55"/>
  <c r="K41" i="55"/>
  <c r="J41" i="55"/>
  <c r="I41" i="55"/>
  <c r="H41" i="55"/>
  <c r="G41" i="55"/>
  <c r="F41" i="55"/>
  <c r="C41" i="55"/>
  <c r="Y40" i="55"/>
  <c r="X40" i="55"/>
  <c r="T71" i="55" s="1"/>
  <c r="Q40" i="55"/>
  <c r="P40" i="55"/>
  <c r="L71" i="55" s="1"/>
  <c r="C40" i="55"/>
  <c r="D40" i="55" s="1" a="1"/>
  <c r="Y39" i="55"/>
  <c r="X39" i="55"/>
  <c r="W39" i="55"/>
  <c r="W40" i="55" s="1"/>
  <c r="S71" i="55" s="1"/>
  <c r="V39" i="55"/>
  <c r="V40" i="55" s="1"/>
  <c r="R71" i="55" s="1"/>
  <c r="U39" i="55"/>
  <c r="U40" i="55" s="1"/>
  <c r="Q71" i="55" s="1"/>
  <c r="T39" i="55"/>
  <c r="T40" i="55" s="1"/>
  <c r="P71" i="55" s="1"/>
  <c r="S39" i="55"/>
  <c r="S40" i="55" s="1"/>
  <c r="O71" i="55" s="1"/>
  <c r="R39" i="55"/>
  <c r="R40" i="55" s="1"/>
  <c r="N71" i="55" s="1"/>
  <c r="Q39" i="55"/>
  <c r="P39" i="55"/>
  <c r="O39" i="55"/>
  <c r="O40" i="55" s="1"/>
  <c r="K71" i="55" s="1"/>
  <c r="N39" i="55"/>
  <c r="M39" i="55"/>
  <c r="L39" i="55"/>
  <c r="K39" i="55"/>
  <c r="J39" i="55"/>
  <c r="I39" i="55"/>
  <c r="H39" i="55"/>
  <c r="G39" i="55"/>
  <c r="F39" i="55"/>
  <c r="C39" i="55"/>
  <c r="T38" i="55"/>
  <c r="P70" i="55" s="1"/>
  <c r="C38" i="55"/>
  <c r="Y37" i="55"/>
  <c r="Y38" i="55" s="1"/>
  <c r="X37" i="55"/>
  <c r="X38" i="55" s="1"/>
  <c r="T70" i="55" s="1"/>
  <c r="W37" i="55"/>
  <c r="W38" i="55" s="1"/>
  <c r="S70" i="55" s="1"/>
  <c r="V37" i="55"/>
  <c r="V38" i="55" s="1"/>
  <c r="U37" i="55"/>
  <c r="U38" i="55" s="1"/>
  <c r="T37" i="55"/>
  <c r="S37" i="55"/>
  <c r="S38" i="55" s="1"/>
  <c r="O70" i="55" s="1"/>
  <c r="R37" i="55"/>
  <c r="R38" i="55" s="1"/>
  <c r="N70" i="55" s="1"/>
  <c r="Q37" i="55"/>
  <c r="Q38" i="55" s="1"/>
  <c r="M70" i="55" s="1"/>
  <c r="P37" i="55"/>
  <c r="P38" i="55" s="1"/>
  <c r="L70" i="55" s="1"/>
  <c r="O37" i="55"/>
  <c r="O38" i="55" s="1"/>
  <c r="N37" i="55"/>
  <c r="M37" i="55"/>
  <c r="L37" i="55"/>
  <c r="K37" i="55"/>
  <c r="J37" i="55"/>
  <c r="I37" i="55"/>
  <c r="H37" i="55"/>
  <c r="G37" i="55"/>
  <c r="F37" i="55"/>
  <c r="C37" i="55"/>
  <c r="V36" i="55"/>
  <c r="R69" i="55" s="1"/>
  <c r="U36" i="55"/>
  <c r="Q69" i="55" s="1"/>
  <c r="R36" i="55"/>
  <c r="Q36" i="55"/>
  <c r="M69" i="55" s="1"/>
  <c r="C36" i="55"/>
  <c r="Y35" i="55"/>
  <c r="Y36" i="55" s="1"/>
  <c r="X35" i="55"/>
  <c r="X36" i="55" s="1"/>
  <c r="T69" i="55" s="1"/>
  <c r="W35" i="55"/>
  <c r="W36" i="55" s="1"/>
  <c r="S69" i="55" s="1"/>
  <c r="V35" i="55"/>
  <c r="U35" i="55"/>
  <c r="T35" i="55"/>
  <c r="T36" i="55" s="1"/>
  <c r="P69" i="55" s="1"/>
  <c r="S35" i="55"/>
  <c r="S36" i="55" s="1"/>
  <c r="O69" i="55" s="1"/>
  <c r="R35" i="55"/>
  <c r="Q35" i="55"/>
  <c r="P35" i="55"/>
  <c r="P36" i="55" s="1"/>
  <c r="L69" i="55" s="1"/>
  <c r="O35" i="55"/>
  <c r="O36" i="55" s="1"/>
  <c r="K69" i="55" s="1"/>
  <c r="N35" i="55"/>
  <c r="M35" i="55"/>
  <c r="L35" i="55"/>
  <c r="K35" i="55"/>
  <c r="J35" i="55"/>
  <c r="I35" i="55"/>
  <c r="H35" i="55"/>
  <c r="G35" i="55"/>
  <c r="F35" i="55"/>
  <c r="C35" i="55"/>
  <c r="W34" i="55"/>
  <c r="S68" i="55" s="1"/>
  <c r="T34" i="55"/>
  <c r="P68" i="55" s="1"/>
  <c r="N34" i="55"/>
  <c r="C34" i="55"/>
  <c r="D34" i="55" s="1" a="1"/>
  <c r="Y33" i="55"/>
  <c r="Y34" i="55" s="1"/>
  <c r="X33" i="55"/>
  <c r="X34" i="55" s="1"/>
  <c r="T68" i="55" s="1"/>
  <c r="W33" i="55"/>
  <c r="V33" i="55"/>
  <c r="V34" i="55" s="1"/>
  <c r="R68" i="55" s="1"/>
  <c r="U33" i="55"/>
  <c r="U34" i="55" s="1"/>
  <c r="Q68" i="55" s="1"/>
  <c r="T33" i="55"/>
  <c r="S33" i="55"/>
  <c r="S34" i="55" s="1"/>
  <c r="O68" i="55" s="1"/>
  <c r="R33" i="55"/>
  <c r="R34" i="55" s="1"/>
  <c r="N68" i="55" s="1"/>
  <c r="Q33" i="55"/>
  <c r="Q34" i="55" s="1"/>
  <c r="M68" i="55" s="1"/>
  <c r="P33" i="55"/>
  <c r="P34" i="55" s="1"/>
  <c r="L68" i="55" s="1"/>
  <c r="O33" i="55"/>
  <c r="O34" i="55" s="1"/>
  <c r="K68" i="55" s="1"/>
  <c r="N33" i="55"/>
  <c r="M33" i="55"/>
  <c r="M34" i="55" s="1"/>
  <c r="L33" i="55"/>
  <c r="K33" i="55"/>
  <c r="J33" i="55"/>
  <c r="I33" i="55"/>
  <c r="H33" i="55"/>
  <c r="G33" i="55"/>
  <c r="F33" i="55"/>
  <c r="C33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N146" i="57" l="1"/>
  <c r="D146" i="57"/>
  <c r="I146" i="57"/>
  <c r="T31" i="57"/>
  <c r="Q31" i="57"/>
  <c r="T30" i="57"/>
  <c r="N144" i="57" s="1"/>
  <c r="Q12" i="54"/>
  <c r="H31" i="57"/>
  <c r="Q30" i="57"/>
  <c r="H65" i="57"/>
  <c r="F43" i="57"/>
  <c r="C65" i="57" s="1"/>
  <c r="K20" i="56"/>
  <c r="M16" i="56"/>
  <c r="M17" i="56"/>
  <c r="D58" i="55" a="1"/>
  <c r="D56" i="55" a="1"/>
  <c r="C72" i="57"/>
  <c r="M79" i="57"/>
  <c r="M81" i="57"/>
  <c r="H30" i="57"/>
  <c r="P12" i="54"/>
  <c r="D62" i="57"/>
  <c r="J21" i="56"/>
  <c r="H21" i="56" s="1"/>
  <c r="L25" i="56"/>
  <c r="I25" i="56" s="1"/>
  <c r="K15" i="56"/>
  <c r="AA27" i="56"/>
  <c r="J27" i="56" s="1"/>
  <c r="H27" i="56" s="1"/>
  <c r="AA24" i="56"/>
  <c r="J24" i="56" s="1"/>
  <c r="H24" i="56" s="1"/>
  <c r="AA26" i="56"/>
  <c r="J26" i="56" s="1"/>
  <c r="H26" i="56" s="1"/>
  <c r="AA28" i="56"/>
  <c r="J28" i="56" s="1"/>
  <c r="H28" i="56" s="1"/>
  <c r="AA25" i="56"/>
  <c r="J25" i="56" s="1"/>
  <c r="H25" i="56" s="1"/>
  <c r="AB27" i="56"/>
  <c r="K27" i="56" s="1"/>
  <c r="AB25" i="56"/>
  <c r="K25" i="56" s="1"/>
  <c r="AB24" i="56"/>
  <c r="AB26" i="56"/>
  <c r="K26" i="56" s="1"/>
  <c r="AB28" i="56"/>
  <c r="K28" i="56" s="1"/>
  <c r="K18" i="56"/>
  <c r="M14" i="56"/>
  <c r="L16" i="56"/>
  <c r="I16" i="56" s="1"/>
  <c r="K19" i="56"/>
  <c r="E42" i="56"/>
  <c r="AH15" i="56" s="1"/>
  <c r="L15" i="56" s="1"/>
  <c r="I15" i="56" s="1"/>
  <c r="K24" i="56"/>
  <c r="AH27" i="56"/>
  <c r="L27" i="56" s="1"/>
  <c r="I27" i="56" s="1"/>
  <c r="M28" i="56"/>
  <c r="C44" i="56"/>
  <c r="AA17" i="56" s="1"/>
  <c r="J17" i="56" s="1"/>
  <c r="H17" i="56" s="1"/>
  <c r="C47" i="56"/>
  <c r="AA20" i="56" s="1"/>
  <c r="J20" i="56" s="1"/>
  <c r="H20" i="56" s="1"/>
  <c r="K14" i="56"/>
  <c r="AH28" i="56"/>
  <c r="L28" i="56" s="1"/>
  <c r="I28" i="56" s="1"/>
  <c r="C49" i="56"/>
  <c r="M18" i="56"/>
  <c r="L20" i="56"/>
  <c r="I20" i="56" s="1"/>
  <c r="L26" i="56"/>
  <c r="I26" i="56" s="1"/>
  <c r="K16" i="56"/>
  <c r="M20" i="56"/>
  <c r="L24" i="56"/>
  <c r="I24" i="56" s="1"/>
  <c r="E44" i="56"/>
  <c r="AH17" i="56" s="1"/>
  <c r="L17" i="56" s="1"/>
  <c r="I17" i="56" s="1"/>
  <c r="E46" i="56"/>
  <c r="AH19" i="56" s="1"/>
  <c r="L19" i="56" s="1"/>
  <c r="I19" i="56" s="1"/>
  <c r="L14" i="56"/>
  <c r="I14" i="56" s="1"/>
  <c r="L21" i="56"/>
  <c r="I21" i="56" s="1"/>
  <c r="M24" i="56"/>
  <c r="C41" i="56"/>
  <c r="AA14" i="56" s="1"/>
  <c r="J14" i="56" s="1"/>
  <c r="H14" i="56" s="1"/>
  <c r="C43" i="56"/>
  <c r="AA16" i="56" s="1"/>
  <c r="J16" i="56" s="1"/>
  <c r="H16" i="56" s="1"/>
  <c r="C45" i="56"/>
  <c r="AA18" i="56" s="1"/>
  <c r="J18" i="56" s="1"/>
  <c r="H18" i="56" s="1"/>
  <c r="C46" i="56"/>
  <c r="AA19" i="56" s="1"/>
  <c r="J19" i="56" s="1"/>
  <c r="H19" i="56" s="1"/>
  <c r="G3" i="57"/>
  <c r="M64" i="57" s="1"/>
  <c r="H108" i="57"/>
  <c r="C108" i="57"/>
  <c r="M101" i="57"/>
  <c r="M110" i="57"/>
  <c r="M139" i="57"/>
  <c r="W25" i="57"/>
  <c r="Z22" i="57"/>
  <c r="W26" i="57"/>
  <c r="Z28" i="57"/>
  <c r="C104" i="57"/>
  <c r="C111" i="57"/>
  <c r="C119" i="57"/>
  <c r="M124" i="57"/>
  <c r="M128" i="57"/>
  <c r="M137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2" i="57"/>
  <c r="N86" i="57" s="1"/>
  <c r="H3" i="57"/>
  <c r="N64" i="57" s="1"/>
  <c r="I69" i="57"/>
  <c r="M99" i="57"/>
  <c r="C115" i="57"/>
  <c r="M127" i="57"/>
  <c r="M115" i="57"/>
  <c r="C88" i="57"/>
  <c r="M103" i="57"/>
  <c r="M118" i="57"/>
  <c r="C129" i="57"/>
  <c r="M88" i="57"/>
  <c r="M129" i="57"/>
  <c r="G8" i="57"/>
  <c r="M69" i="57" s="1"/>
  <c r="M72" i="57"/>
  <c r="M89" i="57"/>
  <c r="M104" i="57"/>
  <c r="M119" i="57"/>
  <c r="M132" i="57"/>
  <c r="B53" i="57"/>
  <c r="C70" i="57" s="1"/>
  <c r="M73" i="57"/>
  <c r="C90" i="57"/>
  <c r="M105" i="57"/>
  <c r="M120" i="57"/>
  <c r="C133" i="57"/>
  <c r="M75" i="57"/>
  <c r="M90" i="57"/>
  <c r="M107" i="57"/>
  <c r="M122" i="57"/>
  <c r="M133" i="57"/>
  <c r="M77" i="57"/>
  <c r="M91" i="57"/>
  <c r="M108" i="57"/>
  <c r="C123" i="57"/>
  <c r="M134" i="57"/>
  <c r="M95" i="57"/>
  <c r="M123" i="57"/>
  <c r="C96" i="57"/>
  <c r="H12" i="57"/>
  <c r="N66" i="57" s="1"/>
  <c r="C82" i="57"/>
  <c r="M96" i="57"/>
  <c r="M111" i="57"/>
  <c r="M126" i="57"/>
  <c r="C140" i="57"/>
  <c r="B18" i="57"/>
  <c r="M82" i="57"/>
  <c r="M97" i="57"/>
  <c r="M114" i="57"/>
  <c r="C127" i="57"/>
  <c r="M140" i="57"/>
  <c r="M71" i="57"/>
  <c r="T29" i="57"/>
  <c r="Q19" i="57"/>
  <c r="H18" i="57"/>
  <c r="H22" i="57"/>
  <c r="I66" i="57"/>
  <c r="H34" i="57"/>
  <c r="N44" i="57"/>
  <c r="D67" i="57" s="1"/>
  <c r="H36" i="57"/>
  <c r="H21" i="57"/>
  <c r="H27" i="57"/>
  <c r="I64" i="57"/>
  <c r="J44" i="57"/>
  <c r="D66" i="57" s="1"/>
  <c r="Q29" i="57"/>
  <c r="B44" i="57"/>
  <c r="D68" i="57" s="1"/>
  <c r="H26" i="57"/>
  <c r="I68" i="57"/>
  <c r="H25" i="57"/>
  <c r="N62" i="57"/>
  <c r="F44" i="57"/>
  <c r="D65" i="57" s="1"/>
  <c r="H35" i="57"/>
  <c r="H23" i="57"/>
  <c r="N17" i="57"/>
  <c r="H24" i="57"/>
  <c r="Q20" i="57"/>
  <c r="I70" i="57"/>
  <c r="I62" i="57"/>
  <c r="H28" i="57"/>
  <c r="W22" i="57"/>
  <c r="H19" i="57"/>
  <c r="H33" i="57"/>
  <c r="T26" i="57"/>
  <c r="T24" i="57"/>
  <c r="B54" i="57"/>
  <c r="D70" i="57" s="1"/>
  <c r="T23" i="57"/>
  <c r="Q21" i="57"/>
  <c r="H17" i="57"/>
  <c r="H29" i="57"/>
  <c r="T27" i="57"/>
  <c r="T22" i="57"/>
  <c r="N18" i="57"/>
  <c r="T25" i="57"/>
  <c r="H67" i="57"/>
  <c r="N43" i="57"/>
  <c r="C67" i="57" s="1"/>
  <c r="H13" i="57"/>
  <c r="N67" i="57" s="1"/>
  <c r="M135" i="57"/>
  <c r="H135" i="57"/>
  <c r="C135" i="57"/>
  <c r="G13" i="57"/>
  <c r="M67" i="57" s="1"/>
  <c r="M74" i="57"/>
  <c r="H74" i="57"/>
  <c r="C74" i="57"/>
  <c r="H112" i="57"/>
  <c r="C112" i="57"/>
  <c r="T28" i="57"/>
  <c r="H20" i="57"/>
  <c r="I65" i="57"/>
  <c r="M112" i="57"/>
  <c r="H93" i="57"/>
  <c r="C93" i="57"/>
  <c r="H86" i="57"/>
  <c r="C86" i="57"/>
  <c r="M125" i="57"/>
  <c r="H125" i="57"/>
  <c r="C125" i="57"/>
  <c r="B39" i="57"/>
  <c r="D64" i="57" s="1"/>
  <c r="H130" i="57"/>
  <c r="C130" i="57"/>
  <c r="M130" i="57"/>
  <c r="H116" i="57"/>
  <c r="C116" i="57"/>
  <c r="M116" i="57"/>
  <c r="M102" i="57"/>
  <c r="H102" i="57"/>
  <c r="C102" i="57"/>
  <c r="H8" i="57"/>
  <c r="N69" i="57" s="1"/>
  <c r="M106" i="57"/>
  <c r="H106" i="57"/>
  <c r="C106" i="57"/>
  <c r="M121" i="57"/>
  <c r="H121" i="57"/>
  <c r="C121" i="57"/>
  <c r="B49" i="57"/>
  <c r="D69" i="57" s="1"/>
  <c r="I67" i="57"/>
  <c r="G9" i="57"/>
  <c r="M70" i="57" s="1"/>
  <c r="B43" i="57"/>
  <c r="C68" i="57" s="1"/>
  <c r="C78" i="57"/>
  <c r="C94" i="57"/>
  <c r="C98" i="57"/>
  <c r="H4" i="57"/>
  <c r="N65" i="57" s="1"/>
  <c r="H9" i="57"/>
  <c r="N70" i="57" s="1"/>
  <c r="M65" i="57"/>
  <c r="C76" i="57"/>
  <c r="C80" i="57"/>
  <c r="C92" i="57"/>
  <c r="C100" i="57"/>
  <c r="C113" i="57"/>
  <c r="C117" i="57"/>
  <c r="C131" i="57"/>
  <c r="C138" i="57"/>
  <c r="C66" i="57"/>
  <c r="H64" i="57"/>
  <c r="H66" i="57"/>
  <c r="H68" i="57"/>
  <c r="H76" i="57"/>
  <c r="H78" i="57"/>
  <c r="H80" i="57"/>
  <c r="H92" i="57"/>
  <c r="H94" i="57"/>
  <c r="H98" i="57"/>
  <c r="H100" i="57"/>
  <c r="H113" i="57"/>
  <c r="H117" i="57"/>
  <c r="H131" i="57"/>
  <c r="H138" i="57"/>
  <c r="H7" i="57"/>
  <c r="N68" i="57" s="1"/>
  <c r="G12" i="57"/>
  <c r="M66" i="57" s="1"/>
  <c r="C71" i="57"/>
  <c r="C73" i="57"/>
  <c r="C75" i="57"/>
  <c r="C77" i="57"/>
  <c r="C79" i="57"/>
  <c r="C81" i="57"/>
  <c r="C83" i="57"/>
  <c r="C87" i="57"/>
  <c r="C89" i="57"/>
  <c r="C91" i="57"/>
  <c r="C95" i="57"/>
  <c r="C97" i="57"/>
  <c r="C99" i="57"/>
  <c r="C101" i="57"/>
  <c r="C103" i="57"/>
  <c r="C105" i="57"/>
  <c r="C107" i="57"/>
  <c r="C110" i="57"/>
  <c r="C114" i="57"/>
  <c r="C118" i="57"/>
  <c r="C120" i="57"/>
  <c r="C122" i="57"/>
  <c r="C124" i="57"/>
  <c r="C126" i="57"/>
  <c r="C128" i="57"/>
  <c r="C132" i="57"/>
  <c r="C134" i="57"/>
  <c r="C137" i="57"/>
  <c r="C139" i="57"/>
  <c r="B48" i="57"/>
  <c r="C69" i="57" s="1"/>
  <c r="AH23" i="56"/>
  <c r="L23" i="56" s="1"/>
  <c r="I23" i="56" s="1"/>
  <c r="AH22" i="56"/>
  <c r="L22" i="56" s="1"/>
  <c r="I22" i="56" s="1"/>
  <c r="M21" i="56"/>
  <c r="AI23" i="56"/>
  <c r="M23" i="56" s="1"/>
  <c r="AI22" i="56"/>
  <c r="M22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E60" i="55"/>
  <c r="D60" i="55"/>
  <c r="X60" i="55" s="1"/>
  <c r="E34" i="55"/>
  <c r="J34" i="55" s="1"/>
  <c r="D34" i="55"/>
  <c r="G34" i="55" s="1"/>
  <c r="N54" i="55"/>
  <c r="H54" i="55"/>
  <c r="E48" i="55"/>
  <c r="D48" i="55"/>
  <c r="H48" i="55" s="1"/>
  <c r="E50" i="55"/>
  <c r="D50" i="55"/>
  <c r="P54" i="55"/>
  <c r="E58" i="55"/>
  <c r="D58" i="55"/>
  <c r="E40" i="55"/>
  <c r="D40" i="55"/>
  <c r="J40" i="55" s="1"/>
  <c r="F48" i="55"/>
  <c r="Q54" i="55"/>
  <c r="F58" i="55"/>
  <c r="B80" i="55" s="1"/>
  <c r="G50" i="55"/>
  <c r="K34" i="55"/>
  <c r="M3" i="55"/>
  <c r="L3" i="55"/>
  <c r="H50" i="55"/>
  <c r="N48" i="55"/>
  <c r="O60" i="55"/>
  <c r="J50" i="55"/>
  <c r="V50" i="55"/>
  <c r="G40" i="55"/>
  <c r="V54" i="55"/>
  <c r="W54" i="55"/>
  <c r="D38" i="55" a="1"/>
  <c r="T54" i="55"/>
  <c r="L54" i="55"/>
  <c r="O58" i="55"/>
  <c r="D36" i="55" a="1"/>
  <c r="D46" i="55" a="1"/>
  <c r="I48" i="55"/>
  <c r="U48" i="55"/>
  <c r="D42" i="55"/>
  <c r="J42" i="55" s="1"/>
  <c r="D44" i="55" a="1"/>
  <c r="P50" i="55"/>
  <c r="I54" i="55"/>
  <c r="U54" i="55"/>
  <c r="J54" i="55"/>
  <c r="W60" i="55"/>
  <c r="E56" i="55"/>
  <c r="V56" i="55" s="1"/>
  <c r="D56" i="55"/>
  <c r="U56" i="55" s="1"/>
  <c r="Q50" i="55"/>
  <c r="K54" i="55"/>
  <c r="X54" i="55"/>
  <c r="M60" i="55"/>
  <c r="D52" i="55" a="1"/>
  <c r="Q60" i="55"/>
  <c r="U50" i="55"/>
  <c r="O54" i="55"/>
  <c r="U58" i="55"/>
  <c r="F54" i="55"/>
  <c r="B78" i="55" s="1"/>
  <c r="R54" i="55"/>
  <c r="X58" i="55"/>
  <c r="M50" i="55"/>
  <c r="G54" i="55"/>
  <c r="C78" i="55" s="1"/>
  <c r="S54" i="55"/>
  <c r="N148" i="57" l="1"/>
  <c r="I148" i="57"/>
  <c r="D148" i="57"/>
  <c r="N147" i="57"/>
  <c r="I147" i="57"/>
  <c r="D147" i="57"/>
  <c r="I144" i="57"/>
  <c r="C151" i="57"/>
  <c r="B153" i="57" s="1"/>
  <c r="D85" i="57"/>
  <c r="I85" i="57"/>
  <c r="N85" i="57"/>
  <c r="D144" i="57"/>
  <c r="N20" i="57"/>
  <c r="N63" i="57"/>
  <c r="Q27" i="57"/>
  <c r="D130" i="57" s="1"/>
  <c r="Q23" i="57"/>
  <c r="N112" i="57" s="1"/>
  <c r="K24" i="57"/>
  <c r="I114" i="57" s="1"/>
  <c r="K31" i="57"/>
  <c r="K29" i="57"/>
  <c r="D137" i="57" s="1"/>
  <c r="K22" i="57"/>
  <c r="I104" i="57" s="1"/>
  <c r="K21" i="57"/>
  <c r="D101" i="57" s="1"/>
  <c r="Q25" i="57"/>
  <c r="N120" i="57" s="1"/>
  <c r="K26" i="57"/>
  <c r="N123" i="57" s="1"/>
  <c r="K23" i="57"/>
  <c r="D110" i="57" s="1"/>
  <c r="R56" i="55"/>
  <c r="F56" i="55"/>
  <c r="B79" i="55" s="1"/>
  <c r="N56" i="55"/>
  <c r="H60" i="55"/>
  <c r="P60" i="55"/>
  <c r="O56" i="55"/>
  <c r="S60" i="55"/>
  <c r="G56" i="55"/>
  <c r="C79" i="55" s="1"/>
  <c r="T56" i="55"/>
  <c r="L60" i="55"/>
  <c r="G60" i="55"/>
  <c r="D84" i="57"/>
  <c r="I84" i="57"/>
  <c r="N84" i="57"/>
  <c r="N30" i="57"/>
  <c r="K17" i="57"/>
  <c r="D91" i="57" s="1"/>
  <c r="N27" i="57"/>
  <c r="I129" i="57" s="1"/>
  <c r="Q28" i="57"/>
  <c r="I134" i="57" s="1"/>
  <c r="N21" i="57"/>
  <c r="N102" i="57" s="1"/>
  <c r="N136" i="57"/>
  <c r="I136" i="57"/>
  <c r="D136" i="57"/>
  <c r="I109" i="57"/>
  <c r="D109" i="57"/>
  <c r="N109" i="57"/>
  <c r="N26" i="57"/>
  <c r="N124" i="57" s="1"/>
  <c r="K30" i="57"/>
  <c r="D63" i="57"/>
  <c r="I86" i="57"/>
  <c r="D86" i="57"/>
  <c r="K20" i="57"/>
  <c r="I98" i="57" s="1"/>
  <c r="K27" i="57"/>
  <c r="N128" i="57" s="1"/>
  <c r="E39" i="57"/>
  <c r="N28" i="57"/>
  <c r="D133" i="57" s="1"/>
  <c r="K28" i="57"/>
  <c r="I132" i="57" s="1"/>
  <c r="N25" i="57"/>
  <c r="I119" i="57" s="1"/>
  <c r="Q26" i="57"/>
  <c r="N125" i="57" s="1"/>
  <c r="N23" i="57"/>
  <c r="N111" i="57" s="1"/>
  <c r="K25" i="57"/>
  <c r="D118" i="57" s="1"/>
  <c r="K18" i="57"/>
  <c r="D93" i="57" s="1"/>
  <c r="N29" i="57"/>
  <c r="I138" i="57" s="1"/>
  <c r="N24" i="57"/>
  <c r="I115" i="57" s="1"/>
  <c r="K19" i="57"/>
  <c r="D95" i="57" s="1"/>
  <c r="N22" i="57"/>
  <c r="D105" i="57" s="1"/>
  <c r="N19" i="57"/>
  <c r="D96" i="57" s="1"/>
  <c r="I63" i="57"/>
  <c r="Q22" i="57"/>
  <c r="Q24" i="57"/>
  <c r="D116" i="57" s="1"/>
  <c r="D99" i="57"/>
  <c r="N99" i="57"/>
  <c r="I99" i="57"/>
  <c r="D73" i="57"/>
  <c r="N73" i="57"/>
  <c r="I73" i="57"/>
  <c r="N88" i="57"/>
  <c r="I88" i="57"/>
  <c r="D88" i="57"/>
  <c r="I74" i="57"/>
  <c r="N74" i="57"/>
  <c r="D74" i="57"/>
  <c r="N131" i="57"/>
  <c r="I131" i="57"/>
  <c r="D131" i="57"/>
  <c r="D79" i="57"/>
  <c r="N79" i="57"/>
  <c r="I79" i="57"/>
  <c r="D83" i="57"/>
  <c r="N83" i="57"/>
  <c r="I83" i="57"/>
  <c r="N127" i="57"/>
  <c r="I127" i="57"/>
  <c r="D127" i="57"/>
  <c r="I76" i="57"/>
  <c r="N76" i="57"/>
  <c r="D76" i="57"/>
  <c r="D107" i="57"/>
  <c r="N107" i="57"/>
  <c r="I107" i="57"/>
  <c r="I108" i="57"/>
  <c r="N108" i="57"/>
  <c r="D108" i="57"/>
  <c r="D71" i="57"/>
  <c r="N71" i="57"/>
  <c r="I71" i="57"/>
  <c r="I82" i="57"/>
  <c r="N82" i="57"/>
  <c r="D82" i="57"/>
  <c r="I80" i="57"/>
  <c r="N80" i="57"/>
  <c r="D80" i="57"/>
  <c r="I72" i="57"/>
  <c r="N72" i="57"/>
  <c r="D72" i="57"/>
  <c r="I94" i="57"/>
  <c r="N94" i="57"/>
  <c r="D94" i="57"/>
  <c r="D139" i="57"/>
  <c r="N139" i="57"/>
  <c r="I139" i="57"/>
  <c r="D122" i="57"/>
  <c r="N122" i="57"/>
  <c r="I122" i="57"/>
  <c r="N104" i="57"/>
  <c r="D104" i="57"/>
  <c r="N78" i="57"/>
  <c r="I78" i="57"/>
  <c r="D78" i="57"/>
  <c r="I135" i="57"/>
  <c r="N135" i="57"/>
  <c r="D135" i="57"/>
  <c r="N140" i="57"/>
  <c r="I140" i="57"/>
  <c r="D140" i="57"/>
  <c r="I100" i="57"/>
  <c r="N100" i="57"/>
  <c r="D100" i="57"/>
  <c r="I92" i="57"/>
  <c r="N92" i="57"/>
  <c r="D92" i="57"/>
  <c r="D81" i="57"/>
  <c r="N81" i="57"/>
  <c r="I81" i="57"/>
  <c r="D87" i="57"/>
  <c r="N87" i="57"/>
  <c r="I87" i="57"/>
  <c r="D97" i="57"/>
  <c r="N97" i="57"/>
  <c r="I97" i="57"/>
  <c r="N117" i="57"/>
  <c r="I117" i="57"/>
  <c r="D117" i="57"/>
  <c r="D77" i="57"/>
  <c r="N77" i="57"/>
  <c r="I77" i="57"/>
  <c r="D75" i="57"/>
  <c r="N75" i="57"/>
  <c r="I75" i="57"/>
  <c r="D103" i="57"/>
  <c r="N103" i="57"/>
  <c r="I103" i="57"/>
  <c r="I113" i="57"/>
  <c r="N113" i="57"/>
  <c r="D113" i="57"/>
  <c r="D124" i="57"/>
  <c r="I124" i="57"/>
  <c r="I121" i="57"/>
  <c r="N121" i="57"/>
  <c r="D121" i="57"/>
  <c r="D126" i="57"/>
  <c r="N126" i="57"/>
  <c r="I126" i="57"/>
  <c r="D89" i="57"/>
  <c r="N89" i="57"/>
  <c r="I89" i="57"/>
  <c r="I90" i="57"/>
  <c r="N90" i="57"/>
  <c r="D90" i="57"/>
  <c r="D75" i="55"/>
  <c r="F71" i="55"/>
  <c r="D44" i="55"/>
  <c r="E44" i="55"/>
  <c r="E75" i="55"/>
  <c r="E78" i="55"/>
  <c r="D38" i="55"/>
  <c r="E38" i="55"/>
  <c r="F76" i="55"/>
  <c r="G48" i="55"/>
  <c r="C75" i="55" s="1"/>
  <c r="S58" i="55"/>
  <c r="K58" i="55"/>
  <c r="N58" i="55"/>
  <c r="W58" i="55"/>
  <c r="V58" i="55"/>
  <c r="T58" i="55"/>
  <c r="F42" i="55"/>
  <c r="M42" i="55"/>
  <c r="I58" i="55"/>
  <c r="L76" i="55"/>
  <c r="Q58" i="55"/>
  <c r="S78" i="55"/>
  <c r="F40" i="55"/>
  <c r="K42" i="55"/>
  <c r="K40" i="55"/>
  <c r="K78" i="55"/>
  <c r="T78" i="55"/>
  <c r="Q42" i="55"/>
  <c r="G42" i="55"/>
  <c r="C72" i="55" s="1"/>
  <c r="L78" i="55"/>
  <c r="I78" i="55"/>
  <c r="N40" i="55"/>
  <c r="M40" i="55"/>
  <c r="L40" i="55"/>
  <c r="L42" i="55"/>
  <c r="J78" i="55"/>
  <c r="D46" i="55"/>
  <c r="E46" i="55"/>
  <c r="J58" i="55"/>
  <c r="V48" i="55"/>
  <c r="I56" i="55"/>
  <c r="H40" i="55"/>
  <c r="D71" i="55" s="1"/>
  <c r="H56" i="55"/>
  <c r="D79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50" i="55"/>
  <c r="S50" i="55"/>
  <c r="O76" i="55" s="1"/>
  <c r="R50" i="55"/>
  <c r="N50" i="55"/>
  <c r="K50" i="55"/>
  <c r="L58" i="55"/>
  <c r="I50" i="55"/>
  <c r="O48" i="55"/>
  <c r="L56" i="55"/>
  <c r="K56" i="55"/>
  <c r="X56" i="55"/>
  <c r="Q56" i="55"/>
  <c r="P56" i="55"/>
  <c r="M56" i="55"/>
  <c r="J48" i="55"/>
  <c r="F75" i="55" s="1"/>
  <c r="D36" i="55"/>
  <c r="E36" i="55"/>
  <c r="H34" i="55"/>
  <c r="R58" i="55"/>
  <c r="D52" i="55"/>
  <c r="E52" i="55"/>
  <c r="P78" i="55"/>
  <c r="N42" i="55"/>
  <c r="R42" i="55"/>
  <c r="N72" i="55" s="1"/>
  <c r="S42" i="55"/>
  <c r="P42" i="55"/>
  <c r="I40" i="55"/>
  <c r="X48" i="55"/>
  <c r="Q48" i="55"/>
  <c r="P48" i="55"/>
  <c r="M48" i="55"/>
  <c r="K48" i="55"/>
  <c r="G75" i="55" s="1"/>
  <c r="L48" i="55"/>
  <c r="I34" i="55"/>
  <c r="P58" i="55"/>
  <c r="W50" i="55"/>
  <c r="F50" i="55"/>
  <c r="K60" i="55"/>
  <c r="V60" i="55"/>
  <c r="U60" i="55"/>
  <c r="T60" i="55"/>
  <c r="R60" i="55"/>
  <c r="J60" i="55"/>
  <c r="I60" i="55"/>
  <c r="F60" i="55"/>
  <c r="B81" i="55" s="1"/>
  <c r="F78" i="55"/>
  <c r="C71" i="55"/>
  <c r="D78" i="55"/>
  <c r="Q78" i="55"/>
  <c r="N78" i="55"/>
  <c r="R78" i="55"/>
  <c r="H42" i="55"/>
  <c r="I42" i="55"/>
  <c r="H68" i="55"/>
  <c r="I11" i="55" s="1"/>
  <c r="J11" i="55" s="1"/>
  <c r="M11" i="55" s="1"/>
  <c r="O42" i="55"/>
  <c r="S48" i="55"/>
  <c r="K81" i="55"/>
  <c r="M78" i="55"/>
  <c r="M58" i="55"/>
  <c r="X50" i="55"/>
  <c r="G78" i="55"/>
  <c r="O50" i="55"/>
  <c r="J56" i="55"/>
  <c r="G58" i="55"/>
  <c r="C80" i="55" s="1"/>
  <c r="O78" i="55"/>
  <c r="L50" i="55"/>
  <c r="H76" i="55" s="1"/>
  <c r="H58" i="55"/>
  <c r="W48" i="55"/>
  <c r="W56" i="55"/>
  <c r="S79" i="55" s="1"/>
  <c r="H78" i="55"/>
  <c r="T48" i="55"/>
  <c r="N60" i="55"/>
  <c r="S56" i="55"/>
  <c r="R48" i="55"/>
  <c r="N145" i="57" l="1"/>
  <c r="D145" i="57"/>
  <c r="I145" i="57"/>
  <c r="N91" i="57"/>
  <c r="N110" i="57"/>
  <c r="I112" i="57"/>
  <c r="D112" i="57"/>
  <c r="N132" i="57"/>
  <c r="I91" i="57"/>
  <c r="I130" i="57"/>
  <c r="N130" i="57"/>
  <c r="N134" i="57"/>
  <c r="N114" i="57"/>
  <c r="D114" i="57"/>
  <c r="D123" i="57"/>
  <c r="D134" i="57"/>
  <c r="I120" i="57"/>
  <c r="D120" i="57"/>
  <c r="I137" i="57"/>
  <c r="N137" i="57"/>
  <c r="I101" i="57"/>
  <c r="D129" i="57"/>
  <c r="N101" i="57"/>
  <c r="N129" i="57"/>
  <c r="I110" i="57"/>
  <c r="D132" i="57"/>
  <c r="I128" i="57"/>
  <c r="I123" i="57"/>
  <c r="D128" i="57"/>
  <c r="D141" i="57"/>
  <c r="I141" i="57"/>
  <c r="N141" i="57"/>
  <c r="D142" i="57"/>
  <c r="N142" i="57"/>
  <c r="I142" i="57"/>
  <c r="H79" i="55"/>
  <c r="R80" i="55"/>
  <c r="E79" i="55"/>
  <c r="D81" i="55"/>
  <c r="I79" i="55"/>
  <c r="I81" i="55"/>
  <c r="N143" i="57"/>
  <c r="I143" i="57"/>
  <c r="D143" i="57"/>
  <c r="I95" i="57"/>
  <c r="N95" i="57"/>
  <c r="D102" i="57"/>
  <c r="I102" i="57"/>
  <c r="I105" i="57"/>
  <c r="I116" i="57"/>
  <c r="N105" i="57"/>
  <c r="I93" i="57"/>
  <c r="N116" i="57"/>
  <c r="N96" i="57"/>
  <c r="I133" i="57"/>
  <c r="D119" i="57"/>
  <c r="I96" i="57"/>
  <c r="N133" i="57"/>
  <c r="D115" i="57"/>
  <c r="N115" i="57"/>
  <c r="D125" i="57"/>
  <c r="I125" i="57"/>
  <c r="N81" i="55"/>
  <c r="C81" i="55"/>
  <c r="G81" i="55"/>
  <c r="I118" i="57"/>
  <c r="N118" i="57"/>
  <c r="N93" i="57"/>
  <c r="N119" i="57"/>
  <c r="D98" i="57"/>
  <c r="D138" i="57"/>
  <c r="D111" i="57"/>
  <c r="N98" i="57"/>
  <c r="N138" i="57"/>
  <c r="I111" i="57"/>
  <c r="I106" i="57"/>
  <c r="N106" i="57"/>
  <c r="D106" i="57"/>
  <c r="C97" i="55"/>
  <c r="E72" i="55"/>
  <c r="S76" i="55"/>
  <c r="K52" i="55"/>
  <c r="V52" i="55"/>
  <c r="R52" i="55"/>
  <c r="Q52" i="55"/>
  <c r="J52" i="55"/>
  <c r="I52" i="55"/>
  <c r="F52" i="55"/>
  <c r="B77" i="55" s="1"/>
  <c r="T52" i="55"/>
  <c r="P77" i="55" s="1"/>
  <c r="U52" i="55"/>
  <c r="G52" i="55"/>
  <c r="M52" i="55"/>
  <c r="W52" i="55"/>
  <c r="P52" i="55"/>
  <c r="L52" i="55"/>
  <c r="N52" i="55"/>
  <c r="X52" i="55"/>
  <c r="H52" i="55"/>
  <c r="O52" i="55"/>
  <c r="S52" i="55"/>
  <c r="O77" i="55" s="1"/>
  <c r="H71" i="55"/>
  <c r="S80" i="55"/>
  <c r="F79" i="55"/>
  <c r="L80" i="55"/>
  <c r="P79" i="55"/>
  <c r="N80" i="55"/>
  <c r="E76" i="55"/>
  <c r="R75" i="55"/>
  <c r="I71" i="55"/>
  <c r="G72" i="55"/>
  <c r="J80" i="55"/>
  <c r="J79" i="55"/>
  <c r="O79" i="55"/>
  <c r="K76" i="55"/>
  <c r="G68" i="55"/>
  <c r="E68" i="55"/>
  <c r="E71" i="55"/>
  <c r="D68" i="55"/>
  <c r="H80" i="55"/>
  <c r="F80" i="55"/>
  <c r="J71" i="55"/>
  <c r="G80" i="55"/>
  <c r="Q46" i="55"/>
  <c r="H46" i="55"/>
  <c r="D74" i="55" s="1"/>
  <c r="L46" i="55"/>
  <c r="R46" i="55"/>
  <c r="P46" i="55"/>
  <c r="N46" i="55"/>
  <c r="K46" i="55"/>
  <c r="O46" i="55"/>
  <c r="S46" i="55"/>
  <c r="F46" i="55"/>
  <c r="M46" i="55"/>
  <c r="G46" i="55"/>
  <c r="C74" i="55" s="1"/>
  <c r="J46" i="55"/>
  <c r="I46" i="55"/>
  <c r="E74" i="55" s="1"/>
  <c r="S81" i="55"/>
  <c r="K75" i="55"/>
  <c r="G71" i="55"/>
  <c r="N75" i="55"/>
  <c r="L72" i="55"/>
  <c r="G76" i="55"/>
  <c r="Q76" i="55"/>
  <c r="Q75" i="55"/>
  <c r="O80" i="55"/>
  <c r="P75" i="55"/>
  <c r="T76" i="55"/>
  <c r="E81" i="55"/>
  <c r="C68" i="55"/>
  <c r="N79" i="55"/>
  <c r="K36" i="55"/>
  <c r="J36" i="55"/>
  <c r="I36" i="55"/>
  <c r="N36" i="55"/>
  <c r="H36" i="55"/>
  <c r="M36" i="55"/>
  <c r="C69" i="55"/>
  <c r="L36" i="55"/>
  <c r="J76" i="55"/>
  <c r="T80" i="55"/>
  <c r="L81" i="55"/>
  <c r="R44" i="55"/>
  <c r="J44" i="55"/>
  <c r="Q44" i="55"/>
  <c r="I44" i="55"/>
  <c r="F44" i="55"/>
  <c r="K44" i="55"/>
  <c r="H44" i="55"/>
  <c r="D73" i="55" s="1"/>
  <c r="P44" i="55"/>
  <c r="M44" i="55"/>
  <c r="I73" i="55" s="1"/>
  <c r="G44" i="55"/>
  <c r="L44" i="55"/>
  <c r="S44" i="55"/>
  <c r="O44" i="55"/>
  <c r="N44" i="55"/>
  <c r="H72" i="55"/>
  <c r="Q80" i="55"/>
  <c r="J81" i="55"/>
  <c r="D72" i="55"/>
  <c r="O81" i="55"/>
  <c r="I80" i="55"/>
  <c r="K80" i="55"/>
  <c r="F81" i="55"/>
  <c r="H75" i="55"/>
  <c r="O72" i="55"/>
  <c r="N76" i="55"/>
  <c r="M80" i="55"/>
  <c r="D76" i="55"/>
  <c r="R79" i="55"/>
  <c r="S75" i="55"/>
  <c r="P81" i="55"/>
  <c r="I75" i="55"/>
  <c r="J72" i="55"/>
  <c r="L79" i="55"/>
  <c r="P76" i="55"/>
  <c r="E80" i="55"/>
  <c r="T81" i="55"/>
  <c r="Q79" i="55"/>
  <c r="D80" i="55"/>
  <c r="O75" i="55"/>
  <c r="C76" i="55"/>
  <c r="Q81" i="55"/>
  <c r="L75" i="55"/>
  <c r="I76" i="55"/>
  <c r="M79" i="55"/>
  <c r="M76" i="55"/>
  <c r="M72" i="55"/>
  <c r="I72" i="55"/>
  <c r="M81" i="55"/>
  <c r="K72" i="55"/>
  <c r="R76" i="55"/>
  <c r="R81" i="55"/>
  <c r="M75" i="55"/>
  <c r="J75" i="55"/>
  <c r="T79" i="55"/>
  <c r="H81" i="55"/>
  <c r="M38" i="55"/>
  <c r="L38" i="55"/>
  <c r="H38" i="55"/>
  <c r="N38" i="55"/>
  <c r="K38" i="55"/>
  <c r="F38" i="55"/>
  <c r="I38" i="55"/>
  <c r="J38" i="55"/>
  <c r="G38" i="55"/>
  <c r="C70" i="55" s="1"/>
  <c r="F72" i="55"/>
  <c r="T75" i="55"/>
  <c r="G79" i="55"/>
  <c r="K79" i="55"/>
  <c r="P80" i="55"/>
  <c r="F68" i="55"/>
  <c r="D151" i="57" l="1"/>
  <c r="H69" i="55"/>
  <c r="C91" i="55"/>
  <c r="C100" i="55"/>
  <c r="C95" i="55"/>
  <c r="C90" i="55"/>
  <c r="C94" i="55"/>
  <c r="C87" i="55"/>
  <c r="M74" i="55"/>
  <c r="D69" i="55"/>
  <c r="E73" i="55"/>
  <c r="E69" i="55"/>
  <c r="O74" i="55"/>
  <c r="J77" i="55"/>
  <c r="N77" i="55"/>
  <c r="C99" i="55"/>
  <c r="M73" i="55"/>
  <c r="K74" i="55"/>
  <c r="H77" i="55"/>
  <c r="R77" i="55"/>
  <c r="G70" i="55"/>
  <c r="J73" i="55"/>
  <c r="F73" i="55"/>
  <c r="F69" i="55"/>
  <c r="G74" i="55"/>
  <c r="L77" i="55"/>
  <c r="G77" i="55"/>
  <c r="L73" i="55"/>
  <c r="F74" i="55"/>
  <c r="I69" i="55"/>
  <c r="E77" i="55"/>
  <c r="F77" i="55"/>
  <c r="T77" i="55"/>
  <c r="E70" i="55"/>
  <c r="N73" i="55"/>
  <c r="S77" i="55"/>
  <c r="D70" i="55"/>
  <c r="O73" i="55"/>
  <c r="I77" i="55"/>
  <c r="H70" i="55"/>
  <c r="H73" i="55"/>
  <c r="N74" i="55"/>
  <c r="C98" i="55"/>
  <c r="C77" i="55"/>
  <c r="K77" i="55"/>
  <c r="G73" i="55"/>
  <c r="I74" i="55"/>
  <c r="D77" i="55"/>
  <c r="F70" i="55"/>
  <c r="J69" i="55"/>
  <c r="M77" i="55"/>
  <c r="J70" i="55"/>
  <c r="K73" i="55"/>
  <c r="G69" i="55"/>
  <c r="J74" i="55"/>
  <c r="L74" i="55"/>
  <c r="I70" i="55"/>
  <c r="C73" i="55"/>
  <c r="H74" i="55"/>
  <c r="Q77" i="55"/>
  <c r="C92" i="55" l="1"/>
  <c r="C88" i="55"/>
  <c r="C89" i="55"/>
  <c r="C96" i="55"/>
  <c r="C93" i="55"/>
  <c r="C104" i="55" l="1"/>
  <c r="D40" i="2"/>
  <c r="Q49" i="2" l="1"/>
  <c r="Q61" i="2"/>
  <c r="Q73" i="2"/>
  <c r="Q85" i="2"/>
  <c r="Q97" i="2"/>
  <c r="Q109" i="2"/>
  <c r="Q121" i="2"/>
  <c r="Q63" i="2"/>
  <c r="Q87" i="2"/>
  <c r="Q111" i="2"/>
  <c r="Q54" i="2"/>
  <c r="Q78" i="2"/>
  <c r="Q126" i="2"/>
  <c r="Q91" i="2"/>
  <c r="Q59" i="2"/>
  <c r="Q71" i="2"/>
  <c r="Q119" i="2"/>
  <c r="Q84" i="2"/>
  <c r="Q50" i="2"/>
  <c r="Q62" i="2"/>
  <c r="Q74" i="2"/>
  <c r="Q86" i="2"/>
  <c r="Q98" i="2"/>
  <c r="Q110" i="2"/>
  <c r="Q122" i="2"/>
  <c r="Q51" i="2"/>
  <c r="Q75" i="2"/>
  <c r="Q99" i="2"/>
  <c r="Q123" i="2"/>
  <c r="Q90" i="2"/>
  <c r="Q114" i="2"/>
  <c r="Q67" i="2"/>
  <c r="Q115" i="2"/>
  <c r="Q83" i="2"/>
  <c r="Q60" i="2"/>
  <c r="Q96" i="2"/>
  <c r="Q52" i="2"/>
  <c r="Q64" i="2"/>
  <c r="Q76" i="2"/>
  <c r="Q88" i="2"/>
  <c r="Q100" i="2"/>
  <c r="Q112" i="2"/>
  <c r="Q124" i="2"/>
  <c r="Q65" i="2"/>
  <c r="Q77" i="2"/>
  <c r="Q89" i="2"/>
  <c r="Q101" i="2"/>
  <c r="Q113" i="2"/>
  <c r="Q125" i="2"/>
  <c r="Q66" i="2"/>
  <c r="Q102" i="2"/>
  <c r="Q55" i="2"/>
  <c r="Q79" i="2"/>
  <c r="Q127" i="2"/>
  <c r="Q107" i="2"/>
  <c r="Q72" i="2"/>
  <c r="Q108" i="2"/>
  <c r="Q53" i="2"/>
  <c r="Q103" i="2"/>
  <c r="Q56" i="2"/>
  <c r="Q68" i="2"/>
  <c r="Q80" i="2"/>
  <c r="Q92" i="2"/>
  <c r="Q104" i="2"/>
  <c r="Q116" i="2"/>
  <c r="Q128" i="2"/>
  <c r="Q57" i="2"/>
  <c r="Q69" i="2"/>
  <c r="Q81" i="2"/>
  <c r="Q93" i="2"/>
  <c r="Q105" i="2"/>
  <c r="Q117" i="2"/>
  <c r="Q58" i="2"/>
  <c r="Q70" i="2"/>
  <c r="Q82" i="2"/>
  <c r="Q94" i="2"/>
  <c r="Q106" i="2"/>
  <c r="Q118" i="2"/>
  <c r="Q95" i="2"/>
  <c r="Q48" i="2"/>
  <c r="Q120" i="2"/>
  <c r="G26" i="2"/>
  <c r="H26" i="2"/>
  <c r="I26" i="2"/>
  <c r="G25" i="2" l="1"/>
  <c r="H25" i="2"/>
  <c r="I25" i="2"/>
  <c r="G24" i="2" l="1"/>
  <c r="H24" i="2"/>
  <c r="I24" i="2"/>
  <c r="G23" i="2"/>
  <c r="H23" i="2"/>
  <c r="I23" i="2"/>
  <c r="F43" i="2"/>
  <c r="I40" i="2"/>
  <c r="G13" i="2"/>
  <c r="I14" i="2"/>
  <c r="I13" i="2"/>
  <c r="H96" i="2" l="1"/>
  <c r="H97" i="2"/>
  <c r="H123" i="2"/>
  <c r="H111" i="2"/>
  <c r="H99" i="2"/>
  <c r="H112" i="2"/>
  <c r="H117" i="2"/>
  <c r="H98" i="2"/>
  <c r="H128" i="2"/>
  <c r="H116" i="2"/>
  <c r="H104" i="2"/>
  <c r="H114" i="2"/>
  <c r="H102" i="2"/>
  <c r="H124" i="2"/>
  <c r="H121" i="2"/>
  <c r="H109" i="2"/>
  <c r="H126" i="2"/>
  <c r="H107" i="2"/>
  <c r="H122" i="2"/>
  <c r="H127" i="2"/>
  <c r="H115" i="2"/>
  <c r="H103" i="2"/>
  <c r="H118" i="2"/>
  <c r="H110" i="2"/>
  <c r="H120" i="2"/>
  <c r="H108" i="2"/>
  <c r="H106" i="2"/>
  <c r="H119" i="2"/>
  <c r="H125" i="2"/>
  <c r="H113" i="2"/>
  <c r="H101" i="2"/>
  <c r="H100" i="2"/>
  <c r="H105" i="2"/>
  <c r="H95" i="2"/>
  <c r="H92" i="2"/>
  <c r="H82" i="2"/>
  <c r="H77" i="2"/>
  <c r="H93" i="2"/>
  <c r="H91" i="2"/>
  <c r="H89" i="2"/>
  <c r="H87" i="2"/>
  <c r="H85" i="2"/>
  <c r="H83" i="2"/>
  <c r="H81" i="2"/>
  <c r="H79" i="2"/>
  <c r="H94" i="2"/>
  <c r="H90" i="2"/>
  <c r="H88" i="2"/>
  <c r="H86" i="2"/>
  <c r="H84" i="2"/>
  <c r="H80" i="2"/>
  <c r="H78" i="2"/>
  <c r="H75" i="2"/>
  <c r="H71" i="2"/>
  <c r="H67" i="2"/>
  <c r="H63" i="2"/>
  <c r="H59" i="2"/>
  <c r="H74" i="2"/>
  <c r="H70" i="2"/>
  <c r="H66" i="2"/>
  <c r="H62" i="2"/>
  <c r="H58" i="2"/>
  <c r="H56" i="2"/>
  <c r="H54" i="2"/>
  <c r="H52" i="2"/>
  <c r="H76" i="2"/>
  <c r="H72" i="2"/>
  <c r="H68" i="2"/>
  <c r="H64" i="2"/>
  <c r="H60" i="2"/>
  <c r="H53" i="2"/>
  <c r="H57" i="2"/>
  <c r="H51" i="2"/>
  <c r="H69" i="2"/>
  <c r="H61" i="2"/>
  <c r="H73" i="2"/>
  <c r="H65" i="2"/>
  <c r="H50" i="2"/>
  <c r="H55" i="2"/>
  <c r="H49" i="2"/>
  <c r="H48" i="2"/>
  <c r="H43" i="2"/>
  <c r="L57" i="2" s="1"/>
  <c r="G43" i="2"/>
  <c r="J56" i="2" s="1"/>
  <c r="J96" i="2" l="1"/>
  <c r="J125" i="2"/>
  <c r="J113" i="2"/>
  <c r="J101" i="2"/>
  <c r="J109" i="2"/>
  <c r="J118" i="2"/>
  <c r="J106" i="2"/>
  <c r="J116" i="2"/>
  <c r="J104" i="2"/>
  <c r="J107" i="2"/>
  <c r="J123" i="2"/>
  <c r="J111" i="2"/>
  <c r="J99" i="2"/>
  <c r="J128" i="2"/>
  <c r="J97" i="2"/>
  <c r="J102" i="2"/>
  <c r="J112" i="2"/>
  <c r="J117" i="2"/>
  <c r="J105" i="2"/>
  <c r="J98" i="2"/>
  <c r="J120" i="2"/>
  <c r="J124" i="2"/>
  <c r="J122" i="2"/>
  <c r="J110" i="2"/>
  <c r="J114" i="2"/>
  <c r="J119" i="2"/>
  <c r="J100" i="2"/>
  <c r="J127" i="2"/>
  <c r="J115" i="2"/>
  <c r="J103" i="2"/>
  <c r="J108" i="2"/>
  <c r="J121" i="2"/>
  <c r="J126" i="2"/>
  <c r="L96" i="2"/>
  <c r="L127" i="2"/>
  <c r="L115" i="2"/>
  <c r="L103" i="2"/>
  <c r="L121" i="2"/>
  <c r="L126" i="2"/>
  <c r="L120" i="2"/>
  <c r="L108" i="2"/>
  <c r="L118" i="2"/>
  <c r="L106" i="2"/>
  <c r="L116" i="2"/>
  <c r="L102" i="2"/>
  <c r="L125" i="2"/>
  <c r="L113" i="2"/>
  <c r="L101" i="2"/>
  <c r="L111" i="2"/>
  <c r="L97" i="2"/>
  <c r="L109" i="2"/>
  <c r="L119" i="2"/>
  <c r="L107" i="2"/>
  <c r="L110" i="2"/>
  <c r="L98" i="2"/>
  <c r="L123" i="2"/>
  <c r="L99" i="2"/>
  <c r="L128" i="2"/>
  <c r="L104" i="2"/>
  <c r="L124" i="2"/>
  <c r="L112" i="2"/>
  <c r="L100" i="2"/>
  <c r="L117" i="2"/>
  <c r="L105" i="2"/>
  <c r="L122" i="2"/>
  <c r="L114" i="2"/>
  <c r="J49" i="2"/>
  <c r="J92" i="2"/>
  <c r="J84" i="2"/>
  <c r="J78" i="2"/>
  <c r="J77" i="2"/>
  <c r="J80" i="2"/>
  <c r="J95" i="2"/>
  <c r="J93" i="2"/>
  <c r="J91" i="2"/>
  <c r="J89" i="2"/>
  <c r="J87" i="2"/>
  <c r="J85" i="2"/>
  <c r="J83" i="2"/>
  <c r="J81" i="2"/>
  <c r="J79" i="2"/>
  <c r="J94" i="2"/>
  <c r="J90" i="2"/>
  <c r="J88" i="2"/>
  <c r="J86" i="2"/>
  <c r="J82" i="2"/>
  <c r="L94" i="2"/>
  <c r="L92" i="2"/>
  <c r="L90" i="2"/>
  <c r="L88" i="2"/>
  <c r="L86" i="2"/>
  <c r="L84" i="2"/>
  <c r="L82" i="2"/>
  <c r="L80" i="2"/>
  <c r="L78" i="2"/>
  <c r="L77" i="2"/>
  <c r="L95" i="2"/>
  <c r="L93" i="2"/>
  <c r="L91" i="2"/>
  <c r="L89" i="2"/>
  <c r="L87" i="2"/>
  <c r="L85" i="2"/>
  <c r="L83" i="2"/>
  <c r="L81" i="2"/>
  <c r="L79" i="2"/>
  <c r="J48" i="2"/>
  <c r="L75" i="2"/>
  <c r="L71" i="2"/>
  <c r="L67" i="2"/>
  <c r="L63" i="2"/>
  <c r="L59" i="2"/>
  <c r="L50" i="2"/>
  <c r="L64" i="2"/>
  <c r="L53" i="2"/>
  <c r="L74" i="2"/>
  <c r="L70" i="2"/>
  <c r="L66" i="2"/>
  <c r="L62" i="2"/>
  <c r="L58" i="2"/>
  <c r="L56" i="2"/>
  <c r="L54" i="2"/>
  <c r="L52" i="2"/>
  <c r="L51" i="2"/>
  <c r="L73" i="2"/>
  <c r="L69" i="2"/>
  <c r="L65" i="2"/>
  <c r="L61" i="2"/>
  <c r="L76" i="2"/>
  <c r="L68" i="2"/>
  <c r="L60" i="2"/>
  <c r="L55" i="2"/>
  <c r="L72" i="2"/>
  <c r="J76" i="2"/>
  <c r="J72" i="2"/>
  <c r="J68" i="2"/>
  <c r="J64" i="2"/>
  <c r="J60" i="2"/>
  <c r="J53" i="2"/>
  <c r="J75" i="2"/>
  <c r="J71" i="2"/>
  <c r="J67" i="2"/>
  <c r="J63" i="2"/>
  <c r="J59" i="2"/>
  <c r="J55" i="2"/>
  <c r="J74" i="2"/>
  <c r="J70" i="2"/>
  <c r="J66" i="2"/>
  <c r="J62" i="2"/>
  <c r="J58" i="2"/>
  <c r="J54" i="2"/>
  <c r="J52" i="2"/>
  <c r="J50" i="2"/>
  <c r="J51" i="2"/>
  <c r="J57" i="2"/>
  <c r="J73" i="2"/>
  <c r="J69" i="2"/>
  <c r="J65" i="2"/>
  <c r="J61" i="2"/>
  <c r="L48" i="2"/>
  <c r="L49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I50" i="2" l="1"/>
  <c r="I106" i="2"/>
  <c r="I109" i="2"/>
  <c r="I102" i="2"/>
  <c r="I126" i="2"/>
  <c r="I101" i="2"/>
  <c r="I89" i="2"/>
  <c r="I122" i="2"/>
  <c r="I85" i="2"/>
  <c r="I91" i="2"/>
  <c r="I79" i="2"/>
  <c r="I107" i="2"/>
  <c r="I119" i="2"/>
  <c r="I114" i="2"/>
  <c r="I84" i="2"/>
  <c r="I77" i="2"/>
  <c r="I86" i="2"/>
  <c r="I123" i="2"/>
  <c r="I105" i="2"/>
  <c r="I100" i="2"/>
  <c r="I90" i="2"/>
  <c r="I111" i="2"/>
  <c r="I117" i="2"/>
  <c r="I92" i="2"/>
  <c r="I99" i="2"/>
  <c r="I110" i="2"/>
  <c r="I120" i="2"/>
  <c r="I82" i="2"/>
  <c r="I80" i="2"/>
  <c r="I103" i="2"/>
  <c r="I78" i="2"/>
  <c r="I116" i="2"/>
  <c r="I81" i="2"/>
  <c r="I118" i="2"/>
  <c r="I113" i="2"/>
  <c r="I124" i="2"/>
  <c r="I98" i="2"/>
  <c r="I108" i="2"/>
  <c r="I88" i="2"/>
  <c r="I94" i="2"/>
  <c r="I128" i="2"/>
  <c r="I95" i="2"/>
  <c r="I112" i="2"/>
  <c r="I83" i="2"/>
  <c r="I121" i="2"/>
  <c r="I104" i="2"/>
  <c r="I127" i="2"/>
  <c r="I87" i="2"/>
  <c r="I93" i="2"/>
  <c r="I96" i="2"/>
  <c r="I97" i="2"/>
  <c r="I115" i="2"/>
  <c r="I125" i="2"/>
  <c r="M120" i="2"/>
  <c r="M124" i="2"/>
  <c r="M96" i="2"/>
  <c r="M108" i="2"/>
  <c r="M112" i="2"/>
  <c r="M84" i="2"/>
  <c r="M86" i="2"/>
  <c r="M104" i="2"/>
  <c r="M103" i="2"/>
  <c r="M79" i="2"/>
  <c r="M122" i="2"/>
  <c r="M113" i="2"/>
  <c r="M100" i="2"/>
  <c r="M80" i="2"/>
  <c r="M82" i="2"/>
  <c r="M105" i="2"/>
  <c r="M81" i="2"/>
  <c r="M97" i="2"/>
  <c r="M87" i="2"/>
  <c r="M111" i="2"/>
  <c r="M110" i="2"/>
  <c r="M101" i="2"/>
  <c r="M117" i="2"/>
  <c r="M77" i="2"/>
  <c r="M78" i="2"/>
  <c r="M93" i="2"/>
  <c r="M99" i="2"/>
  <c r="M116" i="2"/>
  <c r="M88" i="2"/>
  <c r="M98" i="2"/>
  <c r="M92" i="2"/>
  <c r="M121" i="2"/>
  <c r="M126" i="2"/>
  <c r="M118" i="2"/>
  <c r="M89" i="2"/>
  <c r="M85" i="2"/>
  <c r="M128" i="2"/>
  <c r="M127" i="2"/>
  <c r="M114" i="2"/>
  <c r="M123" i="2"/>
  <c r="M95" i="2"/>
  <c r="M102" i="2"/>
  <c r="M91" i="2"/>
  <c r="M94" i="2"/>
  <c r="M115" i="2"/>
  <c r="M125" i="2"/>
  <c r="M119" i="2"/>
  <c r="M109" i="2"/>
  <c r="M83" i="2"/>
  <c r="M106" i="2"/>
  <c r="M107" i="2"/>
  <c r="M90" i="2"/>
  <c r="K96" i="2"/>
  <c r="K120" i="2"/>
  <c r="K108" i="2"/>
  <c r="K114" i="2"/>
  <c r="K125" i="2"/>
  <c r="K113" i="2"/>
  <c r="K101" i="2"/>
  <c r="K111" i="2"/>
  <c r="K99" i="2"/>
  <c r="K128" i="2"/>
  <c r="K102" i="2"/>
  <c r="K119" i="2"/>
  <c r="K118" i="2"/>
  <c r="K106" i="2"/>
  <c r="K123" i="2"/>
  <c r="K104" i="2"/>
  <c r="K126" i="2"/>
  <c r="K124" i="2"/>
  <c r="K112" i="2"/>
  <c r="K100" i="2"/>
  <c r="K115" i="2"/>
  <c r="K103" i="2"/>
  <c r="K116" i="2"/>
  <c r="K121" i="2"/>
  <c r="K107" i="2"/>
  <c r="K117" i="2"/>
  <c r="K105" i="2"/>
  <c r="K97" i="2"/>
  <c r="K109" i="2"/>
  <c r="K122" i="2"/>
  <c r="K110" i="2"/>
  <c r="K98" i="2"/>
  <c r="K127" i="2"/>
  <c r="K94" i="2"/>
  <c r="K78" i="2"/>
  <c r="K84" i="2"/>
  <c r="K86" i="2"/>
  <c r="K95" i="2"/>
  <c r="K91" i="2"/>
  <c r="K87" i="2"/>
  <c r="K83" i="2"/>
  <c r="K79" i="2"/>
  <c r="K90" i="2"/>
  <c r="K82" i="2"/>
  <c r="K77" i="2"/>
  <c r="K80" i="2"/>
  <c r="K92" i="2"/>
  <c r="K93" i="2"/>
  <c r="K89" i="2"/>
  <c r="K85" i="2"/>
  <c r="K81" i="2"/>
  <c r="K88" i="2"/>
  <c r="M70" i="2"/>
  <c r="M56" i="2"/>
  <c r="M52" i="2"/>
  <c r="M75" i="2"/>
  <c r="M76" i="2"/>
  <c r="M49" i="2"/>
  <c r="M59" i="2"/>
  <c r="M71" i="2"/>
  <c r="M64" i="2"/>
  <c r="M57" i="2"/>
  <c r="M69" i="2"/>
  <c r="M60" i="2"/>
  <c r="M72" i="2"/>
  <c r="M74" i="2"/>
  <c r="M63" i="2"/>
  <c r="M54" i="2"/>
  <c r="M67" i="2"/>
  <c r="M61" i="2"/>
  <c r="M73" i="2"/>
  <c r="M55" i="2"/>
  <c r="M51" i="2"/>
  <c r="M62" i="2"/>
  <c r="M68" i="2"/>
  <c r="M65" i="2"/>
  <c r="M50" i="2"/>
  <c r="M66" i="2"/>
  <c r="M53" i="2"/>
  <c r="M48" i="2"/>
  <c r="I68" i="2"/>
  <c r="I73" i="2"/>
  <c r="I54" i="2"/>
  <c r="I57" i="2"/>
  <c r="I69" i="2"/>
  <c r="I60" i="2"/>
  <c r="I61" i="2"/>
  <c r="I74" i="2"/>
  <c r="I53" i="2"/>
  <c r="I58" i="2"/>
  <c r="I70" i="2"/>
  <c r="I56" i="2"/>
  <c r="I52" i="2"/>
  <c r="I49" i="2"/>
  <c r="I72" i="2"/>
  <c r="I55" i="2"/>
  <c r="I62" i="2"/>
  <c r="I59" i="2"/>
  <c r="I71" i="2"/>
  <c r="I48" i="2"/>
  <c r="I51" i="2"/>
  <c r="I76" i="2"/>
  <c r="I65" i="2"/>
  <c r="I67" i="2"/>
  <c r="I63" i="2"/>
  <c r="I75" i="2"/>
  <c r="I64" i="2"/>
  <c r="I66" i="2"/>
  <c r="K63" i="2"/>
  <c r="K75" i="2"/>
  <c r="K49" i="2"/>
  <c r="K48" i="2"/>
  <c r="K67" i="2"/>
  <c r="K72" i="2"/>
  <c r="K61" i="2"/>
  <c r="K64" i="2"/>
  <c r="K76" i="2"/>
  <c r="K52" i="2"/>
  <c r="K51" i="2"/>
  <c r="K50" i="2"/>
  <c r="K73" i="2"/>
  <c r="K65" i="2"/>
  <c r="K57" i="2"/>
  <c r="K62" i="2"/>
  <c r="K66" i="2"/>
  <c r="K55" i="2"/>
  <c r="K68" i="2"/>
  <c r="K69" i="2"/>
  <c r="K53" i="2"/>
  <c r="K58" i="2"/>
  <c r="K70" i="2"/>
  <c r="K54" i="2"/>
  <c r="K59" i="2"/>
  <c r="K71" i="2"/>
  <c r="K60" i="2"/>
  <c r="K74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7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60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mments3.xml><?xml version="1.0" encoding="utf-8"?>
<comments xmlns="http://schemas.openxmlformats.org/spreadsheetml/2006/main">
  <authors>
    <author>Jose Camacho</author>
  </authors>
  <commentList>
    <comment ref="A108" authorId="0" shapeId="0">
      <text>
        <r>
          <rPr>
            <b/>
            <sz val="9"/>
            <color indexed="81"/>
            <rFont val="Tahoma"/>
            <charset val="1"/>
          </rPr>
          <t>Hallowen</t>
        </r>
      </text>
    </comment>
    <comment ref="A109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22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27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36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40" authorId="0" shapeId="0">
      <text>
        <r>
          <rPr>
            <b/>
            <sz val="9"/>
            <color indexed="81"/>
            <rFont val="Tahoma"/>
            <charset val="1"/>
          </rPr>
          <t>Christmas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<sst xmlns="http://schemas.openxmlformats.org/spreadsheetml/2006/main" count="1661" uniqueCount="820">
  <si>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</si>
  <si>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</si>
  <si>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</si>
  <si>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</si>
  <si>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</si>
  <si>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</si>
  <si>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</si>
  <si>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</si>
  <si>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</si>
  <si>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</si>
  <si>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</si>
  <si>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</si>
  <si>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</si>
  <si>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</si>
  <si>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</si>
  <si>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</si>
  <si>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</si>
  <si>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</si>
  <si>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</si>
  <si>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</si>
  <si>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</si>
  <si>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</si>
  <si>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</si>
  <si>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</si>
  <si>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</si>
  <si>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</si>
  <si>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</si>
  <si>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</si>
  <si>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</si>
  <si>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</si>
  <si>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</si>
  <si>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</si>
  <si>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</si>
  <si>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</si>
  <si>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</si>
  <si>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</si>
  <si>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</si>
  <si>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</si>
  <si>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</si>
  <si>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</si>
  <si>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</si>
  <si>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</si>
  <si>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</si>
  <si>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</si>
  <si>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</si>
  <si>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</si>
  <si>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</si>
  <si>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</si>
  <si>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</si>
  <si>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</si>
  <si>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</si>
  <si>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</si>
  <si>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</si>
  <si>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</si>
  <si>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</si>
  <si>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</si>
  <si>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</si>
  <si>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</si>
  <si>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</si>
  <si>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</si>
  <si>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</si>
  <si>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</si>
  <si>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</si>
  <si>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</si>
  <si>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</si>
  <si>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</si>
  <si>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</si>
  <si>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</si>
  <si>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</si>
  <si>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</si>
  <si>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</si>
  <si>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</si>
  <si>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</si>
  <si>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</si>
  <si>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</si>
  <si>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</si>
  <si>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</si>
  <si>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</si>
  <si>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</si>
  <si>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</si>
  <si>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</si>
  <si>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</si>
  <si>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</si>
  <si>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</si>
  <si>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</si>
  <si>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</si>
  <si>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</si>
  <si>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</si>
  <si>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</si>
  <si>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</si>
  <si>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</si>
  <si>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</si>
  <si>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</si>
  <si>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</si>
  <si>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</si>
  <si>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</si>
  <si>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</si>
  <si>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</si>
  <si>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</si>
  <si>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</si>
  <si>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</si>
  <si>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</si>
  <si>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</si>
  <si>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</si>
  <si>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</si>
  <si>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</si>
  <si>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</si>
  <si>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</si>
  <si>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</si>
  <si>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</si>
  <si>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</si>
  <si>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</si>
  <si>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</si>
  <si>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</si>
  <si>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</si>
  <si>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</si>
  <si>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</si>
  <si>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</si>
  <si>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</si>
  <si>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</si>
  <si>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</si>
  <si>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</si>
  <si>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</si>
  <si>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</si>
  <si>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</si>
  <si>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</si>
  <si>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</si>
  <si>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</si>
  <si>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</si>
  <si>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</si>
  <si>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</si>
  <si>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</si>
  <si>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</si>
  <si>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</si>
  <si>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</si>
  <si>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</si>
  <si>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</si>
  <si>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</si>
  <si>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</si>
  <si>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</si>
  <si>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</si>
  <si>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</si>
  <si>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</si>
  <si>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</si>
  <si>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</si>
  <si>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</si>
  <si>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</si>
  <si>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</si>
  <si>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</si>
  <si>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</si>
  <si>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</si>
  <si>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</si>
  <si>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</si>
  <si>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</si>
  <si>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</si>
  <si>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</si>
  <si>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</si>
  <si>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</si>
  <si>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</si>
  <si>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</si>
  <si>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</si>
  <si>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</si>
  <si>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</si>
  <si>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</si>
  <si>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</si>
  <si>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</si>
  <si>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</si>
  <si>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</si>
  <si>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</si>
  <si>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</si>
  <si>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</si>
  <si>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</si>
  <si>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</si>
  <si>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</si>
  <si>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</si>
  <si>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</si>
  <si>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</si>
  <si>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</si>
  <si>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</si>
  <si>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</si>
  <si>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</si>
  <si>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</si>
  <si>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</si>
  <si>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</si>
  <si>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</si>
  <si>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</si>
  <si>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</si>
  <si>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</si>
  <si>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</si>
  <si>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</si>
  <si>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</si>
  <si>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</si>
  <si>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</si>
  <si>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</si>
  <si>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</si>
  <si>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</si>
  <si>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</si>
  <si>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</si>
  <si>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</si>
  <si>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</si>
  <si>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</si>
  <si>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</si>
  <si>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</si>
  <si>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</si>
  <si>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</si>
  <si>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</si>
  <si>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</si>
  <si>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</si>
  <si>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</si>
  <si>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</si>
  <si>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</si>
  <si>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</si>
  <si>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</si>
  <si>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</si>
  <si>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</si>
  <si>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</si>
  <si>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</si>
  <si>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</si>
  <si>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</si>
  <si>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</si>
  <si>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</si>
  <si>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</si>
  <si>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</si>
  <si>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</si>
  <si>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</si>
  <si>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</si>
  <si>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</si>
  <si>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</si>
  <si>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</si>
  <si>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</si>
  <si>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</si>
  <si>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</si>
  <si>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</si>
  <si>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</si>
  <si>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</si>
  <si>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</si>
  <si>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</si>
  <si>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</si>
  <si>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</si>
  <si>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</si>
  <si>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</si>
  <si>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</si>
  <si>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</si>
  <si>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</si>
  <si>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</si>
  <si>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</si>
  <si>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</si>
  <si>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</si>
  <si>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</si>
  <si>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</si>
  <si>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Store pricing (EGG rare garanteed)</t>
  </si>
  <si>
    <t>Store pricing (EGG epic garanteed)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</si>
  <si>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</si>
  <si>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</si>
  <si>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</si>
  <si>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</si>
  <si>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</si>
  <si>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</si>
  <si>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</si>
  <si>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</si>
  <si>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</si>
  <si>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</si>
  <si>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</si>
  <si>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</si>
  <si>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</si>
  <si>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</si>
  <si>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</si>
  <si>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</si>
  <si>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</si>
  <si>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</si>
  <si>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</si>
  <si>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</si>
  <si>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</si>
  <si>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</si>
  <si>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</si>
  <si>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</si>
  <si>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</si>
  <si>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</si>
  <si>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</si>
  <si>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</si>
  <si>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</si>
  <si>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</si>
  <si>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</si>
  <si>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</si>
  <si>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</si>
  <si>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</si>
  <si>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</si>
  <si>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</si>
  <si>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</si>
  <si>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</si>
  <si>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</si>
  <si>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</si>
  <si>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</si>
  <si>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</si>
  <si>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</si>
  <si>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</si>
  <si>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</si>
  <si>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</si>
  <si>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</si>
  <si>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</si>
  <si>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</si>
  <si>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</si>
  <si>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</si>
  <si>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</si>
  <si>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</si>
  <si>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</si>
  <si>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</si>
  <si>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</si>
  <si>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</si>
  <si>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</si>
  <si>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</si>
  <si>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</si>
  <si>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</si>
  <si>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</si>
  <si>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</si>
  <si>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</si>
  <si>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</si>
  <si>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</si>
  <si>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</si>
  <si>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</si>
  <si>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</si>
  <si>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</si>
  <si>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</si>
  <si>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</si>
  <si>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</si>
  <si>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</si>
  <si>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</si>
  <si>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</si>
  <si>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</si>
  <si>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</si>
  <si>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</si>
  <si>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</si>
  <si>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</si>
  <si>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</si>
  <si>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</si>
  <si>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</si>
  <si>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</si>
  <si>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</si>
  <si>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</si>
  <si>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</si>
  <si>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</si>
  <si>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</si>
  <si>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</si>
  <si>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</si>
  <si>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</si>
  <si>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</si>
  <si>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</si>
  <si>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</si>
  <si>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</si>
  <si>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</si>
  <si>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</si>
  <si>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</si>
  <si>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</si>
  <si>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</si>
  <si>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</si>
  <si>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</si>
  <si>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</si>
  <si>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</si>
  <si>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</si>
  <si>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</si>
  <si>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</si>
  <si>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</si>
  <si>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</si>
  <si>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</si>
  <si>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</si>
  <si>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</si>
  <si>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</si>
  <si>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</si>
  <si>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</si>
  <si>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</si>
  <si>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</si>
  <si>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</si>
  <si>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</si>
  <si>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</si>
  <si>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</si>
  <si>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</si>
  <si>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</si>
  <si>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</si>
  <si>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</si>
  <si>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</si>
  <si>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</si>
  <si>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</si>
  <si>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</si>
  <si>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</si>
  <si>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</si>
  <si>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</si>
  <si>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</si>
  <si>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</si>
  <si>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</si>
  <si>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</si>
  <si>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</si>
  <si>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</si>
  <si>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</si>
  <si>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</si>
  <si>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</si>
  <si>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</si>
  <si>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</si>
  <si>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</si>
  <si>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</si>
  <si>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</si>
  <si>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</si>
  <si>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</si>
  <si>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</si>
  <si>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</si>
  <si>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</si>
  <si>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</si>
  <si>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</si>
  <si>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</si>
  <si>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</si>
  <si>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</si>
  <si>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</si>
  <si>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</si>
  <si>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</si>
  <si>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</si>
  <si>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</si>
  <si>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</si>
  <si>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</si>
  <si>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</si>
  <si>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</si>
  <si>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</si>
  <si>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</si>
  <si>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</si>
  <si>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</si>
  <si>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</si>
  <si>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</si>
  <si>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</si>
  <si>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</si>
  <si>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</si>
  <si>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</si>
  <si>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</si>
  <si>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</si>
  <si>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</si>
  <si>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</si>
  <si>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</si>
  <si>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</si>
  <si>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</si>
  <si>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</si>
  <si>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</si>
  <si>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</si>
  <si>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</si>
  <si>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</si>
  <si>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</si>
  <si>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</si>
  <si>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</si>
  <si>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</si>
  <si>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</si>
  <si>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</si>
  <si>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</si>
  <si>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</si>
  <si>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</si>
  <si>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</si>
  <si>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</si>
  <si>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</si>
  <si>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</si>
  <si>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</si>
  <si>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</si>
  <si>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</si>
  <si>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</si>
  <si>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</si>
  <si>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</si>
  <si>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</si>
  <si>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</si>
  <si>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</si>
  <si>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</si>
  <si>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</si>
  <si>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</si>
  <si>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</si>
  <si>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</si>
  <si>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</si>
  <si>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</si>
  <si>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</si>
  <si>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</si>
  <si>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</si>
  <si>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</si>
  <si>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</si>
  <si>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</si>
  <si>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</si>
  <si>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</si>
  <si>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</si>
  <si>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</si>
  <si>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</si>
  <si>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</si>
  <si>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</si>
  <si>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</si>
  <si>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</si>
  <si>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</si>
  <si>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</si>
  <si>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</si>
  <si>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</si>
  <si>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</si>
  <si>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</si>
  <si>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</si>
  <si>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</si>
  <si>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</si>
  <si>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</si>
  <si>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</si>
  <si>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</si>
  <si>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</si>
  <si>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</si>
  <si>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</si>
  <si>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</si>
  <si>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</si>
  <si>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</si>
  <si>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</si>
  <si>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</si>
  <si>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</si>
  <si>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</si>
  <si>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</si>
  <si>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</si>
  <si>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</si>
  <si>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</si>
  <si>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</si>
  <si>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</si>
  <si>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</si>
  <si>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</si>
  <si>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</si>
  <si>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</si>
  <si>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</si>
  <si>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</si>
  <si>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</si>
  <si>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</si>
  <si>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</si>
  <si>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</si>
  <si>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</si>
  <si>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</si>
  <si>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</si>
  <si>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</si>
  <si>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</si>
  <si>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</si>
  <si>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</si>
  <si>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</si>
  <si>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</si>
  <si>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</si>
  <si>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</si>
  <si>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</si>
  <si>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</si>
  <si>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</si>
  <si>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</si>
  <si>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</si>
  <si>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</si>
  <si>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</si>
  <si>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</si>
  <si>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</si>
  <si>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</si>
  <si>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rare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</si>
  <si>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</si>
  <si>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</si>
  <si>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</si>
  <si>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</si>
  <si>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</si>
  <si>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</si>
  <si>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</si>
  <si>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</si>
  <si>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</si>
  <si>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</si>
  <si>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</si>
  <si>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</si>
  <si>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IAP</t>
  </si>
  <si>
    <t>PRICE</t>
  </si>
  <si>
    <t>1.99</t>
  </si>
  <si>
    <t>4.99</t>
  </si>
  <si>
    <t>9.99</t>
  </si>
  <si>
    <t>14.99</t>
  </si>
  <si>
    <t>19.99</t>
  </si>
  <si>
    <t>24.99</t>
  </si>
  <si>
    <t>29.99</t>
  </si>
  <si>
    <t>39.99</t>
  </si>
  <si>
    <t>59.99</t>
  </si>
  <si>
    <t>promoted1</t>
  </si>
  <si>
    <t>0.99</t>
  </si>
  <si>
    <t>promoted2</t>
  </si>
  <si>
    <t>promoted3</t>
  </si>
  <si>
    <t>promoted4</t>
  </si>
  <si>
    <t>promoted5</t>
  </si>
  <si>
    <t>promoted6</t>
  </si>
  <si>
    <t>Skeleton</t>
  </si>
  <si>
    <t>CATEGORIES</t>
  </si>
  <si>
    <t>TIDs</t>
  </si>
  <si>
    <t>TEXTS</t>
  </si>
  <si>
    <t>Dragon Offer</t>
  </si>
  <si>
    <t>TID_OFFER_DRAGON_TONY_TITLE</t>
  </si>
  <si>
    <t>An Unrefusable Offer</t>
  </si>
  <si>
    <t>TID_OFFER_DRAGON_BUG_TITLE</t>
  </si>
  <si>
    <t>Double Trouble!</t>
  </si>
  <si>
    <t>TID_OFFER_DRAGON_CHINESE_TITLE</t>
  </si>
  <si>
    <t>Zen Pack</t>
  </si>
  <si>
    <t>TID_OFFER_DRAGON_CLASSIC_TITLE</t>
  </si>
  <si>
    <t>Trailblazer Pack</t>
  </si>
  <si>
    <t>TID_OFFER_DRAGON_DEVIL_TITLE</t>
  </si>
  <si>
    <t>Infernal Deal!</t>
  </si>
  <si>
    <t>TID_OFFER_DRAGON_BALROG_TITLE</t>
  </si>
  <si>
    <t>Deal From the Depths</t>
  </si>
  <si>
    <t>TID_OFFER_DRAGON_JAWFREY_TITLE</t>
  </si>
  <si>
    <t>Great Jawffer</t>
  </si>
  <si>
    <t>TID_OFFER_DRAGON_TITAN_TITLE</t>
  </si>
  <si>
    <t>Deal of Fire &amp; Blood</t>
  </si>
  <si>
    <t>TID_OFFER_DRAGON_GOLDHEIST_TITLE</t>
  </si>
  <si>
    <t>So Shiny!</t>
  </si>
  <si>
    <t>TID_OFFER_DRAGON_DARK_TITLE</t>
  </si>
  <si>
    <t>Deal of Darkness</t>
  </si>
  <si>
    <t>TID_OFFER_DRAGON_ALIEN_TITLE</t>
  </si>
  <si>
    <t>Out of this World!</t>
  </si>
  <si>
    <t>TID_OFFER_DRAGON_SKELETON_TITLE</t>
  </si>
  <si>
    <t>Valhalla Value Pack</t>
  </si>
  <si>
    <t>TID_OFFER_DRAGON_HELICOPTER_TITLE</t>
  </si>
  <si>
    <t>Mecha Pack!</t>
  </si>
  <si>
    <t>TID_OFFER_DRAGON_ELECTRIC_TITLE</t>
  </si>
  <si>
    <t>Shocking Deal!</t>
  </si>
  <si>
    <t>TID_OFFER_DRAGON_HEDGEHOG_TITLE</t>
  </si>
  <si>
    <t>Supersonic Offer</t>
  </si>
  <si>
    <t>TID_OFFER_DRAGON_ICEDRAGON_TITLE</t>
  </si>
  <si>
    <t>Supercool Pack</t>
  </si>
  <si>
    <t>TID_OFFER_DRAGON_DINODRAGON_TITLE</t>
  </si>
  <si>
    <t>Jurassic Pack</t>
  </si>
  <si>
    <t>Coins Offer</t>
  </si>
  <si>
    <t>TID_STORE_PACK_CURRENCYCATCHUPPACK2</t>
  </si>
  <si>
    <t>Mountain o' Coins!</t>
  </si>
  <si>
    <t>TID_STORE_PACK_CURRENCYCATCHUPPACK1</t>
  </si>
  <si>
    <t>Gold Rush!</t>
  </si>
  <si>
    <t>Currency Offer</t>
  </si>
  <si>
    <t>TID_STORE_PACK_VALUECURRENCYPACK</t>
  </si>
  <si>
    <t>I am Loot</t>
  </si>
  <si>
    <t>TID_STORE_PACK_SMALLCURRENCYPACK</t>
  </si>
  <si>
    <t>Treasure Trove!</t>
  </si>
  <si>
    <t>TID_STORE_PACK_CAMPAIGN2PROMO5</t>
  </si>
  <si>
    <t>Royal Offer!</t>
  </si>
  <si>
    <t>TID_STORE_PACK_PROMOTED1</t>
  </si>
  <si>
    <t>Exclusive Offer!</t>
  </si>
  <si>
    <t>TID_STORE_PACK_CAMPAIGN1PROMO2</t>
  </si>
  <si>
    <t>Medieval Pack!</t>
  </si>
  <si>
    <t>TID_STORE_PACK_CAMPAIGN2PROMO2</t>
  </si>
  <si>
    <t>Medieval Offer!</t>
  </si>
  <si>
    <t>TID_STORE_PACK_PROMOTED2</t>
  </si>
  <si>
    <t>Exclusive pack!</t>
  </si>
  <si>
    <t>TID_STORE_PACK_CAMPAIGN1PROMO5</t>
  </si>
  <si>
    <t>Royal Pack!</t>
  </si>
  <si>
    <t>TID_STORE_PACK_ADVANCEDPACK</t>
  </si>
  <si>
    <t>Beast Pack!</t>
  </si>
  <si>
    <t>TID_STORE_PACK_CAMPAIGN1PROMO10</t>
  </si>
  <si>
    <t>Heroic Pack!</t>
  </si>
  <si>
    <t>TID_STORE_PACK_CAMPAIGN2PROMO10</t>
  </si>
  <si>
    <t>Heroic Offer!</t>
  </si>
  <si>
    <t>TID_STORE_PACK_PROMOTED3</t>
  </si>
  <si>
    <t>Exclusive deal!</t>
  </si>
  <si>
    <t>TID_STORE_PACK_CAMPAIGN1PROMO20</t>
  </si>
  <si>
    <t>Phenomenal Pack!</t>
  </si>
  <si>
    <t>TID_STORE_PACK_CAMPAIGN2PROMO20</t>
  </si>
  <si>
    <t>Phenomenal Offer!</t>
  </si>
  <si>
    <t>TID_STORE_PACK_PROMOTED4</t>
  </si>
  <si>
    <t>Burning Offer!</t>
  </si>
  <si>
    <t>TID_STORE_PACK_PROMOTED5</t>
  </si>
  <si>
    <t>Burning Pack!</t>
  </si>
  <si>
    <t>TID_STORE_PACK_CAMPAIGN1PROMO40</t>
  </si>
  <si>
    <t>Valiant Pack!</t>
  </si>
  <si>
    <t>TID_STORE_PACK_CAMPAIGN2PROMO40</t>
  </si>
  <si>
    <t>Valiant Offer!</t>
  </si>
  <si>
    <t>Gatcha Offer</t>
  </si>
  <si>
    <t>TID_STORE_PACK_STARTERPACK</t>
  </si>
  <si>
    <t>Hatchling Pack!</t>
  </si>
  <si>
    <t>TID_STORE_PACK_VALUEGATCHAPACK</t>
  </si>
  <si>
    <t>Eggscellent Pack!</t>
  </si>
  <si>
    <t>Gems Offer</t>
  </si>
  <si>
    <t>TID_STORE_PACK_MEGAHCPACKCLASSIC</t>
  </si>
  <si>
    <t>Age of Gempires</t>
  </si>
  <si>
    <t>Legendary Dragon Offer</t>
  </si>
  <si>
    <t>TID_STORE_PACK_CAMPAIGN1PROMO60</t>
  </si>
  <si>
    <t>Legendary Pack!</t>
  </si>
  <si>
    <t>TID_STORE_PACK_CAMPAIGN2PROMO60</t>
  </si>
  <si>
    <t>Legendary Offer!</t>
  </si>
  <si>
    <t>Pet Offer</t>
  </si>
  <si>
    <t>TID_STORE_PACK_SMALLGATCHAPACK</t>
  </si>
  <si>
    <t>Petworking Pack!</t>
  </si>
  <si>
    <t>TID_STORE_PACK_MEGAGATCHAPACK</t>
  </si>
  <si>
    <t>Pet Collector</t>
  </si>
  <si>
    <t>Starter Pack</t>
  </si>
  <si>
    <t>TID_STORE_PACK_PROGRESSIONPACK1</t>
  </si>
  <si>
    <t>Get a little Boost!</t>
  </si>
  <si>
    <t>TID_STORE_PACK_PROGRESSIONPACK2</t>
  </si>
  <si>
    <t>Get a big Boost!</t>
  </si>
  <si>
    <t>TID_STORE_PACK_PROGRESSIONPACK3</t>
  </si>
  <si>
    <t>Get a huge Boost!</t>
  </si>
  <si>
    <t>Value 1</t>
  </si>
  <si>
    <t>Value 2</t>
  </si>
  <si>
    <t>TO CALCULATE DISCOUNTS</t>
  </si>
  <si>
    <t>* Pets list tab need to be updated if more pets added</t>
  </si>
  <si>
    <t>dragon_crocodile (Mad Snax)</t>
  </si>
  <si>
    <t>dragon_reptile (Sparks)</t>
  </si>
  <si>
    <t>dragon_fat (Tony Dragone)</t>
  </si>
  <si>
    <t>dragon_bug (Jekyll &amp; Fried)</t>
  </si>
  <si>
    <t>dragon_chinese (Zhe Long)</t>
  </si>
  <si>
    <t>dragon_classic (Blaze)</t>
  </si>
  <si>
    <t>dragon_devil (Dante)</t>
  </si>
  <si>
    <t>dragon_jawfrey (Jawfrey)</t>
  </si>
  <si>
    <t>dragon_balrog (Poseidran)</t>
  </si>
  <si>
    <t>dragon_titan (Draconis)</t>
  </si>
  <si>
    <t>dragon_goldheist (Goldheist)</t>
  </si>
  <si>
    <t>dragon_dark (Umbra)</t>
  </si>
  <si>
    <t>dragon_alien (Anomalyis)</t>
  </si>
  <si>
    <t>dragon_skeleton (Skully)</t>
  </si>
  <si>
    <t>egg_rareGuaranteed</t>
  </si>
  <si>
    <t>egg_epicGuaranteed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</si>
  <si>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</si>
  <si>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</si>
  <si>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</si>
  <si>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</si>
  <si>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</si>
  <si>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</si>
  <si>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</si>
  <si>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campaign2Promo15</t>
  </si>
  <si>
    <t>campaign1Promo20</t>
  </si>
  <si>
    <t>campaign2Promo20</t>
  </si>
  <si>
    <t>campaign1Promo25</t>
  </si>
  <si>
    <t>campaign2Promo25</t>
  </si>
  <si>
    <t>campaign1Promo30</t>
  </si>
  <si>
    <t>campaign2Promo30</t>
  </si>
  <si>
    <t>campaign1Promo40</t>
  </si>
  <si>
    <t>campaign2Promo40</t>
  </si>
  <si>
    <t>campaign1Promo60</t>
  </si>
  <si>
    <t>campaign2Promo60</t>
  </si>
  <si>
    <t>seasonalPack1</t>
  </si>
  <si>
    <t>seasonalPack2</t>
  </si>
  <si>
    <t>seasonalPack3</t>
  </si>
  <si>
    <t>dragon_classic_5 (Bonefire)</t>
  </si>
  <si>
    <t>dragon_classic_6 (Feng)</t>
  </si>
  <si>
    <t>dragon_balrog_5 (Infurno)</t>
  </si>
  <si>
    <t>dragon_titan_5 (Pennyfries)</t>
  </si>
  <si>
    <t>dragon_dark_5 (Cai)</t>
  </si>
  <si>
    <t>dragon_skeleton_4 (Dragnarok)</t>
  </si>
  <si>
    <t>dragon_skeleton_3 (Señor Sugar)</t>
  </si>
  <si>
    <t>dragon_skeleton_2 (D-1000)</t>
  </si>
  <si>
    <t>dragon_skeleton_1 (Skulletor)</t>
  </si>
  <si>
    <t>dragon_alien_4 (Christmassacre)</t>
  </si>
  <si>
    <t>dragon_alien_3 (Preyeater)</t>
  </si>
  <si>
    <t>dragon_alien_2 (General Roastus)</t>
  </si>
  <si>
    <t>dragon_alien_1 (Fridge)</t>
  </si>
  <si>
    <t>dragon_dark_4 (Nightshade)</t>
  </si>
  <si>
    <t>dragon_dark_3 (Goldshade)</t>
  </si>
  <si>
    <t>dragon_dark_2 (Swiftshade)</t>
  </si>
  <si>
    <t>dragon_dark_1 (Hellshade)</t>
  </si>
  <si>
    <t>dragon_goldheist_4 (Apophis)</t>
  </si>
  <si>
    <t>dragon_goldheist_3 (Maunaloa)</t>
  </si>
  <si>
    <t>dragon_goldheist_2 (Electron)</t>
  </si>
  <si>
    <t>dragon_goldheist_1 (Spectre)</t>
  </si>
  <si>
    <t>dragon_titan_4 (Irontail)</t>
  </si>
  <si>
    <t>dragon_titan_3 (Burner King)</t>
  </si>
  <si>
    <t>dragon_titan_2 (White Flyer)</t>
  </si>
  <si>
    <t>dragon_titan_1 (Count Dragula)</t>
  </si>
  <si>
    <t>dragon_balrog_4 (Pyroflux)</t>
  </si>
  <si>
    <t>dragon_balrog_3 (Hyperbyte)</t>
  </si>
  <si>
    <t>dragon_balrog_2 (Crystalyte)</t>
  </si>
  <si>
    <t>dragon_balrog_1 (Jadeguard)</t>
  </si>
  <si>
    <t>dragon_jawfrey_4 (Ryujawn)</t>
  </si>
  <si>
    <t>dragon_jawfrey_3 (Jawrc the Hungry)</t>
  </si>
  <si>
    <t>dragon_jawfrey_2 (Baaad Disguise)</t>
  </si>
  <si>
    <t>dragon_jawfrey_1 (Jawbreaker)</t>
  </si>
  <si>
    <t>dragon_devil_4(Meal Armstrong)</t>
  </si>
  <si>
    <t>dragon_devil_3 (Wildwing)</t>
  </si>
  <si>
    <t>dragon_devil_2 (Sir Burnalot)</t>
  </si>
  <si>
    <t>dragon_devil_1 (Rikishi)</t>
  </si>
  <si>
    <t>dragon_classic_4 (Reaper)</t>
  </si>
  <si>
    <t>dragon_classic_3 (Dragon Hood)</t>
  </si>
  <si>
    <t>dragon_classic_2 (Jalapeño)</t>
  </si>
  <si>
    <t>dragon_classic_1 (Dragonborn)</t>
  </si>
  <si>
    <t>dragon_chinese_3 (Changshan)</t>
  </si>
  <si>
    <t>dragon_chinese_2 (RollerToaster)</t>
  </si>
  <si>
    <t>dragon_chinese_1 (Shenlong)</t>
  </si>
  <si>
    <t>dragon_bug_3 (Twotankhamun)</t>
  </si>
  <si>
    <t>dragon_bug_2 (Swashbuckler)</t>
  </si>
  <si>
    <t>dragon_bug_1 (Executioner)</t>
  </si>
  <si>
    <t>dragon_fat_3 (Dr Dragonstein)</t>
  </si>
  <si>
    <t>dragon_fat_2 (Vito Dragone)</t>
  </si>
  <si>
    <t>dragon_fat_1 (Daddy D)</t>
  </si>
  <si>
    <t>dragon_reptile_2 (Quetzalcoatl)</t>
  </si>
  <si>
    <t>dragon_reptile_1 (Dragonator 800)</t>
  </si>
  <si>
    <t>dragon_crocodile_2 (Captain Crunch)</t>
  </si>
  <si>
    <t>dragon_crocodile_1 (Biohazard)</t>
  </si>
  <si>
    <t>egg_betterRates</t>
  </si>
  <si>
    <t>dragon_skeleton</t>
  </si>
  <si>
    <t>dragon_light</t>
  </si>
  <si>
    <t>Light</t>
  </si>
  <si>
    <t>Dragon Skeleton</t>
  </si>
  <si>
    <t>Dragon Light</t>
  </si>
  <si>
    <t>TID_OFFER_DRAGON_LIGHT_TITLE</t>
  </si>
  <si>
    <t>dragon_light (Helion)</t>
  </si>
  <si>
    <t>dragon_light_1 (Terrus)</t>
  </si>
  <si>
    <t>dragon_light_2 (Magus)</t>
  </si>
  <si>
    <t>dragon_light_3 (Phoenus)</t>
  </si>
  <si>
    <t>dragon_light_4 (Divinus)</t>
  </si>
  <si>
    <t>Disguise Skeleton 1</t>
  </si>
  <si>
    <t>Disguise Skeleton 2</t>
  </si>
  <si>
    <t>Disguise Skeleton 3</t>
  </si>
  <si>
    <t>Disguise Skeleton 4</t>
  </si>
  <si>
    <t>Disguise Light 1</t>
  </si>
  <si>
    <t>Disguise Light 2</t>
  </si>
  <si>
    <t>Disguise Light 3</t>
  </si>
  <si>
    <t>Disguise Light 4</t>
  </si>
  <si>
    <t>Radiant Deal</t>
  </si>
  <si>
    <t>Anything</t>
  </si>
  <si>
    <t>TID_OFFER_1_DAY</t>
  </si>
  <si>
    <t>TID_OFFER_2_DAY</t>
  </si>
  <si>
    <t>TID_OFFER_1_DAY_ALT</t>
  </si>
  <si>
    <t>TID_OFFER_2_DAY_ALT</t>
  </si>
  <si>
    <t>Hungry Pack</t>
  </si>
  <si>
    <t>Voracious Pack</t>
  </si>
  <si>
    <t>Premium Offer</t>
  </si>
  <si>
    <t>Deluxe Offer</t>
  </si>
  <si>
    <t>Dragon 16</t>
  </si>
  <si>
    <t>NAME</t>
  </si>
  <si>
    <t>Attractyl</t>
  </si>
  <si>
    <t>Greedichimp</t>
  </si>
  <si>
    <t>Medigeck</t>
  </si>
  <si>
    <t>Loothog</t>
  </si>
  <si>
    <t>Bitesize</t>
  </si>
  <si>
    <t>Lord Geckington</t>
  </si>
  <si>
    <t>Distractyl</t>
  </si>
  <si>
    <t>Paintball</t>
  </si>
  <si>
    <t>Captain Geckles</t>
  </si>
  <si>
    <t>Rocketchimp</t>
  </si>
  <si>
    <t>Armorhog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</si>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</sst>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27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  <font>
      <b/>
      <sz val="9"/>
      <color indexed="81"/>
      <name val="Tahoma"/>
      <charset val="1"/>
    </font>
    <font>
      <sz val="11"/>
      <color theme="1"/>
      <name val="Calibri"/>
      <scheme val="minor"/>
    </font>
    <font>
      <sz val="10"/>
      <color theme="1"/>
      <name val="Arial"/>
    </font>
  </fonts>
  <fills count="4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</fills>
  <borders count="81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507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0" fontId="0" fillId="40" borderId="23" xfId="0" applyFill="1" applyBorder="1" applyAlignment="1">
      <alignment horizontal="center" vertical="center"/>
    </xf>
    <xf numFmtId="0" fontId="0" fillId="40" borderId="24" xfId="0" applyFill="1" applyBorder="1" applyAlignment="1">
      <alignment horizontal="center" vertical="center"/>
    </xf>
    <xf numFmtId="0" fontId="0" fillId="40" borderId="25" xfId="0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165" fontId="0" fillId="40" borderId="24" xfId="0" applyNumberFormat="1" applyFill="1" applyBorder="1" applyAlignment="1">
      <alignment horizontal="center" vertical="center"/>
    </xf>
    <xf numFmtId="165" fontId="0" fillId="40" borderId="25" xfId="0" applyNumberFormat="1" applyFill="1" applyBorder="1" applyAlignment="1">
      <alignment horizontal="center" vertical="center"/>
    </xf>
    <xf numFmtId="0" fontId="16" fillId="0" borderId="0" xfId="0" applyFont="1"/>
    <xf numFmtId="0" fontId="17" fillId="0" borderId="0" xfId="0" applyFont="1"/>
    <xf numFmtId="0" fontId="18" fillId="41" borderId="72" xfId="0" applyFont="1" applyFill="1" applyBorder="1" applyAlignment="1">
      <alignment horizontal="center" wrapText="1"/>
    </xf>
    <xf numFmtId="0" fontId="19" fillId="42" borderId="72" xfId="0" applyFont="1" applyFill="1" applyBorder="1" applyAlignment="1">
      <alignment horizontal="center" wrapText="1"/>
    </xf>
    <xf numFmtId="0" fontId="20" fillId="0" borderId="72" xfId="0" applyFont="1" applyBorder="1" applyAlignment="1">
      <alignment wrapText="1"/>
    </xf>
    <xf numFmtId="0" fontId="21" fillId="41" borderId="72" xfId="0" applyFont="1" applyFill="1" applyBorder="1" applyAlignment="1">
      <alignment horizontal="center" wrapText="1"/>
    </xf>
    <xf numFmtId="0" fontId="19" fillId="28" borderId="72" xfId="0" applyFont="1" applyFill="1" applyBorder="1" applyAlignment="1">
      <alignment horizontal="center" wrapText="1"/>
    </xf>
    <xf numFmtId="9" fontId="19" fillId="28" borderId="72" xfId="0" applyNumberFormat="1" applyFont="1" applyFill="1" applyBorder="1" applyAlignment="1">
      <alignment horizontal="center" wrapText="1"/>
    </xf>
    <xf numFmtId="0" fontId="20" fillId="44" borderId="73" xfId="0" applyFont="1" applyFill="1" applyBorder="1" applyAlignment="1">
      <alignment wrapText="1"/>
    </xf>
    <xf numFmtId="0" fontId="20" fillId="44" borderId="74" xfId="0" applyFont="1" applyFill="1" applyBorder="1" applyAlignment="1">
      <alignment horizontal="center" wrapText="1"/>
    </xf>
    <xf numFmtId="0" fontId="22" fillId="43" borderId="75" xfId="0" applyFont="1" applyFill="1" applyBorder="1" applyAlignment="1">
      <alignment horizontal="center" wrapText="1"/>
    </xf>
    <xf numFmtId="0" fontId="22" fillId="43" borderId="76" xfId="0" applyFont="1" applyFill="1" applyBorder="1" applyAlignment="1">
      <alignment horizontal="center" wrapText="1"/>
    </xf>
    <xf numFmtId="0" fontId="20" fillId="44" borderId="77" xfId="0" applyFont="1" applyFill="1" applyBorder="1" applyAlignment="1">
      <alignment wrapText="1"/>
    </xf>
    <xf numFmtId="0" fontId="20" fillId="44" borderId="78" xfId="0" applyFont="1" applyFill="1" applyBorder="1" applyAlignment="1">
      <alignment horizontal="center" wrapText="1"/>
    </xf>
    <xf numFmtId="0" fontId="20" fillId="44" borderId="72" xfId="0" applyFont="1" applyFill="1" applyBorder="1" applyAlignment="1">
      <alignment horizontal="center" wrapText="1"/>
    </xf>
    <xf numFmtId="0" fontId="20" fillId="45" borderId="73" xfId="0" applyFont="1" applyFill="1" applyBorder="1" applyAlignment="1">
      <alignment horizontal="center" wrapText="1"/>
    </xf>
    <xf numFmtId="0" fontId="23" fillId="45" borderId="73" xfId="0" applyFont="1" applyFill="1" applyBorder="1" applyAlignment="1">
      <alignment horizontal="center" vertical="top" wrapText="1"/>
    </xf>
    <xf numFmtId="0" fontId="20" fillId="46" borderId="73" xfId="0" applyFont="1" applyFill="1" applyBorder="1" applyAlignment="1">
      <alignment horizontal="center" wrapText="1"/>
    </xf>
    <xf numFmtId="0" fontId="22" fillId="43" borderId="79" xfId="0" applyFont="1" applyFill="1" applyBorder="1" applyAlignment="1">
      <alignment horizontal="center" wrapText="1"/>
    </xf>
    <xf numFmtId="0" fontId="20" fillId="46" borderId="77" xfId="0" applyFont="1" applyFill="1" applyBorder="1" applyAlignment="1">
      <alignment horizontal="center" wrapText="1"/>
    </xf>
    <xf numFmtId="0" fontId="20" fillId="44" borderId="80" xfId="0" applyFont="1" applyFill="1" applyBorder="1" applyAlignment="1">
      <alignment horizontal="center" wrapText="1"/>
    </xf>
    <xf numFmtId="0" fontId="3" fillId="3" borderId="53" xfId="0" applyFont="1" applyFill="1" applyBorder="1" applyAlignment="1">
      <alignment horizontal="center" vertical="center"/>
    </xf>
    <xf numFmtId="0" fontId="0" fillId="28" borderId="22" xfId="0" applyFill="1" applyBorder="1"/>
    <xf numFmtId="0" fontId="0" fillId="28" borderId="54" xfId="0" applyFill="1" applyBorder="1"/>
    <xf numFmtId="0" fontId="3" fillId="3" borderId="27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left" vertical="center"/>
    </xf>
    <xf numFmtId="0" fontId="0" fillId="5" borderId="48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5" borderId="48" xfId="0" applyFont="1" applyFill="1" applyBorder="1" applyAlignment="1">
      <alignment horizontal="left" vertical="center"/>
    </xf>
    <xf numFmtId="0" fontId="0" fillId="4" borderId="48" xfId="0" applyFill="1" applyBorder="1" applyAlignment="1">
      <alignment horizontal="left" vertical="center"/>
    </xf>
    <xf numFmtId="0" fontId="0" fillId="40" borderId="27" xfId="0" applyFill="1" applyBorder="1" applyAlignment="1">
      <alignment horizontal="left" vertical="center"/>
    </xf>
    <xf numFmtId="0" fontId="0" fillId="39" borderId="22" xfId="0" applyFill="1" applyBorder="1" applyAlignment="1">
      <alignment horizontal="left" vertical="center"/>
    </xf>
    <xf numFmtId="0" fontId="0" fillId="39" borderId="27" xfId="0" applyFill="1" applyBorder="1" applyAlignment="1">
      <alignment horizontal="left" vertical="center"/>
    </xf>
    <xf numFmtId="0" fontId="0" fillId="40" borderId="22" xfId="0" applyFill="1" applyBorder="1" applyAlignment="1">
      <alignment horizontal="left" vertical="center"/>
    </xf>
    <xf numFmtId="0" fontId="0" fillId="5" borderId="71" xfId="0" applyFill="1" applyBorder="1" applyAlignment="1">
      <alignment horizontal="left" vertical="center"/>
    </xf>
    <xf numFmtId="0" fontId="0" fillId="5" borderId="23" xfId="0" applyFill="1" applyBorder="1" applyAlignment="1">
      <alignment horizontal="left" vertical="center"/>
    </xf>
    <xf numFmtId="0" fontId="0" fillId="4" borderId="27" xfId="0" applyFill="1" applyBorder="1" applyAlignment="1">
      <alignment horizontal="left" vertical="center"/>
    </xf>
    <xf numFmtId="0" fontId="0" fillId="5" borderId="27" xfId="0" applyFill="1" applyBorder="1" applyAlignment="1">
      <alignment horizontal="left" vertical="center"/>
    </xf>
    <xf numFmtId="10" fontId="0" fillId="5" borderId="55" xfId="1" applyNumberFormat="1" applyFont="1" applyFill="1" applyBorder="1" applyAlignment="1">
      <alignment horizontal="center" vertical="center"/>
    </xf>
    <xf numFmtId="0" fontId="25" fillId="0" borderId="0" xfId="0" applyFont="1" applyAlignment="1"/>
    <xf numFmtId="0" fontId="25" fillId="6" borderId="0" xfId="0" applyFont="1" applyFill="1" applyAlignment="1">
      <alignment horizontal="center"/>
    </xf>
    <xf numFmtId="0" fontId="0" fillId="0" borderId="0" xfId="0" applyAlignment="1"/>
    <xf numFmtId="0" fontId="6" fillId="38" borderId="0" xfId="0" applyNumberFormat="1" applyFont="1" applyFill="1" applyAlignment="1">
      <alignment horizontal="center"/>
    </xf>
    <xf numFmtId="0" fontId="0" fillId="28" borderId="0" xfId="0" applyNumberFormat="1" applyFill="1" applyAlignment="1">
      <alignment horizontal="center" vertical="center"/>
    </xf>
    <xf numFmtId="0" fontId="25" fillId="38" borderId="0" xfId="0" applyNumberFormat="1" applyFont="1" applyFill="1" applyAlignment="1">
      <alignment horizontal="center"/>
    </xf>
    <xf numFmtId="0" fontId="0" fillId="38" borderId="0" xfId="0" applyNumberFormat="1" applyFont="1" applyFill="1" applyAlignment="1">
      <alignment horizontal="center"/>
    </xf>
    <xf numFmtId="0" fontId="6" fillId="38" borderId="21" xfId="0" applyNumberFormat="1" applyFont="1" applyFill="1" applyBorder="1" applyAlignment="1"/>
    <xf numFmtId="0" fontId="0" fillId="6" borderId="54" xfId="0" applyFill="1" applyBorder="1" applyAlignment="1"/>
    <xf numFmtId="0" fontId="0" fillId="30" borderId="0" xfId="0" applyFont="1" applyFill="1" applyAlignment="1"/>
    <xf numFmtId="0" fontId="6" fillId="38" borderId="0" xfId="0" applyNumberFormat="1" applyFont="1" applyFill="1" applyBorder="1" applyAlignment="1"/>
    <xf numFmtId="165" fontId="6" fillId="28" borderId="47" xfId="0" quotePrefix="1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left" vertical="center"/>
    </xf>
    <xf numFmtId="0" fontId="0" fillId="32" borderId="30" xfId="0" applyFill="1" applyBorder="1" applyAlignment="1">
      <alignment horizontal="center" vertical="center"/>
    </xf>
    <xf numFmtId="165" fontId="0" fillId="39" borderId="30" xfId="2" applyNumberFormat="1" applyFont="1" applyFill="1" applyBorder="1" applyAlignment="1">
      <alignment horizontal="center" vertical="center"/>
    </xf>
    <xf numFmtId="165" fontId="0" fillId="39" borderId="18" xfId="2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center" vertical="center"/>
    </xf>
    <xf numFmtId="0" fontId="0" fillId="39" borderId="24" xfId="0" applyFill="1" applyBorder="1" applyAlignment="1">
      <alignment horizontal="center" vertical="center"/>
    </xf>
    <xf numFmtId="0" fontId="0" fillId="39" borderId="25" xfId="0" applyFill="1" applyBorder="1" applyAlignment="1">
      <alignment horizontal="center" vertical="center"/>
    </xf>
    <xf numFmtId="165" fontId="0" fillId="39" borderId="24" xfId="0" applyNumberFormat="1" applyFill="1" applyBorder="1" applyAlignment="1">
      <alignment horizontal="center" vertical="center"/>
    </xf>
    <xf numFmtId="165" fontId="0" fillId="39" borderId="25" xfId="0" applyNumberFormat="1" applyFill="1" applyBorder="1" applyAlignment="1">
      <alignment horizontal="center" vertical="center"/>
    </xf>
    <xf numFmtId="0" fontId="26" fillId="46" borderId="73" xfId="0" applyFont="1" applyFill="1" applyBorder="1" applyAlignment="1">
      <alignment horizontal="center" wrapText="1"/>
    </xf>
    <xf numFmtId="0" fontId="26" fillId="44" borderId="72" xfId="0" applyFont="1" applyFill="1" applyBorder="1" applyAlignment="1">
      <alignment horizontal="center" wrapText="1"/>
    </xf>
    <xf numFmtId="0" fontId="26" fillId="44" borderId="74" xfId="0" applyFont="1" applyFill="1" applyBorder="1" applyAlignment="1">
      <alignment horizontal="center" wrapText="1"/>
    </xf>
    <xf numFmtId="0" fontId="26" fillId="46" borderId="77" xfId="0" applyFont="1" applyFill="1" applyBorder="1" applyAlignment="1">
      <alignment horizontal="center" wrapText="1"/>
    </xf>
    <xf numFmtId="0" fontId="26" fillId="44" borderId="80" xfId="0" applyFont="1" applyFill="1" applyBorder="1" applyAlignment="1">
      <alignment horizontal="center" wrapText="1"/>
    </xf>
    <xf numFmtId="0" fontId="26" fillId="44" borderId="78" xfId="0" applyFont="1" applyFill="1" applyBorder="1" applyAlignment="1">
      <alignment horizontal="center" wrapText="1"/>
    </xf>
    <xf numFmtId="0" fontId="6" fillId="28" borderId="9" xfId="0" applyFont="1" applyFill="1" applyBorder="1" applyAlignment="1">
      <alignment horizontal="center" vertic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0" fillId="29" borderId="16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3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9" Type="http://schemas.openxmlformats.org/officeDocument/2006/relationships/customXml" Target="../customXml/item22.xml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37" Type="http://schemas.openxmlformats.org/officeDocument/2006/relationships/customXml" Target="../customXml/item20.xml"/><Relationship Id="rId40" Type="http://schemas.openxmlformats.org/officeDocument/2006/relationships/customXml" Target="../customXml/item2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36" Type="http://schemas.openxmlformats.org/officeDocument/2006/relationships/customXml" Target="../customXml/item19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openxmlformats.org/officeDocument/2006/relationships/customXml" Target="../customXml/item18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38" Type="http://schemas.openxmlformats.org/officeDocument/2006/relationships/customXml" Target="../customXml/item2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Unlock'!$B$8:$Q$8</c:f>
              <c:numCache>
                <c:formatCode>General</c:formatCode>
                <c:ptCount val="16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  <c:pt idx="15">
                  <c:v>1800000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Unlock'!$B$12:$Q$12</c:f>
              <c:numCache>
                <c:formatCode>_("€"* #,##0.00_);_("€"* \(#,##0.00\);_("€"* "-"??_);_(@_)</c:formatCode>
                <c:ptCount val="16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  <c:pt idx="15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Unlock'!$B$10:$Q$10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  <c:pt idx="15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Rewards'!$H$14:$H$34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Rewards'!$I$14:$I$34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166686</xdr:colOff>
      <xdr:row>34</xdr:row>
      <xdr:rowOff>47625</xdr:rowOff>
    </xdr:from>
    <xdr:to>
      <xdr:col>14</xdr:col>
      <xdr:colOff>971550</xdr:colOff>
      <xdr:row>59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1028700</xdr:colOff>
      <xdr:row>34</xdr:row>
      <xdr:rowOff>57150</xdr:rowOff>
    </xdr:from>
    <xdr:to>
      <xdr:col>23</xdr:col>
      <xdr:colOff>366714</xdr:colOff>
      <xdr:row>60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1019175</xdr:colOff>
      <xdr:row>61</xdr:row>
      <xdr:rowOff>104775</xdr:rowOff>
    </xdr:from>
    <xdr:to>
      <xdr:col>23</xdr:col>
      <xdr:colOff>357189</xdr:colOff>
      <xdr:row>87</xdr:row>
      <xdr:rowOff>133350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571500</xdr:colOff>
      <xdr:row>34</xdr:row>
      <xdr:rowOff>66675</xdr:rowOff>
    </xdr:from>
    <xdr:to>
      <xdr:col>31</xdr:col>
      <xdr:colOff>233364</xdr:colOff>
      <xdr:row>60</xdr:row>
      <xdr:rowOff>95250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571500</xdr:colOff>
      <xdr:row>61</xdr:row>
      <xdr:rowOff>114300</xdr:rowOff>
    </xdr:from>
    <xdr:to>
      <xdr:col>31</xdr:col>
      <xdr:colOff>233364</xdr:colOff>
      <xdr:row>87</xdr:row>
      <xdr:rowOff>142875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581025</xdr:colOff>
      <xdr:row>88</xdr:row>
      <xdr:rowOff>38100</xdr:rowOff>
    </xdr:from>
    <xdr:to>
      <xdr:col>31</xdr:col>
      <xdr:colOff>242889</xdr:colOff>
      <xdr:row>114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581025</xdr:colOff>
      <xdr:row>114</xdr:row>
      <xdr:rowOff>133350</xdr:rowOff>
    </xdr:from>
    <xdr:to>
      <xdr:col>31</xdr:col>
      <xdr:colOff>242889</xdr:colOff>
      <xdr:row>140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323850</xdr:colOff>
      <xdr:row>34</xdr:row>
      <xdr:rowOff>66675</xdr:rowOff>
    </xdr:from>
    <xdr:to>
      <xdr:col>38</xdr:col>
      <xdr:colOff>395289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336550</xdr:colOff>
          <xdr:row>152</xdr:row>
          <xdr:rowOff>76200</xdr:rowOff>
        </xdr:from>
        <xdr:to>
          <xdr:col>3</xdr:col>
          <xdr:colOff>647700</xdr:colOff>
          <xdr:row>154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152</xdr:row>
          <xdr:rowOff>76200</xdr:rowOff>
        </xdr:from>
        <xdr:to>
          <xdr:col>6</xdr:col>
          <xdr:colOff>1390650</xdr:colOff>
          <xdr:row>154</xdr:row>
          <xdr:rowOff>88900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Q13" totalsRowShown="0">
  <autoFilter ref="A5:Q13"/>
  <tableColumns count="17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  <tableColumn id="17" name="Dragon 16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2" totalsRowShown="0" headerRowDxfId="230" dataDxfId="229">
  <autoFilter ref="A6:C22"/>
  <tableColumns count="3">
    <tableColumn id="1" name="Dragon ID / Level" dataDxfId="228"/>
    <tableColumn id="2" name="Max level" dataDxfId="227"/>
    <tableColumn id="24" name="Expected AVG time (mn)" dataDxfId="226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9" totalsRowShown="0" headerRowDxfId="225" dataDxfId="224">
  <autoFilter ref="A3:U19"/>
  <tableColumns count="21">
    <tableColumn id="1" name="Dragon ID / Level" dataDxfId="223"/>
    <tableColumn id="2" name="1" dataDxfId="222"/>
    <tableColumn id="3" name="2" dataDxfId="221"/>
    <tableColumn id="4" name="3" dataDxfId="220"/>
    <tableColumn id="5" name="4" dataDxfId="219"/>
    <tableColumn id="6" name="5" dataDxfId="218"/>
    <tableColumn id="7" name="6" dataDxfId="217"/>
    <tableColumn id="8" name="7" dataDxfId="216"/>
    <tableColumn id="9" name="8" dataDxfId="215"/>
    <tableColumn id="10" name="9" dataDxfId="214"/>
    <tableColumn id="11" name="10" dataDxfId="213"/>
    <tableColumn id="12" name="11" dataDxfId="212"/>
    <tableColumn id="13" name="12" dataDxfId="211"/>
    <tableColumn id="14" name="13" dataDxfId="210"/>
    <tableColumn id="15" name="14" dataDxfId="209"/>
    <tableColumn id="16" name="15" dataDxfId="208"/>
    <tableColumn id="17" name="16" dataDxfId="207"/>
    <tableColumn id="18" name="17" dataDxfId="206"/>
    <tableColumn id="19" name="18" dataDxfId="205"/>
    <tableColumn id="20" name="19" dataDxfId="204"/>
    <tableColumn id="21" name="20" dataDxfId="203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202" dataDxfId="201">
  <autoFilter ref="B8:E12"/>
  <tableColumns count="4">
    <tableColumn id="1" name="Equivalence (min)" dataDxfId="200"/>
    <tableColumn id="2" name="HC" dataDxfId="199">
      <calculatedColumnFormula>IF(ROUND(HCtoSkipTimers[[#This Row],[Equivalence (min)]]*$F$3+$G$3,0)=0,1,ROUND(HCtoSkipTimers[[#This Row],[Equivalence (min)]]*$F$3+$G$3,0))</calculatedColumnFormula>
    </tableColumn>
    <tableColumn id="3" name="$ min" dataDxfId="198" dataCellStyle="Currency">
      <calculatedColumnFormula>C9/'Offer Simulator'!$B$3</calculatedColumnFormula>
    </tableColumn>
    <tableColumn id="4" name="$ max" dataDxfId="197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7:T83" totalsRowShown="0" headerRowDxfId="196" dataDxfId="195">
  <autoFilter ref="A67:T83"/>
  <tableColumns count="20">
    <tableColumn id="1" name="Dragon ID / Step XP per Level" dataDxfId="194"/>
    <tableColumn id="2" name="1" dataDxfId="193">
      <calculatedColumnFormula>IF(OFFSET(F33,$A68,0)="","",ROUND(SUM(OFFSET($F33:F33,$A68,0)),0))</calculatedColumnFormula>
    </tableColumn>
    <tableColumn id="3" name="2" dataDxfId="192">
      <calculatedColumnFormula>IF(OFFSET(G33,$A68,0)="","",ROUND(SUM(OFFSET($F33:G33,$A68,0)),0))</calculatedColumnFormula>
    </tableColumn>
    <tableColumn id="4" name="3" dataDxfId="191">
      <calculatedColumnFormula>IF(OFFSET(H33,$A68,0)="","",ROUND(SUM(OFFSET($F33:H33,$A68,0)),0))</calculatedColumnFormula>
    </tableColumn>
    <tableColumn id="5" name="4" dataDxfId="190">
      <calculatedColumnFormula>IF(OFFSET(I33,$A68,0)="","",ROUND(SUM(OFFSET($F33:I33,$A68,0)),0))</calculatedColumnFormula>
    </tableColumn>
    <tableColumn id="6" name="5" dataDxfId="189">
      <calculatedColumnFormula>IF(OFFSET(J33,$A68,0)="","",ROUND(SUM(OFFSET($F33:J33,$A68,0)),0))</calculatedColumnFormula>
    </tableColumn>
    <tableColumn id="7" name="6" dataDxfId="188">
      <calculatedColumnFormula>IF(OFFSET(K33,$A68,0)="","",ROUND(SUM(OFFSET($F33:K33,$A68,0)),0))</calculatedColumnFormula>
    </tableColumn>
    <tableColumn id="8" name="7" dataDxfId="187">
      <calculatedColumnFormula>IF(OFFSET(L33,$A68,0)="","",ROUND(SUM(OFFSET($F33:L33,$A68,0)),0))</calculatedColumnFormula>
    </tableColumn>
    <tableColumn id="9" name="8" dataDxfId="186">
      <calculatedColumnFormula>IF(OFFSET(M33,$A68,0)="","",ROUND(SUM(OFFSET($F33:M33,$A68,0)),0))</calculatedColumnFormula>
    </tableColumn>
    <tableColumn id="10" name="9" dataDxfId="185">
      <calculatedColumnFormula>IF(OFFSET(N33,$A68,0)="","",ROUND(SUM(OFFSET($F33:N33,$A68,0)),0))</calculatedColumnFormula>
    </tableColumn>
    <tableColumn id="11" name="10" dataDxfId="184">
      <calculatedColumnFormula>IF(OFFSET(O33,$A68,0)="","",ROUND(SUM(OFFSET($F33:O33,$A68,0)),0))</calculatedColumnFormula>
    </tableColumn>
    <tableColumn id="12" name="11" dataDxfId="183">
      <calculatedColumnFormula>IF(OFFSET(P33,$A68,0)="","",ROUND(SUM(OFFSET($F33:P33,$A68,0)),0))</calculatedColumnFormula>
    </tableColumn>
    <tableColumn id="13" name="12" dataDxfId="182">
      <calculatedColumnFormula>IF(OFFSET(Q33,$A68,0)="","",ROUND(SUM(OFFSET($F33:Q33,$A68,0)),0))</calculatedColumnFormula>
    </tableColumn>
    <tableColumn id="14" name="13" dataDxfId="181">
      <calculatedColumnFormula>IF(OFFSET(R33,$A68,0)="","",ROUND(SUM(OFFSET($F33:R33,$A68,0)),0))</calculatedColumnFormula>
    </tableColumn>
    <tableColumn id="15" name="14" dataDxfId="180">
      <calculatedColumnFormula>IF(OFFSET(S33,$A68,0)="","",ROUND(SUM(OFFSET($F33:S33,$A68,0)),0))</calculatedColumnFormula>
    </tableColumn>
    <tableColumn id="16" name="15" dataDxfId="179">
      <calculatedColumnFormula>IF(OFFSET(T33,$A68,0)="","",ROUND(SUM(OFFSET($F33:T33,$A68,0)),0))</calculatedColumnFormula>
    </tableColumn>
    <tableColumn id="17" name="16" dataDxfId="178">
      <calculatedColumnFormula>IF(OFFSET(U33,$A68,0)="","",ROUND(SUM(OFFSET($F33:U33,$A68,0)),0))</calculatedColumnFormula>
    </tableColumn>
    <tableColumn id="18" name="17" dataDxfId="177">
      <calculatedColumnFormula>IF(OFFSET(V33,$A68,0)="","",ROUND(SUM(OFFSET($F33:V33,$A68,0)),0))</calculatedColumnFormula>
    </tableColumn>
    <tableColumn id="19" name="18" dataDxfId="176">
      <calculatedColumnFormula>IF(OFFSET(W33,$A68,0)="","",ROUND(SUM(OFFSET($F33:W33,$A68,0)),0))</calculatedColumnFormula>
    </tableColumn>
    <tableColumn id="20" name="19" dataDxfId="175">
      <calculatedColumnFormula>IF(OFFSET(X33,$A68,0)="","",ROUND(SUM(OFFSET($F33:X33,$A68,0)),0))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86:C102" totalsRowShown="0" headerRowDxfId="174" dataDxfId="173">
  <autoFilter ref="A86:C102"/>
  <tableColumns count="3">
    <tableColumn id="1" name="Dragon ID" dataDxfId="172"/>
    <tableColumn id="2" name="AVG_XP/min" dataDxfId="171">
      <calculatedColumnFormula>ROUND(AVERAGE(D11:D11),0)</calculatedColumnFormula>
    </tableColumn>
    <tableColumn id="3" name="AVG_TIME_TO_MAX_LEVEL" dataDxfId="170">
      <calculatedColumnFormula>MAX(B68:T68)/Table74[[#This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3" totalsRowShown="0" headerRowDxfId="169" dataDxfId="167" headerRowBorderDxfId="168">
  <autoFilter ref="E12:N33"/>
  <tableColumns count="10">
    <tableColumn id="1" name="Dragon" dataDxfId="166"/>
    <tableColumn id="2" name="Reward Multiplier" dataDxfId="165"/>
    <tableColumn id="6" name="Easy Mission Reward" dataDxfId="164">
      <calculatedColumnFormula>missionsDragonRelativeMetrics[[#This Row],[Reward Multiplier]]*$C$5</calculatedColumnFormula>
    </tableColumn>
    <tableColumn id="7" name="Medium Mission Reward" dataDxfId="163">
      <calculatedColumnFormula>missionsDragonRelativeMetrics[[#This Row],[Reward Multiplier]]*$C$6</calculatedColumnFormula>
    </tableColumn>
    <tableColumn id="3" name="Hard Mission Reward" dataDxfId="162">
      <calculatedColumnFormula>missionsDragonRelativeMetrics[[#This Row],[Reward Multiplier]]*$C$7</calculatedColumnFormula>
    </tableColumn>
    <tableColumn id="4" name="Max. Nb. Missions" dataDxfId="161"/>
    <tableColumn id="5" name="Tier" dataDxfId="160"/>
    <tableColumn id="8" name="General Missions" dataDxfId="159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158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157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56" dataDxfId="155">
  <autoFilter ref="A4:C7"/>
  <tableColumns count="3">
    <tableColumn id="6" name="Difficulty" dataDxfId="154"/>
    <tableColumn id="1" name="Mission Level" dataDxfId="153" totalsRowDxfId="152"/>
    <tableColumn id="2" name="Max Reward" dataDxfId="151" totalsRowDxfId="150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3" totalsRowShown="0" headerRowDxfId="149" dataDxfId="147" headerRowBorderDxfId="148" tableBorderDxfId="146">
  <autoFilter ref="A12:C33"/>
  <tableColumns count="3">
    <tableColumn id="1" name="Dragon" dataDxfId="145"/>
    <tableColumn id="2" name="QuantityModifier" dataDxfId="144"/>
    <tableColumn id="3" name="Dragon Tier" dataDxfId="143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7:Q128" totalsRowShown="0" headerRowDxfId="142" headerRowBorderDxfId="141" tableBorderDxfId="140">
  <autoFilter ref="B47:Q128"/>
  <tableColumns count="16">
    <tableColumn id="16" name="ID" dataDxfId="139"/>
    <tableColumn id="1" name="MISSION TYPE"/>
    <tableColumn id="2" name="PARAM"/>
    <tableColumn id="3" name="HAS SINGLE RUN"/>
    <tableColumn id="4" name="OBJ. BASE. QU. MIN" dataDxfId="138"/>
    <tableColumn id="5" name="OBJ. BASE. QU. MAX" dataDxfId="137"/>
    <tableColumn id="6" name="OBJ. QU. RANGE" dataDxfId="136">
      <calculatedColumnFormula>CONCATENATE(ROUND((F48*$F$43)*(1-$I$40),0), " to ",ROUND((G48*$F$43)*(1-$I$40),0))</calculatedColumnFormula>
    </tableColumn>
    <tableColumn id="7" name="REWARD">
      <calculatedColumnFormula>CONCATENATE(INDEX(missionsDragonRelativeMetrics[Easy Mission Reward],MATCH($E$38,missionsDragonRelativeMetrics[Dragon],0)), " coins")</calculatedColumnFormula>
    </tableColumn>
    <tableColumn id="8" name="OBJ. QU. RANGE2" dataDxfId="135">
      <calculatedColumnFormula>CONCATENATE(ROUND((F48*$G$43)*(1-$I$40),0), " to ",ROUND((G48*$G$43)*(1-$I$40),0))</calculatedColumnFormula>
    </tableColumn>
    <tableColumn id="9" name="REWARD2">
      <calculatedColumnFormula>CONCATENATE(INDEX(missionsDragonRelativeMetrics[Medium Mission Reward],MATCH($E$38,missionsDragonRelativeMetrics[Dragon],0)), " coins")</calculatedColumnFormula>
    </tableColumn>
    <tableColumn id="10" name="OBJ. QU. RANGE3" dataDxfId="134">
      <calculatedColumnFormula>CONCATENATE(ROUND((F48*$H$43)*(1-$I$40),0), " to ",ROUND((G48*$H$43)*(1-$I$40),0))</calculatedColumnFormula>
    </tableColumn>
    <tableColumn id="11" name="REWARD3">
      <calculatedColumnFormula>CONCATENATE(INDEX(missionsDragonRelativeMetrics[Hard Mission Reward],MATCH($E$38,missionsDragonRelativeMetrics[Dragon],0)), " coins")</calculatedColumnFormula>
    </tableColumn>
    <tableColumn id="12" name="MIN TIER"/>
    <tableColumn id="13" name="MAX TIER" dataDxfId="133"/>
    <tableColumn id="15" name="DRAGON"/>
    <tableColumn id="14" name="AVAILABLE" dataDxfId="132">
      <calculatedColumnFormula>IF(P48="",NOT(OR(N48&gt;$D$40,O48&lt;$D$40)),AND(NOT(OR(N48&gt;$D$40,O48&lt;$D$40)),P48=$E$38))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31" headerRowBorderDxfId="130" tableBorderDxfId="129">
  <autoFilter ref="B13:E18"/>
  <tableColumns count="4">
    <tableColumn id="1" name="CHESTS" dataDxfId="128"/>
    <tableColumn id="2" name="TYPE" dataDxfId="127"/>
    <tableColumn id="3" name="AMOUNT" dataDxfId="126"/>
    <tableColumn id="4" name="AMOUNT NEW" dataDxfId="125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4" totalsRowShown="0" headerRowDxfId="124" headerRowBorderDxfId="123" tableBorderDxfId="122">
  <autoFilter ref="G13:AL34"/>
  <tableColumns count="32">
    <tableColumn id="1" name="DRAGON" dataDxfId="121"/>
    <tableColumn id="35" name="COINS" dataDxfId="120">
      <calculatedColumnFormula>Table6[[#This Row],[TOTAL COINS]] +Table6[[#This Row],[COINS IN RUNS PER DAY]]</calculatedColumnFormula>
    </tableColumn>
    <tableColumn id="34" name="COINS NEW" dataDxfId="119">
      <calculatedColumnFormula>Table6[[#This Row],[TOTAL COINS NEW]] + Table6[[#This Row],[COINS IN RUNS PER DAY]]</calculatedColumnFormula>
    </tableColumn>
    <tableColumn id="17" name="TOTAL COINS" dataDxfId="118">
      <calculatedColumnFormula>Table6[[#This Row],[CHESTS COINS]] + Table6[[#This Row],[DAILY COINS]]+Table6[[#This Row],[LEAGUES COINS]]+Table6[[#This Row],[MISSIONS COINS]]</calculatedColumnFormula>
    </tableColumn>
    <tableColumn id="16" name="TOTAL GEMS" dataDxfId="117">
      <calculatedColumnFormula>Table6[[#This Row],[CHESTS GEMS]]+Table6[[#This Row],[DAILY GEMS]]+Table6[[#This Row],[LEAGUES GEMS]]</calculatedColumnFormula>
    </tableColumn>
    <tableColumn id="28" name="TOTAL COINS NEW" dataDxfId="116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15">
      <calculatedColumnFormula>Table6[[#This Row],[CHESTS GEMS NEW]] +Table6[[#This Row],[DAILY GEMS NEW]] +Table6[[#This Row],[LEAGUES GEMS NEW]]</calculatedColumnFormula>
    </tableColumn>
    <tableColumn id="31" name="COINS IN RUNS PER DAY" dataDxfId="114">
      <calculatedColumnFormula>Table6[[#This Row],[COINS PER RUN]] *Table6[[#This Row],[RUNS PER DAY]]</calculatedColumnFormula>
    </tableColumn>
    <tableColumn id="2" name="CHEST REW. MOD." dataDxfId="113"/>
    <tableColumn id="3" name="DAILY REW. MOD." dataDxfId="112"/>
    <tableColumn id="19" name="CHEST REW. MOD. NEW" dataDxfId="111"/>
    <tableColumn id="18" name="DAILY REW. MOD. NEW" dataDxfId="110"/>
    <tableColumn id="4" name="LEAGUE" dataDxfId="109"/>
    <tableColumn id="5" name="NUM. EASY" dataDxfId="108"/>
    <tableColumn id="6" name="NUM. MED." dataDxfId="107"/>
    <tableColumn id="7" name="NUM. HARD" dataDxfId="106"/>
    <tableColumn id="8" name="CHESTS COINS" dataDxfId="105">
      <calculatedColumnFormula>Table6[[#This Row],[CHEST REW. MOD.]]*($D$14+$D$15+$D$16)</calculatedColumnFormula>
    </tableColumn>
    <tableColumn id="9" name="CHESTS GEMS" dataDxfId="104">
      <calculatedColumnFormula>$D$17+$D$18</calculatedColumnFormula>
    </tableColumn>
    <tableColumn id="10" name="DAILY COINS" dataDxfId="103">
      <calculatedColumnFormula>ROUND((Table6[[#This Row],[DAILY REW. MOD.]]*($D$24+$D$26+$D$28))/7,0)</calculatedColumnFormula>
    </tableColumn>
    <tableColumn id="11" name="DAILY GEMS" dataDxfId="102">
      <calculatedColumnFormula>ROUND(($D$25+$D$27+$D$29)/7,1)</calculatedColumnFormula>
    </tableColumn>
    <tableColumn id="12" name="LEAGUES COINS" dataDxfId="101">
      <calculatedColumnFormula>ROUND((INDEX(Table12[AVG COINS],MATCH(Table6[[#This Row],[LEAGUE]],Table12[LEAGUE],0))) /$C$38,0)</calculatedColumnFormula>
    </tableColumn>
    <tableColumn id="13" name="LEAGUES GEMS" dataDxfId="100">
      <calculatedColumnFormula>ROUND((INDEX(Table12[AVG GEMS],MATCH(Table6[[#This Row],[LEAGUE]],Table12[LEAGUE],0))) /$C$37,2)</calculatedColumnFormula>
    </tableColumn>
    <tableColumn id="14" name="MISSIONS COINS" dataDxfId="99">
      <calculatedColumnFormula>(Table6[[#This Row],[CHEST REW. MOD.]]*$D$115 * Table6[[#This Row],[NUM. EASY]]) + (Table6[[#This Row],[CHEST REW. MOD.]]*$D$116 * Table6[[#This Row],[NUM. MED.]]) + (Table6[[#This Row],[CHEST REW. MOD.]]*$D$117 * Table6[[#This Row],[NUM. HARD]])</calculatedColumnFormula>
    </tableColumn>
    <tableColumn id="20" name="CHESTS COINS NEW" dataDxfId="98">
      <calculatedColumnFormula>Table6[[#This Row],[CHEST REW. MOD. NEW]]*($D$14+$D$15+$D$16)</calculatedColumnFormula>
    </tableColumn>
    <tableColumn id="21" name="CHESTS GEMS NEW" dataDxfId="97">
      <calculatedColumnFormula>$E$17+$E$18</calculatedColumnFormula>
    </tableColumn>
    <tableColumn id="22" name="DAILY COINS NEW" dataDxfId="96">
      <calculatedColumnFormula>ROUND((Table6[[#This Row],[DAILY REW. MOD. NEW]]*($E$24+$E$26+$E$28))/7,0)</calculatedColumnFormula>
    </tableColumn>
    <tableColumn id="23" name="DAILY GEMS NEW" dataDxfId="95">
      <calculatedColumnFormula>ROUND(($E$25+$E$27+$E$29)/7,1)</calculatedColumnFormula>
    </tableColumn>
    <tableColumn id="24" name="LEAGUES COINS NEW" dataDxfId="94">
      <calculatedColumnFormula>ROUND((INDEX(Table12[AVG COINS NEW],MATCH(Table6[[#This Row],[LEAGUE]],Table12[LEAGUE],0))) /$C$38,0)</calculatedColumnFormula>
    </tableColumn>
    <tableColumn id="25" name="LEAGUES GEMS NEW" dataDxfId="93">
      <calculatedColumnFormula>ROUND((INDEX(Table12[AVG GEMS NEW],MATCH(Table6[[#This Row],[LEAGUE]],Table12[LEAGUE],0))) / $C$38,2)</calculatedColumnFormula>
    </tableColumn>
    <tableColumn id="26" name="MISSIONS COINS NEW" dataDxfId="92">
      <calculatedColumnFormula>(Table6[[#This Row],[CHEST REW. MOD. NEW]]*$E$115 * Table6[[#This Row],[NUM. EASY]]) + (Table6[[#This Row],[CHEST REW. MOD. NEW]]*$E$116 * Table6[[#This Row],[NUM. MED.]]) + (Table6[[#This Row],[CHEST REW. MOD. NEW]]*$E$117 * Table6[[#This Row],[NUM. HARD]])</calculatedColumnFormula>
    </tableColumn>
    <tableColumn id="29" name="COINS PER RUN" dataDxfId="91"/>
    <tableColumn id="30" name="RUNS PER DAY" dataDxfId="90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89" dataDxfId="87" headerRowBorderDxfId="88" tableBorderDxfId="86">
  <autoFilter ref="B23:E31"/>
  <tableColumns count="4">
    <tableColumn id="1" name="DAY" dataDxfId="85"/>
    <tableColumn id="2" name="TYPE" dataDxfId="84"/>
    <tableColumn id="3" name="AMOUNT" dataDxfId="83"/>
    <tableColumn id="4" name="AMOUNT NEW" dataDxfId="82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40:F50" totalsRowShown="0" headerRowDxfId="81" headerRowBorderDxfId="80" tableBorderDxfId="79">
  <autoFilter ref="B40:F50"/>
  <tableColumns count="5">
    <tableColumn id="1" name="LEAGUE" dataDxfId="78"/>
    <tableColumn id="2" name="AVG COINS" dataDxfId="77">
      <calculatedColumnFormula>SUM(F62:F66)/100</calculatedColumnFormula>
    </tableColumn>
    <tableColumn id="3" name="AVG GEMS" dataDxfId="76"/>
    <tableColumn id="4" name="AVG COINS NEW" dataDxfId="75"/>
    <tableColumn id="5" name="AVG GEMS NEW" dataDxfId="74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1:J111" totalsRowShown="0" headerRowDxfId="73" dataDxfId="71" headerRowBorderDxfId="72" tableBorderDxfId="70">
  <autoFilter ref="B61:J111"/>
  <tableColumns count="9">
    <tableColumn id="1" name="LEAGUE" dataDxfId="69"/>
    <tableColumn id="2" name="TYPE" dataDxfId="68"/>
    <tableColumn id="3" name="AMOUNT" dataDxfId="67"/>
    <tableColumn id="4" name="TARGET" dataDxfId="66"/>
    <tableColumn id="5" name="AUX 1" dataDxfId="65">
      <calculatedColumnFormula>Table13[[#This Row],[AMOUNT]]*(Table13[[#This Row],[TARGET]]/100)</calculatedColumnFormula>
    </tableColumn>
    <tableColumn id="10" name="TYPE NEW" dataDxfId="64"/>
    <tableColumn id="6" name="AMOUNT NEW" dataDxfId="63"/>
    <tableColumn id="7" name="TARGET NEW" dataDxfId="62"/>
    <tableColumn id="8" name="AUX 1 NEW" dataDxfId="61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4:E117" totalsRowShown="0" headerRowDxfId="60" dataDxfId="59">
  <autoFilter ref="B114:E117"/>
  <tableColumns count="4">
    <tableColumn id="6" name="DIFFICULTY" dataDxfId="58"/>
    <tableColumn id="1" name="MISSION LV." dataDxfId="57" totalsRowDxfId="56"/>
    <tableColumn id="2" name="MAX. REW." dataDxfId="55" totalsRowDxfId="54"/>
    <tableColumn id="3" name="MAX REW. NEW" dataDxfId="53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52" dataDxfId="51" tableBorderDxfId="50">
  <autoFilter ref="A6:C13"/>
  <tableColumns count="3">
    <tableColumn id="1" name="Price" dataDxfId="49"/>
    <tableColumn id="2" name="HC earned" dataDxfId="48">
      <calculatedColumnFormula>ROUND(Table47[[#This Row],[Price]]*$B$3+Table47[[#This Row],[Price]]*$B$3*Table47[[#This Row],[Discount]],0)</calculatedColumnFormula>
    </tableColumn>
    <tableColumn id="3" name="Discount" dataDxfId="47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0:C26" totalsRowShown="0" headerRowDxfId="46" dataDxfId="45" tableBorderDxfId="44">
  <autoFilter ref="A20:C26"/>
  <tableColumns count="3">
    <tableColumn id="1" name="Price HC" dataDxfId="43"/>
    <tableColumn id="2" name="SC earned" dataDxfId="42">
      <calculatedColumnFormula>ROUND((($B$17/$B$3)*Table479[[#This Row],[Price HC]])+((($B$17/$B$3)*Table479[[#This Row],[Price HC]])*Table479[[#This Row],[Discount]]),0)</calculatedColumnFormula>
    </tableColumn>
    <tableColumn id="3" name="Discount" dataDxfId="41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6:Z36" totalsRowShown="0" headerRowDxfId="40" tableBorderDxfId="39">
  <autoFilter ref="E16:Z36"/>
  <tableColumns count="22">
    <tableColumn id="1" name="Dragon" dataDxfId="38"/>
    <tableColumn id="2" name="pricing (HC)" dataDxfId="37"/>
    <tableColumn id="3" name="Equivalence Base" dataDxfId="36">
      <calculatedColumnFormula>F17/$B$3</calculatedColumnFormula>
    </tableColumn>
    <tableColumn id="4" name="Equivalence better" dataDxfId="35">
      <calculatedColumnFormula>ROUND(F17/$B$4,2)</calculatedColumnFormula>
    </tableColumn>
    <tableColumn id="5" name="Dis. 1 price (SC or HC)" dataDxfId="34"/>
    <tableColumn id="6" name="Dis. 1 Eq. Base" dataDxfId="33">
      <calculatedColumnFormula>(Table9[[#This Row],[Dis. 1 price (SC or HC)]]/($B$17/$B$3))/$B$3</calculatedColumnFormula>
    </tableColumn>
    <tableColumn id="7" name="Dis 1 Eq. better" dataDxfId="32">
      <calculatedColumnFormula>Table9[[#This Row],[Dis. 1 price (SC or HC)]]/$B$18</calculatedColumnFormula>
    </tableColumn>
    <tableColumn id="8" name="Dis. 2 price (SC or HC)" dataDxfId="31"/>
    <tableColumn id="9" name="Dis. 2 Eq. Base" dataDxfId="30"/>
    <tableColumn id="10" name="Dis 2 Eq. better" dataDxfId="29"/>
    <tableColumn id="11" name="Dis. 3 price (SC or HC)" dataDxfId="28"/>
    <tableColumn id="12" name="Dis. 3 Eq. Base" dataDxfId="27"/>
    <tableColumn id="13" name="Dis 3 Eq. better" dataDxfId="26"/>
    <tableColumn id="14" name="Dis. 4 price (SC or HC)" dataDxfId="25"/>
    <tableColumn id="15" name="Dis. 4 Eq. Base" dataDxfId="24"/>
    <tableColumn id="16" name="Dis 4 Eq. better" dataDxfId="23"/>
    <tableColumn id="17" name="Dis. 5 price (SC or HC)" dataDxfId="22"/>
    <tableColumn id="18" name="Dis. 5 Eq. Base" dataDxfId="21"/>
    <tableColumn id="19" name="Dis 5 Eq. better" dataDxfId="20"/>
    <tableColumn id="20" name="Dis. 6 price (SC or HC)" dataDxfId="19"/>
    <tableColumn id="21" name="Dis. 6 Eq. Base" dataDxfId="18"/>
    <tableColumn id="22" name="Dis 6 Eq. Better" dataDxfId="17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3:B34" totalsRowShown="0" headerRowDxfId="16" tableBorderDxfId="15">
  <autoFilter ref="A33:B34"/>
  <tableColumns count="2">
    <tableColumn id="1" name="price HC" dataDxfId="14"/>
    <tableColumn id="2" name="Price $" dataDxfId="13">
      <calculatedColumnFormula>A34/B3</calculatedColumnFormula>
    </tableColumn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3" name="Table4" displayName="Table4" ref="C4:D31" totalsRowShown="0" headerRowDxfId="12" headerRowBorderDxfId="11" tableBorderDxfId="10" totalsRowBorderDxfId="9">
  <autoFilter ref="C4:D31"/>
  <tableColumns count="2">
    <tableColumn id="1" name="IAP" dataDxfId="8"/>
    <tableColumn id="2" name="PRICE" dataDxfId="7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6" name="Table7" displayName="Table7" ref="J4:L56" totalsRowShown="0" headerRowDxfId="6" headerRowBorderDxfId="5" tableBorderDxfId="4" totalsRowBorderDxfId="3">
  <autoFilter ref="J4:L56"/>
  <tableColumns count="3">
    <tableColumn id="1" name="CATEGORIES" dataDxfId="2"/>
    <tableColumn id="2" name="TIDs" dataDxfId="1"/>
    <tableColumn id="3" name="TEXTS" dataDxfId="0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12" Type="http://schemas.openxmlformats.org/officeDocument/2006/relationships/comments" Target="../comments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4.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Q13"/>
  <sheetViews>
    <sheetView workbookViewId="0">
      <selection activeCell="Q8" sqref="Q8"/>
    </sheetView>
  </sheetViews>
  <sheetFormatPr defaultRowHeight="14.5"/>
  <cols>
    <col min="1" max="1" width="17.81640625" bestFit="1" customWidth="1"/>
    <col min="2" max="9" width="11" bestFit="1" customWidth="1"/>
    <col min="10" max="10" width="27.26953125" bestFit="1" customWidth="1"/>
    <col min="11" max="12" width="12" bestFit="1" customWidth="1"/>
    <col min="13" max="13" width="27.26953125" bestFit="1" customWidth="1"/>
    <col min="14" max="14" width="24.453125" customWidth="1"/>
    <col min="15" max="15" width="19" customWidth="1"/>
    <col min="16" max="16" width="13.54296875" customWidth="1"/>
    <col min="17" max="17" width="13.26953125" customWidth="1"/>
  </cols>
  <sheetData>
    <row r="1" spans="1:17" ht="18.5">
      <c r="A1" s="50" t="s">
        <v>57</v>
      </c>
      <c r="B1" s="51"/>
      <c r="C1" s="51"/>
      <c r="D1" s="51"/>
      <c r="E1" s="51"/>
    </row>
    <row r="5" spans="1:17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520</v>
      </c>
      <c r="P5" t="s">
        <v>543</v>
      </c>
      <c r="Q5" t="s">
        <v>806</v>
      </c>
    </row>
    <row r="6" spans="1:17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  <c r="Q6">
        <v>16</v>
      </c>
    </row>
    <row r="7" spans="1:17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  <c r="Q7">
        <v>20</v>
      </c>
    </row>
    <row r="8" spans="1:17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  <c r="Q8">
        <v>1800000</v>
      </c>
    </row>
    <row r="9" spans="1:17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  <c r="Q9">
        <f>ROUND(Q8,2-LEN(Q8))</f>
        <v>1800000</v>
      </c>
    </row>
    <row r="10" spans="1:17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  <c r="Q10">
        <v>550</v>
      </c>
    </row>
    <row r="11" spans="1:17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  <c r="Q11">
        <f>Q10/'Offer Simulator'!$B$3</f>
        <v>55</v>
      </c>
    </row>
    <row r="12" spans="1:17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  <c r="Q12" s="99">
        <f>Q10/'Offer Simulator'!$B$4</f>
        <v>36.666666666666664</v>
      </c>
    </row>
    <row r="13" spans="1:17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  <c r="Q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2"/>
  <sheetViews>
    <sheetView workbookViewId="0">
      <selection activeCell="A26" sqref="A26"/>
    </sheetView>
  </sheetViews>
  <sheetFormatPr defaultRowHeight="14.5"/>
  <cols>
    <col min="1" max="1" width="22.26953125" customWidth="1"/>
    <col min="2" max="2" width="15.54296875" customWidth="1"/>
    <col min="3" max="3" width="29.54296875" customWidth="1"/>
  </cols>
  <sheetData>
    <row r="1" spans="1:4" ht="18.5">
      <c r="A1" s="33" t="s">
        <v>58</v>
      </c>
      <c r="B1" s="32"/>
      <c r="C1" s="32"/>
    </row>
    <row r="3" spans="1:4">
      <c r="A3" s="4" t="s">
        <v>20</v>
      </c>
      <c r="B3" s="4" t="s">
        <v>73</v>
      </c>
      <c r="C3" s="4" t="s">
        <v>90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41</v>
      </c>
      <c r="B6" s="1" t="s">
        <v>42</v>
      </c>
      <c r="C6" s="1" t="s">
        <v>65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>
      <c r="A20" s="117">
        <v>14</v>
      </c>
      <c r="B20" s="118">
        <v>20</v>
      </c>
      <c r="C20" s="80">
        <f>$C$4*RunDuration[[#This Row],[Dragon ID / Level]]+$D$4</f>
        <v>10.09090909090909</v>
      </c>
    </row>
    <row r="21" spans="1:3">
      <c r="A21" s="117">
        <v>15</v>
      </c>
      <c r="B21" s="118">
        <v>20</v>
      </c>
      <c r="C21" s="80">
        <f>$C$4*RunDuration[[#This Row],[Dragon ID / Level]]+$D$4</f>
        <v>10.636363636363637</v>
      </c>
    </row>
    <row r="22" spans="1:3">
      <c r="A22" s="117">
        <v>15</v>
      </c>
      <c r="B22" s="118">
        <v>20</v>
      </c>
      <c r="C22" s="80">
        <f>$C$4*RunDuration[[#This Row],[Dragon ID / Level]]+$D$4</f>
        <v>10.636363636363637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8"/>
  <sheetViews>
    <sheetView topLeftCell="A22" workbookViewId="0">
      <selection activeCell="N40" sqref="N40"/>
    </sheetView>
  </sheetViews>
  <sheetFormatPr defaultRowHeight="14.5"/>
  <cols>
    <col min="1" max="1" width="20.7265625" bestFit="1" customWidth="1"/>
  </cols>
  <sheetData>
    <row r="1" spans="1:21" ht="18.5">
      <c r="A1" s="7" t="s">
        <v>43</v>
      </c>
      <c r="B1" s="7"/>
      <c r="C1" s="7"/>
    </row>
    <row r="3" spans="1:21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350">
        <v>14</v>
      </c>
      <c r="B17" s="350">
        <v>204</v>
      </c>
      <c r="C17" s="350">
        <v>205</v>
      </c>
      <c r="D17" s="350">
        <v>206</v>
      </c>
      <c r="E17" s="350">
        <v>207</v>
      </c>
      <c r="F17" s="350">
        <v>208</v>
      </c>
      <c r="G17" s="350">
        <v>209</v>
      </c>
      <c r="H17" s="350">
        <v>210</v>
      </c>
      <c r="I17" s="350">
        <v>211</v>
      </c>
      <c r="J17" s="350">
        <v>212</v>
      </c>
      <c r="K17" s="350">
        <v>213</v>
      </c>
      <c r="L17" s="350">
        <v>214</v>
      </c>
      <c r="M17" s="350">
        <v>215</v>
      </c>
      <c r="N17" s="350">
        <v>216</v>
      </c>
      <c r="O17" s="350">
        <v>217</v>
      </c>
      <c r="P17" s="350">
        <v>218</v>
      </c>
      <c r="Q17" s="350">
        <v>219</v>
      </c>
      <c r="R17" s="350">
        <v>220</v>
      </c>
      <c r="S17" s="350">
        <v>221</v>
      </c>
      <c r="T17" s="350">
        <v>222</v>
      </c>
      <c r="U17" s="350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19" spans="1:21">
      <c r="A19" s="350">
        <v>16</v>
      </c>
      <c r="B19" s="350">
        <v>244</v>
      </c>
      <c r="C19" s="350">
        <v>245</v>
      </c>
      <c r="D19" s="350">
        <v>246</v>
      </c>
      <c r="E19" s="350">
        <v>247</v>
      </c>
      <c r="F19" s="350">
        <v>248</v>
      </c>
      <c r="G19" s="350">
        <v>249</v>
      </c>
      <c r="H19" s="350">
        <v>250</v>
      </c>
      <c r="I19" s="350">
        <v>251</v>
      </c>
      <c r="J19" s="350">
        <v>252</v>
      </c>
      <c r="K19" s="350">
        <v>253</v>
      </c>
      <c r="L19" s="350">
        <v>254</v>
      </c>
      <c r="M19" s="350">
        <v>255</v>
      </c>
      <c r="N19" s="350">
        <v>256</v>
      </c>
      <c r="O19" s="350">
        <v>257</v>
      </c>
      <c r="P19" s="350">
        <v>258</v>
      </c>
      <c r="Q19" s="350">
        <v>259</v>
      </c>
      <c r="R19" s="350">
        <v>260</v>
      </c>
      <c r="S19" s="350">
        <v>261</v>
      </c>
      <c r="T19" s="350">
        <v>262</v>
      </c>
      <c r="U19" s="350">
        <v>263</v>
      </c>
    </row>
    <row r="22" spans="1:21">
      <c r="B22" s="100" t="s">
        <v>324</v>
      </c>
      <c r="D22" s="100" t="s">
        <v>807</v>
      </c>
    </row>
    <row r="23" spans="1:21">
      <c r="B23" t="s">
        <v>325</v>
      </c>
      <c r="D23" t="s">
        <v>808</v>
      </c>
    </row>
    <row r="24" spans="1:21">
      <c r="B24" t="s">
        <v>326</v>
      </c>
      <c r="D24" t="s">
        <v>809</v>
      </c>
    </row>
    <row r="25" spans="1:21">
      <c r="B25" t="s">
        <v>327</v>
      </c>
      <c r="D25" t="s">
        <v>810</v>
      </c>
    </row>
    <row r="26" spans="1:21">
      <c r="B26" t="s">
        <v>328</v>
      </c>
      <c r="D26" t="s">
        <v>811</v>
      </c>
    </row>
    <row r="27" spans="1:21">
      <c r="B27" t="s">
        <v>329</v>
      </c>
      <c r="D27" t="s">
        <v>812</v>
      </c>
    </row>
    <row r="28" spans="1:21">
      <c r="B28" t="s">
        <v>330</v>
      </c>
      <c r="D28" t="s">
        <v>813</v>
      </c>
    </row>
    <row r="29" spans="1:21">
      <c r="B29" t="s">
        <v>331</v>
      </c>
      <c r="D29" t="s">
        <v>814</v>
      </c>
    </row>
    <row r="30" spans="1:21">
      <c r="B30" t="s">
        <v>332</v>
      </c>
      <c r="D30" t="s">
        <v>815</v>
      </c>
    </row>
    <row r="31" spans="1:21">
      <c r="B31" t="s">
        <v>333</v>
      </c>
      <c r="D31" t="s">
        <v>816</v>
      </c>
    </row>
    <row r="32" spans="1:21">
      <c r="B32" t="s">
        <v>334</v>
      </c>
      <c r="D32" t="s">
        <v>817</v>
      </c>
    </row>
    <row r="33" spans="2:4">
      <c r="B33" t="s">
        <v>335</v>
      </c>
      <c r="D33" t="s">
        <v>818</v>
      </c>
    </row>
    <row r="34" spans="2:4">
      <c r="B34" t="s">
        <v>336</v>
      </c>
    </row>
    <row r="35" spans="2:4">
      <c r="B35" t="s">
        <v>337</v>
      </c>
    </row>
    <row r="36" spans="2:4">
      <c r="B36" t="s">
        <v>338</v>
      </c>
    </row>
    <row r="37" spans="2:4">
      <c r="B37" t="s">
        <v>339</v>
      </c>
    </row>
    <row r="38" spans="2:4">
      <c r="B38" t="s">
        <v>340</v>
      </c>
    </row>
    <row r="39" spans="2:4">
      <c r="B39" t="s">
        <v>341</v>
      </c>
    </row>
    <row r="40" spans="2:4">
      <c r="B40" t="s">
        <v>342</v>
      </c>
    </row>
    <row r="41" spans="2:4">
      <c r="B41" t="s">
        <v>343</v>
      </c>
    </row>
    <row r="42" spans="2:4">
      <c r="B42" t="s">
        <v>344</v>
      </c>
    </row>
    <row r="43" spans="2:4">
      <c r="B43" t="s">
        <v>345</v>
      </c>
    </row>
    <row r="44" spans="2:4">
      <c r="B44" t="s">
        <v>346</v>
      </c>
    </row>
    <row r="45" spans="2:4">
      <c r="B45" t="s">
        <v>347</v>
      </c>
    </row>
    <row r="46" spans="2:4">
      <c r="B46" t="s">
        <v>348</v>
      </c>
    </row>
    <row r="47" spans="2:4">
      <c r="B47" t="s">
        <v>349</v>
      </c>
    </row>
    <row r="48" spans="2:4">
      <c r="B48" t="s">
        <v>350</v>
      </c>
    </row>
    <row r="49" spans="2:2">
      <c r="B49" t="s">
        <v>351</v>
      </c>
    </row>
    <row r="50" spans="2:2">
      <c r="B50" t="s">
        <v>352</v>
      </c>
    </row>
    <row r="51" spans="2:2">
      <c r="B51" t="s">
        <v>353</v>
      </c>
    </row>
    <row r="52" spans="2:2">
      <c r="B52" t="s">
        <v>354</v>
      </c>
    </row>
    <row r="53" spans="2:2">
      <c r="B53" t="s">
        <v>355</v>
      </c>
    </row>
    <row r="54" spans="2:2">
      <c r="B54" t="s">
        <v>356</v>
      </c>
    </row>
    <row r="55" spans="2:2">
      <c r="B55" t="s">
        <v>357</v>
      </c>
    </row>
    <row r="56" spans="2:2">
      <c r="B56" t="s">
        <v>358</v>
      </c>
    </row>
    <row r="57" spans="2:2">
      <c r="B57" t="s">
        <v>359</v>
      </c>
    </row>
    <row r="58" spans="2:2">
      <c r="B58" t="s">
        <v>360</v>
      </c>
    </row>
    <row r="59" spans="2:2">
      <c r="B59" t="s">
        <v>361</v>
      </c>
    </row>
    <row r="60" spans="2:2">
      <c r="B60" t="s">
        <v>362</v>
      </c>
    </row>
    <row r="61" spans="2:2">
      <c r="B61" t="s">
        <v>363</v>
      </c>
    </row>
    <row r="62" spans="2:2">
      <c r="B62" t="s">
        <v>364</v>
      </c>
    </row>
    <row r="63" spans="2:2">
      <c r="B63" t="s">
        <v>365</v>
      </c>
    </row>
    <row r="64" spans="2:2">
      <c r="B64" t="s">
        <v>366</v>
      </c>
    </row>
    <row r="65" spans="2:2">
      <c r="B65" t="s">
        <v>367</v>
      </c>
    </row>
    <row r="66" spans="2:2">
      <c r="B66" t="s">
        <v>368</v>
      </c>
    </row>
    <row r="67" spans="2:2">
      <c r="B67" t="s">
        <v>369</v>
      </c>
    </row>
    <row r="68" spans="2:2">
      <c r="B68" t="s">
        <v>370</v>
      </c>
    </row>
    <row r="69" spans="2:2">
      <c r="B69" t="s">
        <v>371</v>
      </c>
    </row>
    <row r="70" spans="2:2">
      <c r="B70" t="s">
        <v>372</v>
      </c>
    </row>
    <row r="71" spans="2:2">
      <c r="B71" t="s">
        <v>373</v>
      </c>
    </row>
    <row r="72" spans="2:2">
      <c r="B72" t="s">
        <v>374</v>
      </c>
    </row>
    <row r="73" spans="2:2">
      <c r="B73" t="s">
        <v>375</v>
      </c>
    </row>
    <row r="74" spans="2:2">
      <c r="B74" t="s">
        <v>376</v>
      </c>
    </row>
    <row r="75" spans="2:2">
      <c r="B75" t="s">
        <v>377</v>
      </c>
    </row>
    <row r="76" spans="2:2">
      <c r="B76" t="s">
        <v>378</v>
      </c>
    </row>
    <row r="77" spans="2:2">
      <c r="B77" t="s">
        <v>379</v>
      </c>
    </row>
    <row r="78" spans="2:2">
      <c r="B78" t="s">
        <v>380</v>
      </c>
    </row>
    <row r="79" spans="2:2">
      <c r="B79" t="s">
        <v>381</v>
      </c>
    </row>
    <row r="80" spans="2:2">
      <c r="B80" t="s">
        <v>382</v>
      </c>
    </row>
    <row r="81" spans="2:2">
      <c r="B81" t="s">
        <v>383</v>
      </c>
    </row>
    <row r="82" spans="2:2">
      <c r="B82" t="s">
        <v>384</v>
      </c>
    </row>
    <row r="83" spans="2:2">
      <c r="B83" t="s">
        <v>385</v>
      </c>
    </row>
    <row r="84" spans="2:2">
      <c r="B84" t="s">
        <v>386</v>
      </c>
    </row>
    <row r="85" spans="2:2">
      <c r="B85" t="s">
        <v>387</v>
      </c>
    </row>
    <row r="86" spans="2:2">
      <c r="B86" t="s">
        <v>388</v>
      </c>
    </row>
    <row r="87" spans="2:2">
      <c r="B87" t="s">
        <v>389</v>
      </c>
    </row>
    <row r="88" spans="2:2">
      <c r="B88" t="s">
        <v>390</v>
      </c>
    </row>
    <row r="89" spans="2:2">
      <c r="B89" t="s">
        <v>391</v>
      </c>
    </row>
    <row r="90" spans="2:2">
      <c r="B90" t="s">
        <v>392</v>
      </c>
    </row>
    <row r="91" spans="2:2">
      <c r="B91" t="s">
        <v>393</v>
      </c>
    </row>
    <row r="92" spans="2:2">
      <c r="B92" t="s">
        <v>394</v>
      </c>
    </row>
    <row r="93" spans="2:2">
      <c r="B93" t="s">
        <v>395</v>
      </c>
    </row>
    <row r="94" spans="2:2">
      <c r="B94" t="s">
        <v>396</v>
      </c>
    </row>
    <row r="95" spans="2:2">
      <c r="B95" t="s">
        <v>397</v>
      </c>
    </row>
    <row r="96" spans="2:2">
      <c r="B96" t="s">
        <v>398</v>
      </c>
    </row>
    <row r="97" spans="2:2">
      <c r="B97" t="s">
        <v>399</v>
      </c>
    </row>
    <row r="98" spans="2:2">
      <c r="B98" t="s">
        <v>545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4.5"/>
  <cols>
    <col min="2" max="2" width="21.54296875" customWidth="1"/>
    <col min="4" max="4" width="10.453125" bestFit="1" customWidth="1"/>
    <col min="5" max="5" width="10.7265625" bestFit="1" customWidth="1"/>
  </cols>
  <sheetData>
    <row r="1" spans="1:7" ht="18.5">
      <c r="A1" s="30" t="s">
        <v>59</v>
      </c>
      <c r="B1" s="31"/>
      <c r="C1" s="31"/>
      <c r="D1" s="31"/>
    </row>
    <row r="2" spans="1:7">
      <c r="A2" s="2"/>
      <c r="B2" s="2"/>
      <c r="C2" s="2"/>
      <c r="D2" s="2"/>
      <c r="F2" s="4" t="s">
        <v>62</v>
      </c>
      <c r="G2" s="4" t="s">
        <v>63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234</v>
      </c>
      <c r="C8" s="1" t="s">
        <v>44</v>
      </c>
      <c r="D8" s="1" t="s">
        <v>60</v>
      </c>
      <c r="E8" s="1" t="s">
        <v>61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104"/>
  <sheetViews>
    <sheetView topLeftCell="A74" workbookViewId="0">
      <selection activeCell="F95" sqref="F95"/>
    </sheetView>
  </sheetViews>
  <sheetFormatPr defaultRowHeight="14.5"/>
  <cols>
    <col min="1" max="1" width="48.54296875" bestFit="1" customWidth="1"/>
    <col min="2" max="2" width="23.1796875" bestFit="1" customWidth="1"/>
    <col min="3" max="3" width="29.7265625" bestFit="1" customWidth="1"/>
    <col min="4" max="5" width="14.54296875" bestFit="1" customWidth="1"/>
    <col min="6" max="7" width="10" bestFit="1" customWidth="1"/>
    <col min="8" max="8" width="21.81640625" bestFit="1" customWidth="1"/>
    <col min="9" max="9" width="10" bestFit="1" customWidth="1"/>
    <col min="10" max="10" width="11.54296875" customWidth="1"/>
    <col min="11" max="11" width="10" bestFit="1" customWidth="1"/>
    <col min="12" max="12" width="14.81640625" customWidth="1"/>
    <col min="13" max="13" width="12" bestFit="1" customWidth="1"/>
    <col min="14" max="14" width="11" bestFit="1" customWidth="1"/>
    <col min="15" max="15" width="15.8164062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796875" bestFit="1" customWidth="1"/>
    <col min="26" max="130" width="6" bestFit="1" customWidth="1"/>
    <col min="131" max="144" width="7" bestFit="1" customWidth="1"/>
  </cols>
  <sheetData>
    <row r="1" spans="1:15" ht="21">
      <c r="A1" s="95" t="s">
        <v>64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75</v>
      </c>
      <c r="H9" s="485" t="s">
        <v>221</v>
      </c>
      <c r="I9" s="485"/>
      <c r="J9" s="485"/>
      <c r="L9" s="485" t="s">
        <v>224</v>
      </c>
      <c r="M9" s="485"/>
    </row>
    <row r="10" spans="1:1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H68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5" spans="1:25">
      <c r="A25" s="117">
        <v>15</v>
      </c>
      <c r="B25" s="118">
        <v>20</v>
      </c>
      <c r="C25" s="75">
        <f>A25*$L$3+$M$3</f>
        <v>2805.5555555555557</v>
      </c>
      <c r="D25" s="108">
        <v>18000</v>
      </c>
      <c r="E25" s="75">
        <f>IF(ISNUMBER(D25),D25*'Run - Duration'!C21,C25*'Run - Duration'!C21)</f>
        <v>191454.54545454547</v>
      </c>
    </row>
    <row r="26" spans="1:25">
      <c r="A26" s="117">
        <v>16</v>
      </c>
      <c r="B26" s="118">
        <v>20</v>
      </c>
      <c r="C26" s="75">
        <f>A26*$L$3+$M$3</f>
        <v>2891.666666666667</v>
      </c>
      <c r="D26" s="108">
        <v>22000</v>
      </c>
      <c r="E26" s="75">
        <f>IF(ISNUMBER(D26),D26*'Run - Duration'!C22,C26*'Run - Duration'!C22)</f>
        <v>234000</v>
      </c>
    </row>
    <row r="28" spans="1:25" ht="18.5">
      <c r="A28" s="96" t="s">
        <v>176</v>
      </c>
      <c r="B28" s="97"/>
      <c r="C28" s="97"/>
      <c r="D28" t="s">
        <v>227</v>
      </c>
    </row>
    <row r="29" spans="1:25">
      <c r="A29" s="1"/>
      <c r="B29" s="1"/>
      <c r="C29" s="82" t="s">
        <v>83</v>
      </c>
      <c r="D29" s="82" t="s">
        <v>226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>
      <c r="A30" s="1"/>
      <c r="B30" s="1"/>
      <c r="C30" s="92">
        <v>4000</v>
      </c>
      <c r="D30" s="21">
        <v>471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A31" s="1"/>
      <c r="B31" s="1"/>
      <c r="C31" s="98">
        <v>1.2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>
      <c r="A32" s="82" t="s">
        <v>78</v>
      </c>
      <c r="B32" s="82" t="s">
        <v>79</v>
      </c>
      <c r="C32" s="82" t="s">
        <v>80</v>
      </c>
      <c r="D32" s="82" t="s">
        <v>81</v>
      </c>
      <c r="E32" s="82" t="s">
        <v>82</v>
      </c>
      <c r="F32" s="82">
        <v>1</v>
      </c>
      <c r="G32" s="82">
        <v>2</v>
      </c>
      <c r="H32" s="82">
        <v>3</v>
      </c>
      <c r="I32" s="82">
        <v>4</v>
      </c>
      <c r="J32" s="82">
        <v>5</v>
      </c>
      <c r="K32" s="82">
        <v>6</v>
      </c>
      <c r="L32" s="82">
        <v>7</v>
      </c>
      <c r="M32" s="82">
        <v>8</v>
      </c>
      <c r="N32" s="82">
        <v>9</v>
      </c>
      <c r="O32" s="82">
        <v>10</v>
      </c>
      <c r="P32" s="82">
        <v>11</v>
      </c>
      <c r="Q32" s="82">
        <v>12</v>
      </c>
      <c r="R32" s="82">
        <v>13</v>
      </c>
      <c r="S32" s="82">
        <v>14</v>
      </c>
      <c r="T32" s="82">
        <v>15</v>
      </c>
      <c r="U32" s="82">
        <v>16</v>
      </c>
      <c r="V32" s="82">
        <v>17</v>
      </c>
      <c r="W32" s="82">
        <v>18</v>
      </c>
      <c r="X32" s="82">
        <v>19</v>
      </c>
      <c r="Y32" s="82">
        <v>20</v>
      </c>
    </row>
    <row r="33" spans="1:25">
      <c r="A33" s="21">
        <v>1</v>
      </c>
      <c r="B33" s="21">
        <v>0</v>
      </c>
      <c r="C33" s="21">
        <f>ROUND(IF(B33=0,0,$C$30*POWER(A33,$C$31)),0)</f>
        <v>0</v>
      </c>
      <c r="D33" s="21"/>
      <c r="E33" s="21"/>
      <c r="F33" s="1" t="b">
        <f>F$32&lt;=MAX($B33:$B34)</f>
        <v>1</v>
      </c>
      <c r="G33" s="1" t="b">
        <f t="shared" ref="G33:Y33" si="2">G$32&lt;=MAX($B33:$B34)</f>
        <v>1</v>
      </c>
      <c r="H33" s="1" t="b">
        <f t="shared" si="2"/>
        <v>1</v>
      </c>
      <c r="I33" s="1" t="b">
        <f t="shared" si="2"/>
        <v>1</v>
      </c>
      <c r="J33" s="1" t="b">
        <f t="shared" si="2"/>
        <v>1</v>
      </c>
      <c r="K33" s="1" t="b">
        <f t="shared" si="2"/>
        <v>1</v>
      </c>
      <c r="L33" s="1" t="b">
        <f t="shared" si="2"/>
        <v>1</v>
      </c>
      <c r="M33" s="1" t="b">
        <f t="shared" si="2"/>
        <v>0</v>
      </c>
      <c r="N33" s="1" t="b">
        <f t="shared" si="2"/>
        <v>0</v>
      </c>
      <c r="O33" s="1" t="b">
        <f t="shared" si="2"/>
        <v>0</v>
      </c>
      <c r="P33" s="1" t="b">
        <f t="shared" si="2"/>
        <v>0</v>
      </c>
      <c r="Q33" s="1" t="b">
        <f t="shared" si="2"/>
        <v>0</v>
      </c>
      <c r="R33" s="1" t="b">
        <f t="shared" si="2"/>
        <v>0</v>
      </c>
      <c r="S33" s="1" t="b">
        <f t="shared" si="2"/>
        <v>0</v>
      </c>
      <c r="T33" s="1" t="b">
        <f t="shared" si="2"/>
        <v>0</v>
      </c>
      <c r="U33" s="1" t="b">
        <f t="shared" si="2"/>
        <v>0</v>
      </c>
      <c r="V33" s="1" t="b">
        <f t="shared" si="2"/>
        <v>0</v>
      </c>
      <c r="W33" s="1" t="b">
        <f t="shared" si="2"/>
        <v>0</v>
      </c>
      <c r="X33" s="1" t="b">
        <f t="shared" si="2"/>
        <v>0</v>
      </c>
      <c r="Y33" s="1" t="b">
        <f t="shared" si="2"/>
        <v>0</v>
      </c>
    </row>
    <row r="34" spans="1:25">
      <c r="A34" s="83">
        <v>1</v>
      </c>
      <c r="B34" s="83">
        <v>7</v>
      </c>
      <c r="C34" s="83">
        <f>ROUND(IF(B34=0,0,$C$30*POWER(A34,$C$31)),0)</f>
        <v>4000</v>
      </c>
      <c r="D34" s="83">
        <f t="array" ref="D34:E34">LINEST(C33:C34,B33:B34,FALSE,FALSE)</f>
        <v>571.42857142857144</v>
      </c>
      <c r="E34" s="83">
        <v>0</v>
      </c>
      <c r="F34" s="34">
        <f>IF(F33,$D$34*F32+$E$34,"")</f>
        <v>571.42857142857144</v>
      </c>
      <c r="G34" s="34">
        <f t="shared" ref="G34:Y34" si="3">IF(G33,$D$34*G32+$E$34,"")</f>
        <v>1142.8571428571429</v>
      </c>
      <c r="H34" s="34">
        <f t="shared" si="3"/>
        <v>1714.2857142857142</v>
      </c>
      <c r="I34" s="34">
        <f t="shared" si="3"/>
        <v>2285.7142857142858</v>
      </c>
      <c r="J34" s="34">
        <f>IF(J33,$D$30*J32+$E$34,"")</f>
        <v>2355</v>
      </c>
      <c r="K34" s="34">
        <f>IF(K33,$D$30*K32+$E$34,"")</f>
        <v>2826</v>
      </c>
      <c r="L34" s="34">
        <f>IF(L33,$D$30*L32+$E$34,"")</f>
        <v>3297</v>
      </c>
      <c r="M34" s="34" t="str">
        <f t="shared" si="3"/>
        <v/>
      </c>
      <c r="N34" s="34" t="str">
        <f t="shared" si="3"/>
        <v/>
      </c>
      <c r="O34" s="34" t="str">
        <f t="shared" si="3"/>
        <v/>
      </c>
      <c r="P34" s="34" t="str">
        <f t="shared" si="3"/>
        <v/>
      </c>
      <c r="Q34" s="34" t="str">
        <f t="shared" si="3"/>
        <v/>
      </c>
      <c r="R34" s="34" t="str">
        <f t="shared" si="3"/>
        <v/>
      </c>
      <c r="S34" s="34" t="str">
        <f t="shared" si="3"/>
        <v/>
      </c>
      <c r="T34" s="34" t="str">
        <f t="shared" si="3"/>
        <v/>
      </c>
      <c r="U34" s="34" t="str">
        <f t="shared" si="3"/>
        <v/>
      </c>
      <c r="V34" s="34" t="str">
        <f t="shared" si="3"/>
        <v/>
      </c>
      <c r="W34" s="34" t="str">
        <f t="shared" si="3"/>
        <v/>
      </c>
      <c r="X34" s="34" t="str">
        <f t="shared" si="3"/>
        <v/>
      </c>
      <c r="Y34" s="34" t="str">
        <f t="shared" si="3"/>
        <v/>
      </c>
    </row>
    <row r="35" spans="1:25">
      <c r="A35" s="84">
        <v>2</v>
      </c>
      <c r="B35" s="84">
        <v>0</v>
      </c>
      <c r="C35" s="84">
        <f t="shared" ref="C35:C51" si="4">ROUND(IF(B35=0,0,$C$30*POWER(A35,$C$31)),0)</f>
        <v>0</v>
      </c>
      <c r="D35" s="84"/>
      <c r="E35" s="84"/>
      <c r="F35" s="1" t="b">
        <f>F$32&lt;=MAX($B35:$B36)</f>
        <v>1</v>
      </c>
      <c r="G35" s="1" t="b">
        <f t="shared" ref="G35:Y35" si="5">G$32&lt;=MAX($B35:$B36)</f>
        <v>1</v>
      </c>
      <c r="H35" s="1" t="b">
        <f t="shared" si="5"/>
        <v>1</v>
      </c>
      <c r="I35" s="1" t="b">
        <f t="shared" si="5"/>
        <v>1</v>
      </c>
      <c r="J35" s="1" t="b">
        <f t="shared" si="5"/>
        <v>1</v>
      </c>
      <c r="K35" s="1" t="b">
        <f t="shared" si="5"/>
        <v>1</v>
      </c>
      <c r="L35" s="1" t="b">
        <f t="shared" si="5"/>
        <v>1</v>
      </c>
      <c r="M35" s="1" t="b">
        <f t="shared" si="5"/>
        <v>1</v>
      </c>
      <c r="N35" s="1" t="b">
        <f t="shared" si="5"/>
        <v>1</v>
      </c>
      <c r="O35" s="1" t="b">
        <f t="shared" si="5"/>
        <v>0</v>
      </c>
      <c r="P35" s="1" t="b">
        <f t="shared" si="5"/>
        <v>0</v>
      </c>
      <c r="Q35" s="1" t="b">
        <f t="shared" si="5"/>
        <v>0</v>
      </c>
      <c r="R35" s="1" t="b">
        <f t="shared" si="5"/>
        <v>0</v>
      </c>
      <c r="S35" s="1" t="b">
        <f t="shared" si="5"/>
        <v>0</v>
      </c>
      <c r="T35" s="1" t="b">
        <f t="shared" si="5"/>
        <v>0</v>
      </c>
      <c r="U35" s="1" t="b">
        <f t="shared" si="5"/>
        <v>0</v>
      </c>
      <c r="V35" s="1" t="b">
        <f t="shared" si="5"/>
        <v>0</v>
      </c>
      <c r="W35" s="1" t="b">
        <f t="shared" si="5"/>
        <v>0</v>
      </c>
      <c r="X35" s="1" t="b">
        <f t="shared" si="5"/>
        <v>0</v>
      </c>
      <c r="Y35" s="1" t="b">
        <f t="shared" si="5"/>
        <v>0</v>
      </c>
    </row>
    <row r="36" spans="1:25">
      <c r="A36" s="85">
        <v>2</v>
      </c>
      <c r="B36" s="85">
        <v>9</v>
      </c>
      <c r="C36" s="85">
        <f t="shared" si="4"/>
        <v>9190</v>
      </c>
      <c r="D36" s="85">
        <f t="array" ref="D36:E36">LINEST(C35:C36,B35:B36,FALSE,FALSE)</f>
        <v>1021.1111111111111</v>
      </c>
      <c r="E36" s="85">
        <v>0</v>
      </c>
      <c r="F36" s="34">
        <f>IF(F35,$D$36*F32+$E$36,"")</f>
        <v>1021.1111111111111</v>
      </c>
      <c r="G36" s="34">
        <f>IF(G35,$D$36*G32+$E$36,"")</f>
        <v>2042.2222222222222</v>
      </c>
      <c r="H36" s="34">
        <f t="shared" ref="H36:Y36" si="6">IF(H35,$D$36*H32+$E$36,"")</f>
        <v>3063.333333333333</v>
      </c>
      <c r="I36" s="34">
        <f t="shared" si="6"/>
        <v>4084.4444444444443</v>
      </c>
      <c r="J36" s="34">
        <f t="shared" si="6"/>
        <v>5105.5555555555557</v>
      </c>
      <c r="K36" s="34">
        <f t="shared" si="6"/>
        <v>6126.6666666666661</v>
      </c>
      <c r="L36" s="34">
        <f t="shared" si="6"/>
        <v>7147.7777777777774</v>
      </c>
      <c r="M36" s="34">
        <f t="shared" si="6"/>
        <v>8168.8888888888887</v>
      </c>
      <c r="N36" s="34">
        <f t="shared" si="6"/>
        <v>9190</v>
      </c>
      <c r="O36" s="34" t="str">
        <f t="shared" si="6"/>
        <v/>
      </c>
      <c r="P36" s="34" t="str">
        <f t="shared" si="6"/>
        <v/>
      </c>
      <c r="Q36" s="34" t="str">
        <f t="shared" si="6"/>
        <v/>
      </c>
      <c r="R36" s="34" t="str">
        <f t="shared" si="6"/>
        <v/>
      </c>
      <c r="S36" s="34" t="str">
        <f t="shared" si="6"/>
        <v/>
      </c>
      <c r="T36" s="34" t="str">
        <f t="shared" si="6"/>
        <v/>
      </c>
      <c r="U36" s="34" t="str">
        <f t="shared" si="6"/>
        <v/>
      </c>
      <c r="V36" s="34" t="str">
        <f t="shared" si="6"/>
        <v/>
      </c>
      <c r="W36" s="34" t="str">
        <f t="shared" si="6"/>
        <v/>
      </c>
      <c r="X36" s="34" t="str">
        <f t="shared" si="6"/>
        <v/>
      </c>
      <c r="Y36" s="34" t="str">
        <f t="shared" si="6"/>
        <v/>
      </c>
    </row>
    <row r="37" spans="1:25">
      <c r="A37" s="84">
        <v>3</v>
      </c>
      <c r="B37" s="84">
        <v>0</v>
      </c>
      <c r="C37" s="84">
        <f t="shared" si="4"/>
        <v>0</v>
      </c>
      <c r="D37" s="84"/>
      <c r="E37" s="84"/>
      <c r="F37" s="1" t="b">
        <f>F$32&lt;=MAX($B37:$B38)</f>
        <v>1</v>
      </c>
      <c r="G37" s="1" t="b">
        <f t="shared" ref="G37:Y37" si="7">G$32&lt;=MAX($B37:$B38)</f>
        <v>1</v>
      </c>
      <c r="H37" s="1" t="b">
        <f t="shared" si="7"/>
        <v>1</v>
      </c>
      <c r="I37" s="1" t="b">
        <f t="shared" si="7"/>
        <v>1</v>
      </c>
      <c r="J37" s="1" t="b">
        <f t="shared" si="7"/>
        <v>1</v>
      </c>
      <c r="K37" s="1" t="b">
        <f t="shared" si="7"/>
        <v>1</v>
      </c>
      <c r="L37" s="1" t="b">
        <f t="shared" si="7"/>
        <v>1</v>
      </c>
      <c r="M37" s="1" t="b">
        <f t="shared" si="7"/>
        <v>1</v>
      </c>
      <c r="N37" s="1" t="b">
        <f t="shared" si="7"/>
        <v>1</v>
      </c>
      <c r="O37" s="1" t="b">
        <f t="shared" si="7"/>
        <v>0</v>
      </c>
      <c r="P37" s="1" t="b">
        <f t="shared" si="7"/>
        <v>0</v>
      </c>
      <c r="Q37" s="1" t="b">
        <f t="shared" si="7"/>
        <v>0</v>
      </c>
      <c r="R37" s="1" t="b">
        <f t="shared" si="7"/>
        <v>0</v>
      </c>
      <c r="S37" s="1" t="b">
        <f t="shared" si="7"/>
        <v>0</v>
      </c>
      <c r="T37" s="1" t="b">
        <f t="shared" si="7"/>
        <v>0</v>
      </c>
      <c r="U37" s="1" t="b">
        <f t="shared" si="7"/>
        <v>0</v>
      </c>
      <c r="V37" s="1" t="b">
        <f t="shared" si="7"/>
        <v>0</v>
      </c>
      <c r="W37" s="1" t="b">
        <f t="shared" si="7"/>
        <v>0</v>
      </c>
      <c r="X37" s="1" t="b">
        <f t="shared" si="7"/>
        <v>0</v>
      </c>
      <c r="Y37" s="1" t="b">
        <f t="shared" si="7"/>
        <v>0</v>
      </c>
    </row>
    <row r="38" spans="1:25">
      <c r="A38" s="85">
        <v>3</v>
      </c>
      <c r="B38" s="85">
        <v>9</v>
      </c>
      <c r="C38" s="85">
        <f t="shared" si="4"/>
        <v>14949</v>
      </c>
      <c r="D38" s="85">
        <f t="array" ref="D38:E38">LINEST(C37:C38,B37:B38,FALSE,FALSE)</f>
        <v>1661</v>
      </c>
      <c r="E38" s="85">
        <v>0</v>
      </c>
      <c r="F38" s="34">
        <f>IF(F37,$D$38*F32+$E$38,"")</f>
        <v>1661</v>
      </c>
      <c r="G38" s="34">
        <f t="shared" ref="G38:Y38" si="8">IF(G37,$D$38*G32+$E$38,"")</f>
        <v>3322</v>
      </c>
      <c r="H38" s="34">
        <f t="shared" si="8"/>
        <v>4983</v>
      </c>
      <c r="I38" s="34">
        <f t="shared" si="8"/>
        <v>6644</v>
      </c>
      <c r="J38" s="34">
        <f t="shared" si="8"/>
        <v>8305</v>
      </c>
      <c r="K38" s="34">
        <f t="shared" si="8"/>
        <v>9966</v>
      </c>
      <c r="L38" s="34">
        <f t="shared" si="8"/>
        <v>11627</v>
      </c>
      <c r="M38" s="34">
        <f t="shared" si="8"/>
        <v>13288</v>
      </c>
      <c r="N38" s="34">
        <f t="shared" si="8"/>
        <v>14949</v>
      </c>
      <c r="O38" s="34" t="str">
        <f t="shared" si="8"/>
        <v/>
      </c>
      <c r="P38" s="34" t="str">
        <f t="shared" si="8"/>
        <v/>
      </c>
      <c r="Q38" s="34" t="str">
        <f t="shared" si="8"/>
        <v/>
      </c>
      <c r="R38" s="34" t="str">
        <f t="shared" si="8"/>
        <v/>
      </c>
      <c r="S38" s="34" t="str">
        <f t="shared" si="8"/>
        <v/>
      </c>
      <c r="T38" s="34" t="str">
        <f t="shared" si="8"/>
        <v/>
      </c>
      <c r="U38" s="34" t="str">
        <f t="shared" si="8"/>
        <v/>
      </c>
      <c r="V38" s="34" t="str">
        <f t="shared" si="8"/>
        <v/>
      </c>
      <c r="W38" s="34" t="str">
        <f t="shared" si="8"/>
        <v/>
      </c>
      <c r="X38" s="34" t="str">
        <f t="shared" si="8"/>
        <v/>
      </c>
      <c r="Y38" s="34" t="str">
        <f t="shared" si="8"/>
        <v/>
      </c>
    </row>
    <row r="39" spans="1:25">
      <c r="A39" s="86">
        <v>4</v>
      </c>
      <c r="B39" s="86">
        <v>0</v>
      </c>
      <c r="C39" s="86">
        <f t="shared" si="4"/>
        <v>0</v>
      </c>
      <c r="D39" s="86"/>
      <c r="E39" s="86"/>
      <c r="F39" s="1" t="b">
        <f>F$32&lt;=MAX($B39:$B40)</f>
        <v>1</v>
      </c>
      <c r="G39" s="1" t="b">
        <f t="shared" ref="G39:Y39" si="9">G$32&lt;=MAX($B39:$B40)</f>
        <v>1</v>
      </c>
      <c r="H39" s="1" t="b">
        <f t="shared" si="9"/>
        <v>1</v>
      </c>
      <c r="I39" s="1" t="b">
        <f t="shared" si="9"/>
        <v>1</v>
      </c>
      <c r="J39" s="1" t="b">
        <f t="shared" si="9"/>
        <v>1</v>
      </c>
      <c r="K39" s="1" t="b">
        <f t="shared" si="9"/>
        <v>1</v>
      </c>
      <c r="L39" s="1" t="b">
        <f t="shared" si="9"/>
        <v>1</v>
      </c>
      <c r="M39" s="1" t="b">
        <f t="shared" si="9"/>
        <v>1</v>
      </c>
      <c r="N39" s="1" t="b">
        <f t="shared" si="9"/>
        <v>1</v>
      </c>
      <c r="O39" s="1" t="b">
        <f t="shared" si="9"/>
        <v>0</v>
      </c>
      <c r="P39" s="1" t="b">
        <f t="shared" si="9"/>
        <v>0</v>
      </c>
      <c r="Q39" s="1" t="b">
        <f t="shared" si="9"/>
        <v>0</v>
      </c>
      <c r="R39" s="1" t="b">
        <f t="shared" si="9"/>
        <v>0</v>
      </c>
      <c r="S39" s="1" t="b">
        <f t="shared" si="9"/>
        <v>0</v>
      </c>
      <c r="T39" s="1" t="b">
        <f t="shared" si="9"/>
        <v>0</v>
      </c>
      <c r="U39" s="1" t="b">
        <f t="shared" si="9"/>
        <v>0</v>
      </c>
      <c r="V39" s="1" t="b">
        <f t="shared" si="9"/>
        <v>0</v>
      </c>
      <c r="W39" s="1" t="b">
        <f t="shared" si="9"/>
        <v>0</v>
      </c>
      <c r="X39" s="1" t="b">
        <f t="shared" si="9"/>
        <v>0</v>
      </c>
      <c r="Y39" s="1" t="b">
        <f t="shared" si="9"/>
        <v>0</v>
      </c>
    </row>
    <row r="40" spans="1:25">
      <c r="A40" s="87">
        <v>4</v>
      </c>
      <c r="B40" s="87">
        <v>9</v>
      </c>
      <c r="C40" s="87">
        <f t="shared" si="4"/>
        <v>21112</v>
      </c>
      <c r="D40" s="87">
        <f t="array" ref="D40:E40">LINEST(C39:C40,B39:B40,FALSE,FALSE)</f>
        <v>2345.7777777777778</v>
      </c>
      <c r="E40" s="87">
        <v>0</v>
      </c>
      <c r="F40" s="34">
        <f>IF(F39,$D$40*F32+$E$40,"")</f>
        <v>2345.7777777777778</v>
      </c>
      <c r="G40" s="34">
        <f t="shared" ref="G40:Y40" si="10">IF(G39,$D$40*G32+$E$40,"")</f>
        <v>4691.5555555555557</v>
      </c>
      <c r="H40" s="34">
        <f t="shared" si="10"/>
        <v>7037.3333333333339</v>
      </c>
      <c r="I40" s="34">
        <f t="shared" si="10"/>
        <v>9383.1111111111113</v>
      </c>
      <c r="J40" s="34">
        <f t="shared" si="10"/>
        <v>11728.888888888889</v>
      </c>
      <c r="K40" s="34">
        <f t="shared" si="10"/>
        <v>14074.666666666668</v>
      </c>
      <c r="L40" s="34">
        <f t="shared" si="10"/>
        <v>16420.444444444445</v>
      </c>
      <c r="M40" s="34">
        <f t="shared" si="10"/>
        <v>18766.222222222223</v>
      </c>
      <c r="N40" s="34">
        <f t="shared" si="10"/>
        <v>21112</v>
      </c>
      <c r="O40" s="34" t="str">
        <f t="shared" si="10"/>
        <v/>
      </c>
      <c r="P40" s="34" t="str">
        <f t="shared" si="10"/>
        <v/>
      </c>
      <c r="Q40" s="34" t="str">
        <f t="shared" si="10"/>
        <v/>
      </c>
      <c r="R40" s="34" t="str">
        <f t="shared" si="10"/>
        <v/>
      </c>
      <c r="S40" s="34" t="str">
        <f t="shared" si="10"/>
        <v/>
      </c>
      <c r="T40" s="34" t="str">
        <f t="shared" si="10"/>
        <v/>
      </c>
      <c r="U40" s="34" t="str">
        <f t="shared" si="10"/>
        <v/>
      </c>
      <c r="V40" s="34" t="str">
        <f t="shared" si="10"/>
        <v/>
      </c>
      <c r="W40" s="34" t="str">
        <f t="shared" si="10"/>
        <v/>
      </c>
      <c r="X40" s="34" t="str">
        <f t="shared" si="10"/>
        <v/>
      </c>
      <c r="Y40" s="34" t="str">
        <f t="shared" si="10"/>
        <v/>
      </c>
    </row>
    <row r="41" spans="1:25">
      <c r="A41" s="86">
        <v>5</v>
      </c>
      <c r="B41" s="86">
        <v>0</v>
      </c>
      <c r="C41" s="86">
        <f t="shared" si="4"/>
        <v>0</v>
      </c>
      <c r="D41" s="86"/>
      <c r="E41" s="86"/>
      <c r="F41" s="1" t="b">
        <f>F$32&lt;=MAX($B41:$B42)</f>
        <v>1</v>
      </c>
      <c r="G41" s="1" t="b">
        <f t="shared" ref="G41:Y41" si="11">G$32&lt;=MAX($B41:$B42)</f>
        <v>1</v>
      </c>
      <c r="H41" s="1" t="b">
        <f t="shared" si="11"/>
        <v>1</v>
      </c>
      <c r="I41" s="1" t="b">
        <f t="shared" si="11"/>
        <v>1</v>
      </c>
      <c r="J41" s="1" t="b">
        <f t="shared" si="11"/>
        <v>1</v>
      </c>
      <c r="K41" s="1" t="b">
        <f t="shared" si="11"/>
        <v>1</v>
      </c>
      <c r="L41" s="1" t="b">
        <f t="shared" si="11"/>
        <v>1</v>
      </c>
      <c r="M41" s="1" t="b">
        <f t="shared" si="11"/>
        <v>1</v>
      </c>
      <c r="N41" s="1" t="b">
        <f t="shared" si="11"/>
        <v>1</v>
      </c>
      <c r="O41" s="1" t="b">
        <f t="shared" si="11"/>
        <v>1</v>
      </c>
      <c r="P41" s="1" t="b">
        <f t="shared" si="11"/>
        <v>1</v>
      </c>
      <c r="Q41" s="1" t="b">
        <f t="shared" si="11"/>
        <v>1</v>
      </c>
      <c r="R41" s="1" t="b">
        <f t="shared" si="11"/>
        <v>1</v>
      </c>
      <c r="S41" s="1" t="b">
        <f t="shared" si="11"/>
        <v>1</v>
      </c>
      <c r="T41" s="1" t="b">
        <f t="shared" si="11"/>
        <v>0</v>
      </c>
      <c r="U41" s="1" t="b">
        <f t="shared" si="11"/>
        <v>0</v>
      </c>
      <c r="V41" s="1" t="b">
        <f t="shared" si="11"/>
        <v>0</v>
      </c>
      <c r="W41" s="1" t="b">
        <f t="shared" si="11"/>
        <v>0</v>
      </c>
      <c r="X41" s="1" t="b">
        <f t="shared" si="11"/>
        <v>0</v>
      </c>
      <c r="Y41" s="1" t="b">
        <f t="shared" si="11"/>
        <v>0</v>
      </c>
    </row>
    <row r="42" spans="1:25">
      <c r="A42" s="87">
        <v>5</v>
      </c>
      <c r="B42" s="87">
        <v>14</v>
      </c>
      <c r="C42" s="87">
        <f t="shared" si="4"/>
        <v>27595</v>
      </c>
      <c r="D42" s="87">
        <f t="array" ref="D42:E42">LINEST(C41:C42,B41:B42,TRUE,FALSE)</f>
        <v>1971.0714285714287</v>
      </c>
      <c r="E42" s="87">
        <v>0</v>
      </c>
      <c r="F42" s="34">
        <f>IF(F41,$D$42*F32+$E$42,"")</f>
        <v>1971.0714285714287</v>
      </c>
      <c r="G42" s="34">
        <f t="shared" ref="G42:Y42" si="12">IF(G41,$D$42*G32+$E$42,"")</f>
        <v>3942.1428571428573</v>
      </c>
      <c r="H42" s="34">
        <f t="shared" si="12"/>
        <v>5913.2142857142862</v>
      </c>
      <c r="I42" s="34">
        <f t="shared" si="12"/>
        <v>7884.2857142857147</v>
      </c>
      <c r="J42" s="34">
        <f t="shared" si="12"/>
        <v>9855.3571428571431</v>
      </c>
      <c r="K42" s="34">
        <f t="shared" si="12"/>
        <v>11826.428571428572</v>
      </c>
      <c r="L42" s="34">
        <f t="shared" si="12"/>
        <v>13797.5</v>
      </c>
      <c r="M42" s="34">
        <f t="shared" si="12"/>
        <v>15768.571428571429</v>
      </c>
      <c r="N42" s="34">
        <f t="shared" si="12"/>
        <v>17739.642857142859</v>
      </c>
      <c r="O42" s="34">
        <f t="shared" si="12"/>
        <v>19710.714285714286</v>
      </c>
      <c r="P42" s="34">
        <f t="shared" si="12"/>
        <v>21681.785714285714</v>
      </c>
      <c r="Q42" s="34">
        <f t="shared" si="12"/>
        <v>23652.857142857145</v>
      </c>
      <c r="R42" s="34">
        <f t="shared" si="12"/>
        <v>25623.928571428572</v>
      </c>
      <c r="S42" s="34">
        <f t="shared" si="12"/>
        <v>27595</v>
      </c>
      <c r="T42" s="34" t="str">
        <f t="shared" si="12"/>
        <v/>
      </c>
      <c r="U42" s="34" t="str">
        <f t="shared" si="12"/>
        <v/>
      </c>
      <c r="V42" s="34" t="str">
        <f t="shared" si="12"/>
        <v/>
      </c>
      <c r="W42" s="34" t="str">
        <f t="shared" si="12"/>
        <v/>
      </c>
      <c r="X42" s="34" t="str">
        <f t="shared" si="12"/>
        <v/>
      </c>
      <c r="Y42" s="34" t="str">
        <f t="shared" si="12"/>
        <v/>
      </c>
    </row>
    <row r="43" spans="1:25">
      <c r="A43" s="86">
        <v>6</v>
      </c>
      <c r="B43" s="86">
        <v>0</v>
      </c>
      <c r="C43" s="86">
        <f t="shared" si="4"/>
        <v>0</v>
      </c>
      <c r="D43" s="86"/>
      <c r="E43" s="86"/>
      <c r="F43" s="1" t="b">
        <f>F$32&lt;=MAX($B43:$B44)</f>
        <v>1</v>
      </c>
      <c r="G43" s="1" t="b">
        <f t="shared" ref="G43:Y43" si="13">G$32&lt;=MAX($B43:$B44)</f>
        <v>1</v>
      </c>
      <c r="H43" s="1" t="b">
        <f t="shared" si="13"/>
        <v>1</v>
      </c>
      <c r="I43" s="1" t="b">
        <f t="shared" si="13"/>
        <v>1</v>
      </c>
      <c r="J43" s="1" t="b">
        <f t="shared" si="13"/>
        <v>1</v>
      </c>
      <c r="K43" s="1" t="b">
        <f t="shared" si="13"/>
        <v>1</v>
      </c>
      <c r="L43" s="1" t="b">
        <f t="shared" si="13"/>
        <v>1</v>
      </c>
      <c r="M43" s="1" t="b">
        <f t="shared" si="13"/>
        <v>1</v>
      </c>
      <c r="N43" s="1" t="b">
        <f t="shared" si="13"/>
        <v>1</v>
      </c>
      <c r="O43" s="1" t="b">
        <f t="shared" si="13"/>
        <v>1</v>
      </c>
      <c r="P43" s="1" t="b">
        <f t="shared" si="13"/>
        <v>1</v>
      </c>
      <c r="Q43" s="1" t="b">
        <f t="shared" si="13"/>
        <v>1</v>
      </c>
      <c r="R43" s="1" t="b">
        <f t="shared" si="13"/>
        <v>1</v>
      </c>
      <c r="S43" s="1" t="b">
        <f t="shared" si="13"/>
        <v>1</v>
      </c>
      <c r="T43" s="1" t="b">
        <f t="shared" si="13"/>
        <v>0</v>
      </c>
      <c r="U43" s="1" t="b">
        <f t="shared" si="13"/>
        <v>0</v>
      </c>
      <c r="V43" s="1" t="b">
        <f t="shared" si="13"/>
        <v>0</v>
      </c>
      <c r="W43" s="1" t="b">
        <f t="shared" si="13"/>
        <v>0</v>
      </c>
      <c r="X43" s="1" t="b">
        <f t="shared" si="13"/>
        <v>0</v>
      </c>
      <c r="Y43" s="1" t="b">
        <f t="shared" si="13"/>
        <v>0</v>
      </c>
    </row>
    <row r="44" spans="1:25">
      <c r="A44" s="87">
        <v>6</v>
      </c>
      <c r="B44" s="87">
        <v>14</v>
      </c>
      <c r="C44" s="87">
        <f t="shared" si="4"/>
        <v>34343</v>
      </c>
      <c r="D44" s="87">
        <f t="array" ref="D44:E44">LINEST(C43:C44,B43:B44,TRUE,FALSE)</f>
        <v>2453.0714285714284</v>
      </c>
      <c r="E44" s="87">
        <v>0</v>
      </c>
      <c r="F44" s="34">
        <f>IF(F43,$D$44*F32+$E$44,"")</f>
        <v>2453.0714285714284</v>
      </c>
      <c r="G44" s="34">
        <f t="shared" ref="G44:Y44" si="14">IF(G43,$D$44*G32+$E$44,"")</f>
        <v>4906.1428571428569</v>
      </c>
      <c r="H44" s="34">
        <f t="shared" si="14"/>
        <v>7359.2142857142853</v>
      </c>
      <c r="I44" s="34">
        <f t="shared" si="14"/>
        <v>9812.2857142857138</v>
      </c>
      <c r="J44" s="34">
        <f t="shared" si="14"/>
        <v>12265.357142857141</v>
      </c>
      <c r="K44" s="34">
        <f t="shared" si="14"/>
        <v>14718.428571428571</v>
      </c>
      <c r="L44" s="34">
        <f t="shared" si="14"/>
        <v>17171.5</v>
      </c>
      <c r="M44" s="34">
        <f t="shared" si="14"/>
        <v>19624.571428571428</v>
      </c>
      <c r="N44" s="34">
        <f t="shared" si="14"/>
        <v>22077.642857142855</v>
      </c>
      <c r="O44" s="34">
        <f t="shared" si="14"/>
        <v>24530.714285714283</v>
      </c>
      <c r="P44" s="34">
        <f t="shared" si="14"/>
        <v>26983.785714285714</v>
      </c>
      <c r="Q44" s="34">
        <f t="shared" si="14"/>
        <v>29436.857142857141</v>
      </c>
      <c r="R44" s="34">
        <f t="shared" si="14"/>
        <v>31889.928571428569</v>
      </c>
      <c r="S44" s="34">
        <f t="shared" si="14"/>
        <v>34343</v>
      </c>
      <c r="T44" s="34" t="str">
        <f t="shared" si="14"/>
        <v/>
      </c>
      <c r="U44" s="34" t="str">
        <f t="shared" si="14"/>
        <v/>
      </c>
      <c r="V44" s="34" t="str">
        <f t="shared" si="14"/>
        <v/>
      </c>
      <c r="W44" s="34" t="str">
        <f t="shared" si="14"/>
        <v/>
      </c>
      <c r="X44" s="34" t="str">
        <f t="shared" si="14"/>
        <v/>
      </c>
      <c r="Y44" s="34" t="str">
        <f t="shared" si="14"/>
        <v/>
      </c>
    </row>
    <row r="45" spans="1:25">
      <c r="A45" s="88">
        <v>7</v>
      </c>
      <c r="B45" s="88">
        <v>0</v>
      </c>
      <c r="C45" s="88">
        <f t="shared" si="4"/>
        <v>0</v>
      </c>
      <c r="D45" s="88"/>
      <c r="E45" s="88"/>
      <c r="F45" s="1" t="b">
        <f>F$32&lt;=MAX($B45:$B46)</f>
        <v>1</v>
      </c>
      <c r="G45" s="1" t="b">
        <f t="shared" ref="G45:Y45" si="15">G$32&lt;=MAX($B45:$B46)</f>
        <v>1</v>
      </c>
      <c r="H45" s="1" t="b">
        <f t="shared" si="15"/>
        <v>1</v>
      </c>
      <c r="I45" s="1" t="b">
        <f t="shared" si="15"/>
        <v>1</v>
      </c>
      <c r="J45" s="1" t="b">
        <f t="shared" si="15"/>
        <v>1</v>
      </c>
      <c r="K45" s="1" t="b">
        <f t="shared" si="15"/>
        <v>1</v>
      </c>
      <c r="L45" s="1" t="b">
        <f t="shared" si="15"/>
        <v>1</v>
      </c>
      <c r="M45" s="1" t="b">
        <f t="shared" si="15"/>
        <v>1</v>
      </c>
      <c r="N45" s="1" t="b">
        <f t="shared" si="15"/>
        <v>1</v>
      </c>
      <c r="O45" s="1" t="b">
        <f t="shared" si="15"/>
        <v>1</v>
      </c>
      <c r="P45" s="1" t="b">
        <f t="shared" si="15"/>
        <v>1</v>
      </c>
      <c r="Q45" s="1" t="b">
        <f t="shared" si="15"/>
        <v>1</v>
      </c>
      <c r="R45" s="1" t="b">
        <f t="shared" si="15"/>
        <v>1</v>
      </c>
      <c r="S45" s="1" t="b">
        <f t="shared" si="15"/>
        <v>1</v>
      </c>
      <c r="T45" s="1" t="b">
        <f t="shared" si="15"/>
        <v>0</v>
      </c>
      <c r="U45" s="1" t="b">
        <f t="shared" si="15"/>
        <v>0</v>
      </c>
      <c r="V45" s="1" t="b">
        <f t="shared" si="15"/>
        <v>0</v>
      </c>
      <c r="W45" s="1" t="b">
        <f t="shared" si="15"/>
        <v>0</v>
      </c>
      <c r="X45" s="1" t="b">
        <f t="shared" si="15"/>
        <v>0</v>
      </c>
      <c r="Y45" s="1" t="b">
        <f t="shared" si="15"/>
        <v>0</v>
      </c>
    </row>
    <row r="46" spans="1:25">
      <c r="A46" s="89">
        <v>7</v>
      </c>
      <c r="B46" s="89">
        <v>14</v>
      </c>
      <c r="C46" s="89">
        <f t="shared" si="4"/>
        <v>41322</v>
      </c>
      <c r="D46" s="89">
        <f t="array" ref="D46:E46">LINEST(C45:C46,B45:B46,TRUE,FALSE)</f>
        <v>2951.5714285714275</v>
      </c>
      <c r="E46" s="89">
        <v>7.2759576141834259E-12</v>
      </c>
      <c r="F46" s="34">
        <f>IF(F45,$D$46*F32+$E$46,"")</f>
        <v>2951.5714285714348</v>
      </c>
      <c r="G46" s="34">
        <f t="shared" ref="G46:Y46" si="16">IF(G45,$D$46*G32+$E$46,"")</f>
        <v>5903.1428571428623</v>
      </c>
      <c r="H46" s="34">
        <f t="shared" si="16"/>
        <v>8854.7142857142899</v>
      </c>
      <c r="I46" s="34">
        <f t="shared" si="16"/>
        <v>11806.285714285717</v>
      </c>
      <c r="J46" s="34">
        <f t="shared" si="16"/>
        <v>14757.857142857145</v>
      </c>
      <c r="K46" s="34">
        <f t="shared" si="16"/>
        <v>17709.428571428572</v>
      </c>
      <c r="L46" s="34">
        <f t="shared" si="16"/>
        <v>20661</v>
      </c>
      <c r="M46" s="34">
        <f t="shared" si="16"/>
        <v>23612.571428571428</v>
      </c>
      <c r="N46" s="34">
        <f t="shared" si="16"/>
        <v>26564.142857142855</v>
      </c>
      <c r="O46" s="34">
        <f t="shared" si="16"/>
        <v>29515.714285714283</v>
      </c>
      <c r="P46" s="34">
        <f t="shared" si="16"/>
        <v>32467.28571428571</v>
      </c>
      <c r="Q46" s="34">
        <f t="shared" si="16"/>
        <v>35418.857142857138</v>
      </c>
      <c r="R46" s="34">
        <f t="shared" si="16"/>
        <v>38370.428571428565</v>
      </c>
      <c r="S46" s="34">
        <f t="shared" si="16"/>
        <v>41321.999999999993</v>
      </c>
      <c r="T46" s="34" t="str">
        <f t="shared" si="16"/>
        <v/>
      </c>
      <c r="U46" s="34" t="str">
        <f t="shared" si="16"/>
        <v/>
      </c>
      <c r="V46" s="34" t="str">
        <f t="shared" si="16"/>
        <v/>
      </c>
      <c r="W46" s="34" t="str">
        <f t="shared" si="16"/>
        <v/>
      </c>
      <c r="X46" s="34" t="str">
        <f t="shared" si="16"/>
        <v/>
      </c>
      <c r="Y46" s="34" t="str">
        <f t="shared" si="16"/>
        <v/>
      </c>
    </row>
    <row r="47" spans="1:25">
      <c r="A47" s="88">
        <v>8</v>
      </c>
      <c r="B47" s="88">
        <v>0</v>
      </c>
      <c r="C47" s="88">
        <f t="shared" si="4"/>
        <v>0</v>
      </c>
      <c r="D47" s="88"/>
      <c r="E47" s="88"/>
      <c r="F47" s="1" t="b">
        <f>F$32&lt;=MAX($B47:$B48)</f>
        <v>1</v>
      </c>
      <c r="G47" s="1" t="b">
        <f t="shared" ref="G47:Y47" si="17">G$32&lt;=MAX($B47:$B48)</f>
        <v>1</v>
      </c>
      <c r="H47" s="1" t="b">
        <f t="shared" si="17"/>
        <v>1</v>
      </c>
      <c r="I47" s="1" t="b">
        <f t="shared" si="17"/>
        <v>1</v>
      </c>
      <c r="J47" s="1" t="b">
        <f t="shared" si="17"/>
        <v>1</v>
      </c>
      <c r="K47" s="1" t="b">
        <f t="shared" si="17"/>
        <v>1</v>
      </c>
      <c r="L47" s="1" t="b">
        <f t="shared" si="17"/>
        <v>1</v>
      </c>
      <c r="M47" s="1" t="b">
        <f t="shared" si="17"/>
        <v>1</v>
      </c>
      <c r="N47" s="1" t="b">
        <f t="shared" si="17"/>
        <v>1</v>
      </c>
      <c r="O47" s="1" t="b">
        <f t="shared" si="17"/>
        <v>1</v>
      </c>
      <c r="P47" s="1" t="b">
        <f t="shared" si="17"/>
        <v>1</v>
      </c>
      <c r="Q47" s="1" t="b">
        <f t="shared" si="17"/>
        <v>1</v>
      </c>
      <c r="R47" s="1" t="b">
        <f t="shared" si="17"/>
        <v>1</v>
      </c>
      <c r="S47" s="1" t="b">
        <f t="shared" si="17"/>
        <v>1</v>
      </c>
      <c r="T47" s="1" t="b">
        <f t="shared" si="17"/>
        <v>1</v>
      </c>
      <c r="U47" s="1" t="b">
        <f t="shared" si="17"/>
        <v>1</v>
      </c>
      <c r="V47" s="1" t="b">
        <f t="shared" si="17"/>
        <v>1</v>
      </c>
      <c r="W47" s="1" t="b">
        <f t="shared" si="17"/>
        <v>1</v>
      </c>
      <c r="X47" s="1" t="b">
        <f t="shared" si="17"/>
        <v>1</v>
      </c>
      <c r="Y47" s="1" t="b">
        <f t="shared" si="17"/>
        <v>0</v>
      </c>
    </row>
    <row r="48" spans="1:25">
      <c r="A48" s="89">
        <v>8</v>
      </c>
      <c r="B48" s="89">
        <v>19</v>
      </c>
      <c r="C48" s="89">
        <f t="shared" si="4"/>
        <v>48503</v>
      </c>
      <c r="D48" s="89">
        <f t="array" ref="D48:E48">LINEST(C47:C48,B47:B48,TRUE,FALSE)</f>
        <v>2552.7894736842104</v>
      </c>
      <c r="E48" s="89">
        <v>0</v>
      </c>
      <c r="F48" s="34">
        <f>IF(F47,$D$48*F32+$E$48,"")</f>
        <v>2552.7894736842104</v>
      </c>
      <c r="G48" s="34">
        <f t="shared" ref="G48:Y48" si="18">IF(G47,$D$48*G32+$E$48,"")</f>
        <v>5105.5789473684208</v>
      </c>
      <c r="H48" s="34">
        <f t="shared" si="18"/>
        <v>7658.3684210526317</v>
      </c>
      <c r="I48" s="34">
        <f t="shared" si="18"/>
        <v>10211.157894736842</v>
      </c>
      <c r="J48" s="34">
        <f t="shared" si="18"/>
        <v>12763.947368421052</v>
      </c>
      <c r="K48" s="34">
        <f t="shared" si="18"/>
        <v>15316.736842105263</v>
      </c>
      <c r="L48" s="34">
        <f t="shared" si="18"/>
        <v>17869.526315789473</v>
      </c>
      <c r="M48" s="34">
        <f t="shared" si="18"/>
        <v>20422.315789473683</v>
      </c>
      <c r="N48" s="34">
        <f t="shared" si="18"/>
        <v>22975.105263157893</v>
      </c>
      <c r="O48" s="34">
        <f t="shared" si="18"/>
        <v>25527.894736842103</v>
      </c>
      <c r="P48" s="34">
        <f t="shared" si="18"/>
        <v>28080.684210526313</v>
      </c>
      <c r="Q48" s="34">
        <f t="shared" si="18"/>
        <v>30633.473684210527</v>
      </c>
      <c r="R48" s="34">
        <f t="shared" si="18"/>
        <v>33186.263157894733</v>
      </c>
      <c r="S48" s="34">
        <f t="shared" si="18"/>
        <v>35739.052631578947</v>
      </c>
      <c r="T48" s="34">
        <f t="shared" si="18"/>
        <v>38291.842105263153</v>
      </c>
      <c r="U48" s="34">
        <f t="shared" si="18"/>
        <v>40844.631578947367</v>
      </c>
      <c r="V48" s="34">
        <f t="shared" si="18"/>
        <v>43397.42105263158</v>
      </c>
      <c r="W48" s="34">
        <f t="shared" si="18"/>
        <v>45950.210526315786</v>
      </c>
      <c r="X48" s="34">
        <f t="shared" si="18"/>
        <v>48503</v>
      </c>
      <c r="Y48" s="34" t="str">
        <f t="shared" si="18"/>
        <v/>
      </c>
    </row>
    <row r="49" spans="1:25">
      <c r="A49" s="88">
        <v>9</v>
      </c>
      <c r="B49" s="88">
        <v>0</v>
      </c>
      <c r="C49" s="88">
        <f t="shared" si="4"/>
        <v>0</v>
      </c>
      <c r="D49" s="88"/>
      <c r="E49" s="88"/>
      <c r="F49" s="1" t="b">
        <f>F$32&lt;=MAX($B49:$B50)</f>
        <v>1</v>
      </c>
      <c r="G49" s="1" t="b">
        <f t="shared" ref="G49:Y49" si="19">G$32&lt;=MAX($B49:$B50)</f>
        <v>1</v>
      </c>
      <c r="H49" s="1" t="b">
        <f t="shared" si="19"/>
        <v>1</v>
      </c>
      <c r="I49" s="1" t="b">
        <f t="shared" si="19"/>
        <v>1</v>
      </c>
      <c r="J49" s="1" t="b">
        <f t="shared" si="19"/>
        <v>1</v>
      </c>
      <c r="K49" s="1" t="b">
        <f t="shared" si="19"/>
        <v>1</v>
      </c>
      <c r="L49" s="1" t="b">
        <f t="shared" si="19"/>
        <v>1</v>
      </c>
      <c r="M49" s="1" t="b">
        <f t="shared" si="19"/>
        <v>1</v>
      </c>
      <c r="N49" s="1" t="b">
        <f t="shared" si="19"/>
        <v>1</v>
      </c>
      <c r="O49" s="1" t="b">
        <f t="shared" si="19"/>
        <v>1</v>
      </c>
      <c r="P49" s="1" t="b">
        <f t="shared" si="19"/>
        <v>1</v>
      </c>
      <c r="Q49" s="1" t="b">
        <f t="shared" si="19"/>
        <v>1</v>
      </c>
      <c r="R49" s="1" t="b">
        <f t="shared" si="19"/>
        <v>1</v>
      </c>
      <c r="S49" s="1" t="b">
        <f t="shared" si="19"/>
        <v>1</v>
      </c>
      <c r="T49" s="1" t="b">
        <f t="shared" si="19"/>
        <v>1</v>
      </c>
      <c r="U49" s="1" t="b">
        <f t="shared" si="19"/>
        <v>1</v>
      </c>
      <c r="V49" s="1" t="b">
        <f t="shared" si="19"/>
        <v>1</v>
      </c>
      <c r="W49" s="1" t="b">
        <f t="shared" si="19"/>
        <v>1</v>
      </c>
      <c r="X49" s="1" t="b">
        <f t="shared" si="19"/>
        <v>1</v>
      </c>
      <c r="Y49" s="1" t="b">
        <f t="shared" si="19"/>
        <v>0</v>
      </c>
    </row>
    <row r="50" spans="1:25">
      <c r="A50" s="89">
        <v>9</v>
      </c>
      <c r="B50" s="89">
        <v>19</v>
      </c>
      <c r="C50" s="89">
        <f t="shared" si="4"/>
        <v>55866</v>
      </c>
      <c r="D50" s="89">
        <f t="array" ref="D50:E50">LINEST(C49:C50,B49:B50,TRUE,FALSE)</f>
        <v>2940.3157894736842</v>
      </c>
      <c r="E50" s="89">
        <v>0</v>
      </c>
      <c r="F50" s="34">
        <f>IF(F49,$D$50*F32+$E$50,"")</f>
        <v>2940.3157894736842</v>
      </c>
      <c r="G50" s="34">
        <f t="shared" ref="G50:Y50" si="20">IF(G49,$D$50*G32+$E$50,"")</f>
        <v>5880.6315789473683</v>
      </c>
      <c r="H50" s="34">
        <f t="shared" si="20"/>
        <v>8820.9473684210534</v>
      </c>
      <c r="I50" s="34">
        <f t="shared" si="20"/>
        <v>11761.263157894737</v>
      </c>
      <c r="J50" s="34">
        <f t="shared" si="20"/>
        <v>14701.57894736842</v>
      </c>
      <c r="K50" s="34">
        <f t="shared" si="20"/>
        <v>17641.894736842107</v>
      </c>
      <c r="L50" s="34">
        <f t="shared" si="20"/>
        <v>20582.21052631579</v>
      </c>
      <c r="M50" s="34">
        <f t="shared" si="20"/>
        <v>23522.526315789473</v>
      </c>
      <c r="N50" s="34">
        <f t="shared" si="20"/>
        <v>26462.842105263157</v>
      </c>
      <c r="O50" s="34">
        <f t="shared" si="20"/>
        <v>29403.15789473684</v>
      </c>
      <c r="P50" s="34">
        <f t="shared" si="20"/>
        <v>32343.473684210527</v>
      </c>
      <c r="Q50" s="34">
        <f t="shared" si="20"/>
        <v>35283.789473684214</v>
      </c>
      <c r="R50" s="34">
        <f t="shared" si="20"/>
        <v>38224.105263157893</v>
      </c>
      <c r="S50" s="34">
        <f t="shared" si="20"/>
        <v>41164.42105263158</v>
      </c>
      <c r="T50" s="34">
        <f t="shared" si="20"/>
        <v>44104.73684210526</v>
      </c>
      <c r="U50" s="34">
        <f t="shared" si="20"/>
        <v>47045.052631578947</v>
      </c>
      <c r="V50" s="34">
        <f t="shared" si="20"/>
        <v>49985.368421052633</v>
      </c>
      <c r="W50" s="34">
        <f t="shared" si="20"/>
        <v>52925.684210526313</v>
      </c>
      <c r="X50" s="34">
        <f t="shared" si="20"/>
        <v>55866</v>
      </c>
      <c r="Y50" s="34" t="str">
        <f t="shared" si="20"/>
        <v/>
      </c>
    </row>
    <row r="51" spans="1:25">
      <c r="A51" s="90">
        <v>10</v>
      </c>
      <c r="B51" s="90">
        <v>0</v>
      </c>
      <c r="C51" s="90">
        <f t="shared" si="4"/>
        <v>0</v>
      </c>
      <c r="D51" s="90"/>
      <c r="E51" s="90"/>
      <c r="F51" s="1" t="b">
        <f>F$32&lt;=MAX($B51:$B52)</f>
        <v>1</v>
      </c>
      <c r="G51" s="1" t="b">
        <f t="shared" ref="G51:Y51" si="21">G$32&lt;=MAX($B51:$B52)</f>
        <v>1</v>
      </c>
      <c r="H51" s="1" t="b">
        <f t="shared" si="21"/>
        <v>1</v>
      </c>
      <c r="I51" s="1" t="b">
        <f t="shared" si="21"/>
        <v>1</v>
      </c>
      <c r="J51" s="1" t="b">
        <f t="shared" si="21"/>
        <v>1</v>
      </c>
      <c r="K51" s="1" t="b">
        <f t="shared" si="21"/>
        <v>1</v>
      </c>
      <c r="L51" s="1" t="b">
        <f t="shared" si="21"/>
        <v>1</v>
      </c>
      <c r="M51" s="1" t="b">
        <f t="shared" si="21"/>
        <v>1</v>
      </c>
      <c r="N51" s="1" t="b">
        <f t="shared" si="21"/>
        <v>1</v>
      </c>
      <c r="O51" s="1" t="b">
        <f t="shared" si="21"/>
        <v>1</v>
      </c>
      <c r="P51" s="1" t="b">
        <f t="shared" si="21"/>
        <v>1</v>
      </c>
      <c r="Q51" s="1" t="b">
        <f t="shared" si="21"/>
        <v>1</v>
      </c>
      <c r="R51" s="1" t="b">
        <f t="shared" si="21"/>
        <v>1</v>
      </c>
      <c r="S51" s="1" t="b">
        <f t="shared" si="21"/>
        <v>1</v>
      </c>
      <c r="T51" s="1" t="b">
        <f t="shared" si="21"/>
        <v>1</v>
      </c>
      <c r="U51" s="1" t="b">
        <f t="shared" si="21"/>
        <v>1</v>
      </c>
      <c r="V51" s="1" t="b">
        <f t="shared" si="21"/>
        <v>1</v>
      </c>
      <c r="W51" s="1" t="b">
        <f t="shared" si="21"/>
        <v>1</v>
      </c>
      <c r="X51" s="1" t="b">
        <f t="shared" si="21"/>
        <v>1</v>
      </c>
      <c r="Y51" s="1" t="b">
        <f t="shared" si="21"/>
        <v>0</v>
      </c>
    </row>
    <row r="52" spans="1:25">
      <c r="A52" s="91">
        <v>10</v>
      </c>
      <c r="B52" s="91">
        <v>19</v>
      </c>
      <c r="C52" s="91">
        <f>ROUND(IF(B52=0,0,$C$30*POWER(A52,$C$31)),0)</f>
        <v>63396</v>
      </c>
      <c r="D52" s="91">
        <f t="array" ref="D52:E52">LINEST(C51:C52,B51:B52,TRUE,FALSE)</f>
        <v>3336.6315789473679</v>
      </c>
      <c r="E52" s="91">
        <v>3.637978807091713E-12</v>
      </c>
      <c r="F52" s="34">
        <f>IF(F51,$D$52*F32+$E$52,"")</f>
        <v>3336.6315789473715</v>
      </c>
      <c r="G52" s="34">
        <f t="shared" ref="G52:Y52" si="22">IF(G51,$D$52*G32+$E$52,"")</f>
        <v>6673.2631578947394</v>
      </c>
      <c r="H52" s="34">
        <f t="shared" si="22"/>
        <v>10009.894736842107</v>
      </c>
      <c r="I52" s="34">
        <f t="shared" si="22"/>
        <v>13346.526315789475</v>
      </c>
      <c r="J52" s="34">
        <f t="shared" si="22"/>
        <v>16683.157894736843</v>
      </c>
      <c r="K52" s="34">
        <f t="shared" si="22"/>
        <v>20019.78947368421</v>
      </c>
      <c r="L52" s="34">
        <f t="shared" si="22"/>
        <v>23356.42105263158</v>
      </c>
      <c r="M52" s="34">
        <f t="shared" si="22"/>
        <v>26693.052631578947</v>
      </c>
      <c r="N52" s="34">
        <f t="shared" si="22"/>
        <v>30029.684210526313</v>
      </c>
      <c r="O52" s="34">
        <f t="shared" si="22"/>
        <v>33366.31578947368</v>
      </c>
      <c r="P52" s="34">
        <f t="shared" si="22"/>
        <v>36702.947368421053</v>
      </c>
      <c r="Q52" s="34">
        <f t="shared" si="22"/>
        <v>40039.578947368413</v>
      </c>
      <c r="R52" s="34">
        <f t="shared" si="22"/>
        <v>43376.210526315786</v>
      </c>
      <c r="S52" s="34">
        <f t="shared" si="22"/>
        <v>46712.84210526316</v>
      </c>
      <c r="T52" s="34">
        <f t="shared" si="22"/>
        <v>50049.473684210519</v>
      </c>
      <c r="U52" s="34">
        <f t="shared" si="22"/>
        <v>53386.105263157893</v>
      </c>
      <c r="V52" s="34">
        <f t="shared" si="22"/>
        <v>56722.736842105252</v>
      </c>
      <c r="W52" s="34">
        <f t="shared" si="22"/>
        <v>60059.368421052626</v>
      </c>
      <c r="X52" s="34">
        <f t="shared" si="22"/>
        <v>63396</v>
      </c>
      <c r="Y52" s="34" t="str">
        <f t="shared" si="22"/>
        <v/>
      </c>
    </row>
    <row r="53" spans="1:25">
      <c r="A53" s="63">
        <v>11</v>
      </c>
      <c r="B53" s="63">
        <v>0</v>
      </c>
      <c r="C53" s="63">
        <f t="shared" ref="C53" si="23">ROUND(IF(B53=0,0,$C$30*POWER(A53,$C$31)),0)</f>
        <v>0</v>
      </c>
      <c r="D53" s="63"/>
      <c r="E53" s="63"/>
      <c r="F53" s="1" t="b">
        <f>F$32&lt;=MAX($B53:$B54)</f>
        <v>1</v>
      </c>
      <c r="G53" s="1" t="b">
        <f t="shared" ref="G53:Y53" si="24">G$32&lt;=MAX($B53:$B54)</f>
        <v>1</v>
      </c>
      <c r="H53" s="1" t="b">
        <f t="shared" si="24"/>
        <v>1</v>
      </c>
      <c r="I53" s="1" t="b">
        <f t="shared" si="24"/>
        <v>1</v>
      </c>
      <c r="J53" s="1" t="b">
        <f t="shared" si="24"/>
        <v>1</v>
      </c>
      <c r="K53" s="1" t="b">
        <f t="shared" si="24"/>
        <v>1</v>
      </c>
      <c r="L53" s="1" t="b">
        <f t="shared" si="24"/>
        <v>1</v>
      </c>
      <c r="M53" s="1" t="b">
        <f t="shared" si="24"/>
        <v>1</v>
      </c>
      <c r="N53" s="1" t="b">
        <f t="shared" si="24"/>
        <v>1</v>
      </c>
      <c r="O53" s="1" t="b">
        <f t="shared" si="24"/>
        <v>1</v>
      </c>
      <c r="P53" s="1" t="b">
        <f t="shared" si="24"/>
        <v>1</v>
      </c>
      <c r="Q53" s="1" t="b">
        <f t="shared" si="24"/>
        <v>1</v>
      </c>
      <c r="R53" s="1" t="b">
        <f t="shared" si="24"/>
        <v>1</v>
      </c>
      <c r="S53" s="1" t="b">
        <f t="shared" si="24"/>
        <v>1</v>
      </c>
      <c r="T53" s="1" t="b">
        <f t="shared" si="24"/>
        <v>1</v>
      </c>
      <c r="U53" s="1" t="b">
        <f t="shared" si="24"/>
        <v>1</v>
      </c>
      <c r="V53" s="1" t="b">
        <f t="shared" si="24"/>
        <v>1</v>
      </c>
      <c r="W53" s="1" t="b">
        <f t="shared" si="24"/>
        <v>1</v>
      </c>
      <c r="X53" s="1" t="b">
        <f t="shared" si="24"/>
        <v>1</v>
      </c>
      <c r="Y53" s="1" t="b">
        <f t="shared" si="24"/>
        <v>0</v>
      </c>
    </row>
    <row r="54" spans="1:25">
      <c r="A54" s="91">
        <v>11</v>
      </c>
      <c r="B54" s="91">
        <v>19</v>
      </c>
      <c r="C54" s="91">
        <f>ROUND(IF(B54=0,0,$C$30*POWER(A54,$C$31)),0)</f>
        <v>71077</v>
      </c>
      <c r="D54" s="91">
        <f t="array" ref="D54:E54">LINEST(C53:C54,B53:B54,TRUE,FALSE)</f>
        <v>3740.8947368421054</v>
      </c>
      <c r="E54" s="91">
        <v>0</v>
      </c>
      <c r="F54" s="34">
        <f>IF(F53,$D$54*F32+$E$54,"")</f>
        <v>3740.8947368421054</v>
      </c>
      <c r="G54" s="34">
        <f t="shared" ref="G54:Y54" si="25">IF(G53,$D$54*G32+$E$54,"")</f>
        <v>7481.7894736842109</v>
      </c>
      <c r="H54" s="34">
        <f t="shared" si="25"/>
        <v>11222.684210526317</v>
      </c>
      <c r="I54" s="34">
        <f t="shared" si="25"/>
        <v>14963.578947368422</v>
      </c>
      <c r="J54" s="34">
        <f t="shared" si="25"/>
        <v>18704.473684210527</v>
      </c>
      <c r="K54" s="34">
        <f t="shared" si="25"/>
        <v>22445.368421052633</v>
      </c>
      <c r="L54" s="34">
        <f t="shared" si="25"/>
        <v>26186.263157894737</v>
      </c>
      <c r="M54" s="34">
        <f t="shared" si="25"/>
        <v>29927.157894736843</v>
      </c>
      <c r="N54" s="34">
        <f t="shared" si="25"/>
        <v>33668.052631578947</v>
      </c>
      <c r="O54" s="34">
        <f t="shared" si="25"/>
        <v>37408.947368421053</v>
      </c>
      <c r="P54" s="34">
        <f t="shared" si="25"/>
        <v>41149.84210526316</v>
      </c>
      <c r="Q54" s="34">
        <f t="shared" si="25"/>
        <v>44890.736842105267</v>
      </c>
      <c r="R54" s="34">
        <f t="shared" si="25"/>
        <v>48631.631578947374</v>
      </c>
      <c r="S54" s="34">
        <f t="shared" si="25"/>
        <v>52372.526315789473</v>
      </c>
      <c r="T54" s="34">
        <f t="shared" si="25"/>
        <v>56113.42105263158</v>
      </c>
      <c r="U54" s="34">
        <f t="shared" si="25"/>
        <v>59854.315789473687</v>
      </c>
      <c r="V54" s="34">
        <f t="shared" si="25"/>
        <v>63595.210526315794</v>
      </c>
      <c r="W54" s="34">
        <f t="shared" si="25"/>
        <v>67336.105263157893</v>
      </c>
      <c r="X54" s="34">
        <f t="shared" si="25"/>
        <v>71077</v>
      </c>
      <c r="Y54" s="34" t="str">
        <f t="shared" si="25"/>
        <v/>
      </c>
    </row>
    <row r="55" spans="1:25">
      <c r="A55" s="63">
        <v>12</v>
      </c>
      <c r="B55" s="63">
        <v>0</v>
      </c>
      <c r="C55" s="63">
        <f t="shared" ref="C55" si="26">ROUND(IF(B55=0,0,$C$30*POWER(A55,$C$31)),0)</f>
        <v>0</v>
      </c>
      <c r="D55" s="63"/>
      <c r="E55" s="63"/>
      <c r="F55" s="1" t="b">
        <f>F$32&lt;=MAX($B55:$B56)</f>
        <v>1</v>
      </c>
      <c r="G55" s="1" t="b">
        <f t="shared" ref="G55:Y55" si="27">G$32&lt;=MAX($B55:$B56)</f>
        <v>1</v>
      </c>
      <c r="H55" s="1" t="b">
        <f t="shared" si="27"/>
        <v>1</v>
      </c>
      <c r="I55" s="1" t="b">
        <f t="shared" si="27"/>
        <v>1</v>
      </c>
      <c r="J55" s="1" t="b">
        <f t="shared" si="27"/>
        <v>1</v>
      </c>
      <c r="K55" s="1" t="b">
        <f t="shared" si="27"/>
        <v>1</v>
      </c>
      <c r="L55" s="1" t="b">
        <f t="shared" si="27"/>
        <v>1</v>
      </c>
      <c r="M55" s="1" t="b">
        <f t="shared" si="27"/>
        <v>1</v>
      </c>
      <c r="N55" s="1" t="b">
        <f t="shared" si="27"/>
        <v>1</v>
      </c>
      <c r="O55" s="1" t="b">
        <f t="shared" si="27"/>
        <v>1</v>
      </c>
      <c r="P55" s="1" t="b">
        <f t="shared" si="27"/>
        <v>1</v>
      </c>
      <c r="Q55" s="1" t="b">
        <f t="shared" si="27"/>
        <v>1</v>
      </c>
      <c r="R55" s="1" t="b">
        <f t="shared" si="27"/>
        <v>1</v>
      </c>
      <c r="S55" s="1" t="b">
        <f t="shared" si="27"/>
        <v>1</v>
      </c>
      <c r="T55" s="1" t="b">
        <f t="shared" si="27"/>
        <v>1</v>
      </c>
      <c r="U55" s="1" t="b">
        <f t="shared" si="27"/>
        <v>1</v>
      </c>
      <c r="V55" s="1" t="b">
        <f t="shared" si="27"/>
        <v>1</v>
      </c>
      <c r="W55" s="1" t="b">
        <f t="shared" si="27"/>
        <v>1</v>
      </c>
      <c r="X55" s="1" t="b">
        <f t="shared" si="27"/>
        <v>1</v>
      </c>
      <c r="Y55" s="1" t="b">
        <f t="shared" si="27"/>
        <v>0</v>
      </c>
    </row>
    <row r="56" spans="1:25">
      <c r="A56" s="91">
        <v>12</v>
      </c>
      <c r="B56" s="91">
        <v>19</v>
      </c>
      <c r="C56" s="91">
        <f t="shared" ref="C56:C64" si="28">ROUND(IF(B56=0,0,$C$30*POWER(A56,$C$31)),0)</f>
        <v>78900</v>
      </c>
      <c r="D56" s="91">
        <f t="array" ref="D56:E56">LINEST(C55:C56,B55:B56,TRUE,FALSE)</f>
        <v>4152.6315789473683</v>
      </c>
      <c r="E56" s="91">
        <v>0</v>
      </c>
      <c r="F56" s="34">
        <f>IF(F55,$D$56*F32+$E$56,"")</f>
        <v>4152.6315789473683</v>
      </c>
      <c r="G56" s="34">
        <f t="shared" ref="G56:Y56" si="29">IF(G55,$D$56*G32+$E$56,"")</f>
        <v>8305.2631578947367</v>
      </c>
      <c r="H56" s="34">
        <f t="shared" si="29"/>
        <v>12457.894736842105</v>
      </c>
      <c r="I56" s="34">
        <f t="shared" si="29"/>
        <v>16610.526315789473</v>
      </c>
      <c r="J56" s="34">
        <f t="shared" si="29"/>
        <v>20763.15789473684</v>
      </c>
      <c r="K56" s="34">
        <f t="shared" si="29"/>
        <v>24915.78947368421</v>
      </c>
      <c r="L56" s="34">
        <f t="shared" si="29"/>
        <v>29068.42105263158</v>
      </c>
      <c r="M56" s="34">
        <f t="shared" si="29"/>
        <v>33221.052631578947</v>
      </c>
      <c r="N56" s="34">
        <f t="shared" si="29"/>
        <v>37373.684210526313</v>
      </c>
      <c r="O56" s="34">
        <f t="shared" si="29"/>
        <v>41526.31578947368</v>
      </c>
      <c r="P56" s="34">
        <f t="shared" si="29"/>
        <v>45678.947368421053</v>
      </c>
      <c r="Q56" s="34">
        <f t="shared" si="29"/>
        <v>49831.57894736842</v>
      </c>
      <c r="R56" s="34">
        <f t="shared" si="29"/>
        <v>53984.210526315786</v>
      </c>
      <c r="S56" s="34">
        <f t="shared" si="29"/>
        <v>58136.84210526316</v>
      </c>
      <c r="T56" s="34">
        <f t="shared" si="29"/>
        <v>62289.473684210527</v>
      </c>
      <c r="U56" s="34">
        <f t="shared" si="29"/>
        <v>66442.105263157893</v>
      </c>
      <c r="V56" s="34">
        <f t="shared" si="29"/>
        <v>70594.736842105267</v>
      </c>
      <c r="W56" s="34">
        <f t="shared" si="29"/>
        <v>74747.368421052626</v>
      </c>
      <c r="X56" s="34">
        <f t="shared" si="29"/>
        <v>78900</v>
      </c>
      <c r="Y56" s="34" t="str">
        <f t="shared" si="29"/>
        <v/>
      </c>
    </row>
    <row r="57" spans="1:25">
      <c r="A57" s="119">
        <v>13</v>
      </c>
      <c r="B57" s="119">
        <v>0</v>
      </c>
      <c r="C57" s="119">
        <f t="shared" si="28"/>
        <v>0</v>
      </c>
      <c r="D57" s="119"/>
      <c r="E57" s="119"/>
      <c r="F57" s="1" t="b">
        <f>F$32&lt;=MAX($B57:$B58)</f>
        <v>1</v>
      </c>
      <c r="G57" s="1" t="b">
        <f t="shared" ref="G57:Y57" si="30">G$32&lt;=MAX($B57:$B58)</f>
        <v>1</v>
      </c>
      <c r="H57" s="1" t="b">
        <f t="shared" si="30"/>
        <v>1</v>
      </c>
      <c r="I57" s="1" t="b">
        <f t="shared" si="30"/>
        <v>1</v>
      </c>
      <c r="J57" s="1" t="b">
        <f t="shared" si="30"/>
        <v>1</v>
      </c>
      <c r="K57" s="1" t="b">
        <f t="shared" si="30"/>
        <v>1</v>
      </c>
      <c r="L57" s="1" t="b">
        <f t="shared" si="30"/>
        <v>1</v>
      </c>
      <c r="M57" s="1" t="b">
        <f t="shared" si="30"/>
        <v>1</v>
      </c>
      <c r="N57" s="1" t="b">
        <f t="shared" si="30"/>
        <v>1</v>
      </c>
      <c r="O57" s="1" t="b">
        <f t="shared" si="30"/>
        <v>1</v>
      </c>
      <c r="P57" s="1" t="b">
        <f t="shared" si="30"/>
        <v>1</v>
      </c>
      <c r="Q57" s="1" t="b">
        <f t="shared" si="30"/>
        <v>1</v>
      </c>
      <c r="R57" s="1" t="b">
        <f t="shared" si="30"/>
        <v>1</v>
      </c>
      <c r="S57" s="1" t="b">
        <f t="shared" si="30"/>
        <v>1</v>
      </c>
      <c r="T57" s="1" t="b">
        <f t="shared" si="30"/>
        <v>1</v>
      </c>
      <c r="U57" s="1" t="b">
        <f t="shared" si="30"/>
        <v>1</v>
      </c>
      <c r="V57" s="1" t="b">
        <f t="shared" si="30"/>
        <v>1</v>
      </c>
      <c r="W57" s="1" t="b">
        <f t="shared" si="30"/>
        <v>1</v>
      </c>
      <c r="X57" s="1" t="b">
        <f t="shared" si="30"/>
        <v>1</v>
      </c>
      <c r="Y57" s="1" t="b">
        <f t="shared" si="30"/>
        <v>0</v>
      </c>
    </row>
    <row r="58" spans="1:25">
      <c r="A58" s="119">
        <v>13</v>
      </c>
      <c r="B58" s="119">
        <v>19</v>
      </c>
      <c r="C58" s="119">
        <f t="shared" si="28"/>
        <v>86854</v>
      </c>
      <c r="D58" s="119">
        <f t="array" ref="D58:E58">LINEST(C57:C58,B57:B58,TRUE,FALSE)</f>
        <v>4571.2631578947367</v>
      </c>
      <c r="E58" s="119">
        <v>0</v>
      </c>
      <c r="F58" s="34">
        <f>IF(F57,$D$58*F32+$E$58,"")</f>
        <v>4571.2631578947367</v>
      </c>
      <c r="G58" s="34">
        <f t="shared" ref="G58:X58" si="31">IF(G57,$D$58*G32+$E$58,"")</f>
        <v>9142.5263157894733</v>
      </c>
      <c r="H58" s="34">
        <f t="shared" si="31"/>
        <v>13713.78947368421</v>
      </c>
      <c r="I58" s="34">
        <f t="shared" si="31"/>
        <v>18285.052631578947</v>
      </c>
      <c r="J58" s="34">
        <f t="shared" si="31"/>
        <v>22856.315789473683</v>
      </c>
      <c r="K58" s="34">
        <f t="shared" si="31"/>
        <v>27427.57894736842</v>
      </c>
      <c r="L58" s="34">
        <f t="shared" si="31"/>
        <v>31998.842105263157</v>
      </c>
      <c r="M58" s="34">
        <f t="shared" si="31"/>
        <v>36570.105263157893</v>
      </c>
      <c r="N58" s="34">
        <f t="shared" si="31"/>
        <v>41141.368421052626</v>
      </c>
      <c r="O58" s="34">
        <f t="shared" si="31"/>
        <v>45712.631578947367</v>
      </c>
      <c r="P58" s="34">
        <f t="shared" si="31"/>
        <v>50283.894736842107</v>
      </c>
      <c r="Q58" s="34">
        <f t="shared" si="31"/>
        <v>54855.15789473684</v>
      </c>
      <c r="R58" s="34">
        <f t="shared" si="31"/>
        <v>59426.421052631573</v>
      </c>
      <c r="S58" s="34">
        <f t="shared" si="31"/>
        <v>63997.684210526313</v>
      </c>
      <c r="T58" s="34">
        <f t="shared" si="31"/>
        <v>68568.947368421053</v>
      </c>
      <c r="U58" s="34">
        <f t="shared" si="31"/>
        <v>73140.210526315786</v>
      </c>
      <c r="V58" s="34">
        <f t="shared" si="31"/>
        <v>77711.473684210519</v>
      </c>
      <c r="W58" s="34">
        <f t="shared" si="31"/>
        <v>82282.736842105252</v>
      </c>
      <c r="X58" s="34">
        <f t="shared" si="31"/>
        <v>86854</v>
      </c>
      <c r="Y58" s="34"/>
    </row>
    <row r="59" spans="1:25">
      <c r="A59" s="351">
        <v>14</v>
      </c>
      <c r="B59" s="351">
        <v>0</v>
      </c>
      <c r="C59" s="351">
        <f t="shared" si="28"/>
        <v>0</v>
      </c>
      <c r="D59" s="351"/>
      <c r="E59" s="351"/>
      <c r="F59" s="1" t="b">
        <f>F$32&lt;=MAX($B59:$B60)</f>
        <v>1</v>
      </c>
      <c r="G59" s="1" t="b">
        <f t="shared" ref="G59:Y63" si="32">G$32&lt;=MAX($B59:$B60)</f>
        <v>1</v>
      </c>
      <c r="H59" s="1" t="b">
        <f t="shared" si="32"/>
        <v>1</v>
      </c>
      <c r="I59" s="1" t="b">
        <f t="shared" si="32"/>
        <v>1</v>
      </c>
      <c r="J59" s="1" t="b">
        <f t="shared" si="32"/>
        <v>1</v>
      </c>
      <c r="K59" s="1" t="b">
        <f t="shared" si="32"/>
        <v>1</v>
      </c>
      <c r="L59" s="1" t="b">
        <f t="shared" si="32"/>
        <v>1</v>
      </c>
      <c r="M59" s="1" t="b">
        <f t="shared" si="32"/>
        <v>1</v>
      </c>
      <c r="N59" s="1" t="b">
        <f t="shared" si="32"/>
        <v>1</v>
      </c>
      <c r="O59" s="1" t="b">
        <f t="shared" si="32"/>
        <v>1</v>
      </c>
      <c r="P59" s="1" t="b">
        <f t="shared" si="32"/>
        <v>1</v>
      </c>
      <c r="Q59" s="1" t="b">
        <f t="shared" si="32"/>
        <v>1</v>
      </c>
      <c r="R59" s="1" t="b">
        <f t="shared" si="32"/>
        <v>1</v>
      </c>
      <c r="S59" s="1" t="b">
        <f t="shared" si="32"/>
        <v>1</v>
      </c>
      <c r="T59" s="1" t="b">
        <f t="shared" si="32"/>
        <v>1</v>
      </c>
      <c r="U59" s="1" t="b">
        <f t="shared" si="32"/>
        <v>1</v>
      </c>
      <c r="V59" s="1" t="b">
        <f t="shared" si="32"/>
        <v>1</v>
      </c>
      <c r="W59" s="1" t="b">
        <f t="shared" si="32"/>
        <v>1</v>
      </c>
      <c r="X59" s="1" t="b">
        <f t="shared" si="32"/>
        <v>1</v>
      </c>
      <c r="Y59" s="1" t="b">
        <f t="shared" si="32"/>
        <v>0</v>
      </c>
    </row>
    <row r="60" spans="1:25">
      <c r="A60" s="119">
        <v>14</v>
      </c>
      <c r="B60" s="119">
        <v>19</v>
      </c>
      <c r="C60" s="119">
        <f t="shared" si="28"/>
        <v>94932</v>
      </c>
      <c r="D60" s="119">
        <f t="array" ref="D60:E60">LINEST(C59:C60,B59:B60,TRUE,FALSE)</f>
        <v>4996.4210526315792</v>
      </c>
      <c r="E60" s="119">
        <v>0</v>
      </c>
      <c r="F60" s="34">
        <f>IF(F59,$D$60*F32+$E$60,"")</f>
        <v>4996.4210526315792</v>
      </c>
      <c r="G60" s="34">
        <f t="shared" ref="G60:X60" si="33">IF(G59,$D$60*G32+$E$60,"")</f>
        <v>9992.8421052631584</v>
      </c>
      <c r="H60" s="34">
        <f t="shared" si="33"/>
        <v>14989.263157894737</v>
      </c>
      <c r="I60" s="34">
        <f t="shared" si="33"/>
        <v>19985.684210526317</v>
      </c>
      <c r="J60" s="34">
        <f t="shared" si="33"/>
        <v>24982.105263157897</v>
      </c>
      <c r="K60" s="34">
        <f t="shared" si="33"/>
        <v>29978.526315789473</v>
      </c>
      <c r="L60" s="34">
        <f t="shared" si="33"/>
        <v>34974.947368421053</v>
      </c>
      <c r="M60" s="34">
        <f t="shared" si="33"/>
        <v>39971.368421052633</v>
      </c>
      <c r="N60" s="34">
        <f t="shared" si="33"/>
        <v>44967.789473684214</v>
      </c>
      <c r="O60" s="34">
        <f t="shared" si="33"/>
        <v>49964.210526315794</v>
      </c>
      <c r="P60" s="34">
        <f t="shared" si="33"/>
        <v>54960.631578947374</v>
      </c>
      <c r="Q60" s="34">
        <f t="shared" si="33"/>
        <v>59957.052631578947</v>
      </c>
      <c r="R60" s="34">
        <f t="shared" si="33"/>
        <v>64953.473684210527</v>
      </c>
      <c r="S60" s="34">
        <f t="shared" si="33"/>
        <v>69949.894736842107</v>
      </c>
      <c r="T60" s="34">
        <f t="shared" si="33"/>
        <v>74946.315789473694</v>
      </c>
      <c r="U60" s="34">
        <f t="shared" si="33"/>
        <v>79942.736842105267</v>
      </c>
      <c r="V60" s="34">
        <f t="shared" si="33"/>
        <v>84939.15789473684</v>
      </c>
      <c r="W60" s="34">
        <f t="shared" si="33"/>
        <v>89935.578947368427</v>
      </c>
      <c r="X60" s="34">
        <f t="shared" si="33"/>
        <v>94932</v>
      </c>
      <c r="Y60" s="34"/>
    </row>
    <row r="61" spans="1:25">
      <c r="A61" s="351">
        <v>15</v>
      </c>
      <c r="B61" s="351">
        <v>0</v>
      </c>
      <c r="C61" s="351">
        <f t="shared" si="28"/>
        <v>0</v>
      </c>
      <c r="D61" s="351"/>
      <c r="E61" s="351"/>
      <c r="F61" s="1" t="b">
        <f>F$32&lt;=MAX($B61:$B62)</f>
        <v>1</v>
      </c>
      <c r="G61" s="1" t="b">
        <f t="shared" si="32"/>
        <v>1</v>
      </c>
      <c r="H61" s="1" t="b">
        <f t="shared" si="32"/>
        <v>1</v>
      </c>
      <c r="I61" s="1" t="b">
        <f t="shared" si="32"/>
        <v>1</v>
      </c>
      <c r="J61" s="1" t="b">
        <f t="shared" si="32"/>
        <v>1</v>
      </c>
      <c r="K61" s="1" t="b">
        <f t="shared" si="32"/>
        <v>1</v>
      </c>
      <c r="L61" s="1" t="b">
        <f t="shared" si="32"/>
        <v>1</v>
      </c>
      <c r="M61" s="1" t="b">
        <f t="shared" si="32"/>
        <v>1</v>
      </c>
      <c r="N61" s="1" t="b">
        <f t="shared" si="32"/>
        <v>1</v>
      </c>
      <c r="O61" s="1" t="b">
        <f t="shared" si="32"/>
        <v>1</v>
      </c>
      <c r="P61" s="1" t="b">
        <f t="shared" si="32"/>
        <v>1</v>
      </c>
      <c r="Q61" s="1" t="b">
        <f t="shared" si="32"/>
        <v>1</v>
      </c>
      <c r="R61" s="1" t="b">
        <f t="shared" si="32"/>
        <v>1</v>
      </c>
      <c r="S61" s="1" t="b">
        <f t="shared" si="32"/>
        <v>1</v>
      </c>
      <c r="T61" s="1" t="b">
        <f t="shared" si="32"/>
        <v>1</v>
      </c>
      <c r="U61" s="1" t="b">
        <f t="shared" si="32"/>
        <v>1</v>
      </c>
      <c r="V61" s="1" t="b">
        <f t="shared" si="32"/>
        <v>1</v>
      </c>
      <c r="W61" s="1" t="b">
        <f t="shared" si="32"/>
        <v>1</v>
      </c>
      <c r="X61" s="1" t="b">
        <f t="shared" si="32"/>
        <v>1</v>
      </c>
      <c r="Y61" s="1" t="b">
        <f t="shared" si="32"/>
        <v>0</v>
      </c>
    </row>
    <row r="62" spans="1:25">
      <c r="A62" s="119">
        <v>15</v>
      </c>
      <c r="B62" s="119">
        <v>19</v>
      </c>
      <c r="C62" s="119">
        <f>ROUND(IF(B62=0,0,$C$30*POWER(A62,$C$31)),0)</f>
        <v>103126</v>
      </c>
      <c r="D62" s="119">
        <f t="array" ref="D62:E62">LINEST(C61:C62,B61:B62,TRUE,FALSE)</f>
        <v>5427.6842105263186</v>
      </c>
      <c r="E62" s="119">
        <v>-2.9103830456733704E-11</v>
      </c>
      <c r="F62" s="34">
        <f>IF(F61,$D$62*F32+$E$62,"")</f>
        <v>5427.6842105262895</v>
      </c>
      <c r="G62" s="34">
        <f t="shared" ref="G62:X62" si="34">IF(G61,$D$62*G32+$E$62,"")</f>
        <v>10855.368421052608</v>
      </c>
      <c r="H62" s="34">
        <f t="shared" si="34"/>
        <v>16283.052631578927</v>
      </c>
      <c r="I62" s="34">
        <f t="shared" si="34"/>
        <v>21710.736842105245</v>
      </c>
      <c r="J62" s="34">
        <f t="shared" si="34"/>
        <v>27138.421052631566</v>
      </c>
      <c r="K62" s="34">
        <f t="shared" si="34"/>
        <v>32566.105263157882</v>
      </c>
      <c r="L62" s="34">
        <f t="shared" si="34"/>
        <v>37993.789473684199</v>
      </c>
      <c r="M62" s="34">
        <f t="shared" si="34"/>
        <v>43421.473684210519</v>
      </c>
      <c r="N62" s="34">
        <f t="shared" si="34"/>
        <v>48849.15789473684</v>
      </c>
      <c r="O62" s="34">
        <f t="shared" si="34"/>
        <v>54276.84210526316</v>
      </c>
      <c r="P62" s="34">
        <f t="shared" si="34"/>
        <v>59704.526315789473</v>
      </c>
      <c r="Q62" s="34">
        <f t="shared" si="34"/>
        <v>65132.210526315794</v>
      </c>
      <c r="R62" s="34">
        <f t="shared" si="34"/>
        <v>70559.894736842107</v>
      </c>
      <c r="S62" s="34">
        <f t="shared" si="34"/>
        <v>75987.578947368427</v>
      </c>
      <c r="T62" s="34">
        <f t="shared" si="34"/>
        <v>81415.263157894748</v>
      </c>
      <c r="U62" s="34">
        <f t="shared" si="34"/>
        <v>86842.947368421068</v>
      </c>
      <c r="V62" s="34">
        <f t="shared" si="34"/>
        <v>92270.631578947388</v>
      </c>
      <c r="W62" s="34">
        <f t="shared" si="34"/>
        <v>97698.315789473709</v>
      </c>
      <c r="X62" s="34">
        <f t="shared" si="34"/>
        <v>103126.00000000003</v>
      </c>
      <c r="Y62" s="34"/>
    </row>
    <row r="63" spans="1:25">
      <c r="A63" s="351">
        <v>16</v>
      </c>
      <c r="B63" s="351">
        <v>0</v>
      </c>
      <c r="C63" s="351">
        <f t="shared" si="28"/>
        <v>0</v>
      </c>
      <c r="D63" s="351"/>
      <c r="E63" s="351"/>
      <c r="F63" s="1" t="b">
        <f>F$32&lt;=MAX($B63:$B64)</f>
        <v>1</v>
      </c>
      <c r="G63" s="1" t="b">
        <f t="shared" si="32"/>
        <v>1</v>
      </c>
      <c r="H63" s="1" t="b">
        <f t="shared" si="32"/>
        <v>1</v>
      </c>
      <c r="I63" s="1" t="b">
        <f t="shared" si="32"/>
        <v>1</v>
      </c>
      <c r="J63" s="1" t="b">
        <f t="shared" si="32"/>
        <v>1</v>
      </c>
      <c r="K63" s="1" t="b">
        <f t="shared" si="32"/>
        <v>1</v>
      </c>
      <c r="L63" s="1" t="b">
        <f t="shared" si="32"/>
        <v>1</v>
      </c>
      <c r="M63" s="1" t="b">
        <f t="shared" si="32"/>
        <v>1</v>
      </c>
      <c r="N63" s="1" t="b">
        <f t="shared" si="32"/>
        <v>1</v>
      </c>
      <c r="O63" s="1" t="b">
        <f t="shared" si="32"/>
        <v>1</v>
      </c>
      <c r="P63" s="1" t="b">
        <f t="shared" si="32"/>
        <v>1</v>
      </c>
      <c r="Q63" s="1" t="b">
        <f t="shared" si="32"/>
        <v>1</v>
      </c>
      <c r="R63" s="1" t="b">
        <f t="shared" si="32"/>
        <v>1</v>
      </c>
      <c r="S63" s="1" t="b">
        <f t="shared" si="32"/>
        <v>1</v>
      </c>
      <c r="T63" s="1" t="b">
        <f t="shared" si="32"/>
        <v>1</v>
      </c>
      <c r="U63" s="1" t="b">
        <f t="shared" si="32"/>
        <v>1</v>
      </c>
      <c r="V63" s="1" t="b">
        <f t="shared" si="32"/>
        <v>1</v>
      </c>
      <c r="W63" s="1" t="b">
        <f t="shared" si="32"/>
        <v>1</v>
      </c>
      <c r="X63" s="1" t="b">
        <f t="shared" si="32"/>
        <v>1</v>
      </c>
      <c r="Y63" s="1" t="b">
        <f t="shared" si="32"/>
        <v>0</v>
      </c>
    </row>
    <row r="64" spans="1:25">
      <c r="A64" s="119">
        <v>16</v>
      </c>
      <c r="B64" s="119">
        <v>19</v>
      </c>
      <c r="C64" s="119">
        <f t="shared" si="28"/>
        <v>111430</v>
      </c>
      <c r="D64" s="119">
        <f t="array" ref="D64:E64">LINEST(C63:C64,B63:B64,TRUE,FALSE)</f>
        <v>5864.7368421052652</v>
      </c>
      <c r="E64" s="119">
        <v>-2.1827872842550278E-11</v>
      </c>
      <c r="F64" s="34">
        <f>IF(F63,$D$64*F32+$E$64,"")</f>
        <v>5864.7368421052433</v>
      </c>
      <c r="G64" s="34">
        <f t="shared" ref="G64:X64" si="35">IF(G63,$D$64*G32+$E$64,"")</f>
        <v>11729.473684210509</v>
      </c>
      <c r="H64" s="34">
        <f t="shared" si="35"/>
        <v>17594.210526315772</v>
      </c>
      <c r="I64" s="34">
        <f t="shared" si="35"/>
        <v>23458.947368421039</v>
      </c>
      <c r="J64" s="34">
        <f t="shared" si="35"/>
        <v>29323.684210526306</v>
      </c>
      <c r="K64" s="34">
        <f t="shared" si="35"/>
        <v>35188.421052631566</v>
      </c>
      <c r="L64" s="34">
        <f t="shared" si="35"/>
        <v>41053.157894736833</v>
      </c>
      <c r="M64" s="34">
        <f t="shared" si="35"/>
        <v>46917.8947368421</v>
      </c>
      <c r="N64" s="34">
        <f t="shared" si="35"/>
        <v>52782.631578947367</v>
      </c>
      <c r="O64" s="34">
        <f t="shared" si="35"/>
        <v>58647.368421052633</v>
      </c>
      <c r="P64" s="34">
        <f t="shared" si="35"/>
        <v>64512.105263157893</v>
      </c>
      <c r="Q64" s="34">
        <f t="shared" si="35"/>
        <v>70376.842105263146</v>
      </c>
      <c r="R64" s="34">
        <f t="shared" si="35"/>
        <v>76241.578947368427</v>
      </c>
      <c r="S64" s="34">
        <f t="shared" si="35"/>
        <v>82106.31578947368</v>
      </c>
      <c r="T64" s="34">
        <f t="shared" si="35"/>
        <v>87971.052631578961</v>
      </c>
      <c r="U64" s="34">
        <f t="shared" si="35"/>
        <v>93835.789473684214</v>
      </c>
      <c r="V64" s="34">
        <f t="shared" si="35"/>
        <v>99700.526315789495</v>
      </c>
      <c r="W64" s="34">
        <f t="shared" si="35"/>
        <v>105565.26315789475</v>
      </c>
      <c r="X64" s="34">
        <f t="shared" si="35"/>
        <v>111430.00000000003</v>
      </c>
      <c r="Y64" s="34"/>
    </row>
    <row r="66" spans="1:21" ht="18.5">
      <c r="A66" s="81" t="s">
        <v>175</v>
      </c>
    </row>
    <row r="67" spans="1:21">
      <c r="A67" s="1" t="s">
        <v>84</v>
      </c>
      <c r="B67" s="1" t="s">
        <v>21</v>
      </c>
      <c r="C67" s="1" t="s">
        <v>22</v>
      </c>
      <c r="D67" s="1" t="s">
        <v>23</v>
      </c>
      <c r="E67" s="1" t="s">
        <v>24</v>
      </c>
      <c r="F67" s="1" t="s">
        <v>25</v>
      </c>
      <c r="G67" s="1" t="s">
        <v>26</v>
      </c>
      <c r="H67" s="1" t="s">
        <v>27</v>
      </c>
      <c r="I67" s="1" t="s">
        <v>28</v>
      </c>
      <c r="J67" s="1" t="s">
        <v>29</v>
      </c>
      <c r="K67" s="1" t="s">
        <v>30</v>
      </c>
      <c r="L67" s="1" t="s">
        <v>31</v>
      </c>
      <c r="M67" s="1" t="s">
        <v>32</v>
      </c>
      <c r="N67" s="1" t="s">
        <v>33</v>
      </c>
      <c r="O67" s="1" t="s">
        <v>34</v>
      </c>
      <c r="P67" s="1" t="s">
        <v>35</v>
      </c>
      <c r="Q67" s="1" t="s">
        <v>36</v>
      </c>
      <c r="R67" s="1" t="s">
        <v>37</v>
      </c>
      <c r="S67" s="1" t="s">
        <v>38</v>
      </c>
      <c r="T67" s="1" t="s">
        <v>39</v>
      </c>
    </row>
    <row r="68" spans="1:21">
      <c r="A68" s="1">
        <v>1</v>
      </c>
      <c r="B68" s="1">
        <f ca="1">IF(OFFSET(F33,$A68,0)="","",ROUND(SUM(OFFSET($F33:F33,$A68,0)),0))</f>
        <v>571</v>
      </c>
      <c r="C68" s="1">
        <f ca="1">IF(OFFSET(G33,$A68,0)="","",ROUND(SUM(OFFSET($F33:G33,$A68,0)),0))</f>
        <v>1714</v>
      </c>
      <c r="D68" s="1">
        <f ca="1">IF(OFFSET(H33,$A68,0)="","",ROUND(SUM(OFFSET($F33:H33,$A68,0)),0))</f>
        <v>3429</v>
      </c>
      <c r="E68" s="1">
        <f ca="1">IF(OFFSET(I33,$A68,0)="","",ROUND(SUM(OFFSET($F33:I33,$A68,0)),0))</f>
        <v>5714</v>
      </c>
      <c r="F68" s="1">
        <f ca="1">IF(OFFSET(J33,$A68,0)="","",ROUND(SUM(OFFSET($F33:J33,$A68,0)),0))</f>
        <v>8069</v>
      </c>
      <c r="G68" s="1">
        <f ca="1">IF(OFFSET(K33,$A68,0)="","",ROUND(SUM(OFFSET($F33:K33,$A68,0)),0))</f>
        <v>10895</v>
      </c>
      <c r="H68" s="1">
        <f ca="1">IF(OFFSET(L33,$A68,0)="","",ROUND(SUM(OFFSET($F33:L33,$A68,0)),0))</f>
        <v>14192</v>
      </c>
      <c r="I68" s="1" t="str">
        <f ca="1">IF(OFFSET(M33,$A68,0)="","",ROUND(SUM(OFFSET($F33:M33,$A68,0)),0))</f>
        <v/>
      </c>
      <c r="J68" s="1" t="str">
        <f ca="1">IF(OFFSET(N33,$A68,0)="","",ROUND(SUM(OFFSET($F33:N33,$A68,0)),0))</f>
        <v/>
      </c>
      <c r="K68" s="1" t="str">
        <f ca="1">IF(OFFSET(O33,$A68,0)="","",ROUND(SUM(OFFSET($F33:O33,$A68,0)),0))</f>
        <v/>
      </c>
      <c r="L68" s="1" t="str">
        <f ca="1">IF(OFFSET(P33,$A68,0)="","",ROUND(SUM(OFFSET($F33:P33,$A68,0)),0))</f>
        <v/>
      </c>
      <c r="M68" s="1" t="str">
        <f ca="1">IF(OFFSET(Q33,$A68,0)="","",ROUND(SUM(OFFSET($F33:Q33,$A68,0)),0))</f>
        <v/>
      </c>
      <c r="N68" s="1" t="str">
        <f ca="1">IF(OFFSET(R33,$A68,0)="","",ROUND(SUM(OFFSET($F33:R33,$A68,0)),0))</f>
        <v/>
      </c>
      <c r="O68" s="1" t="str">
        <f ca="1">IF(OFFSET(S33,$A68,0)="","",ROUND(SUM(OFFSET($F33:S33,$A68,0)),0))</f>
        <v/>
      </c>
      <c r="P68" s="1" t="str">
        <f ca="1">IF(OFFSET(T33,$A68,0)="","",ROUND(SUM(OFFSET($F33:T33,$A68,0)),0))</f>
        <v/>
      </c>
      <c r="Q68" s="1" t="str">
        <f ca="1">IF(OFFSET(U33,$A68,0)="","",ROUND(SUM(OFFSET($F33:U33,$A68,0)),0))</f>
        <v/>
      </c>
      <c r="R68" s="1" t="str">
        <f ca="1">IF(OFFSET(V33,$A68,0)="","",ROUND(SUM(OFFSET($F33:V33,$A68,0)),0))</f>
        <v/>
      </c>
      <c r="S68" s="1" t="str">
        <f ca="1">IF(OFFSET(W33,$A68,0)="","",ROUND(SUM(OFFSET($F33:W33,$A68,0)),0))</f>
        <v/>
      </c>
      <c r="T68" s="1" t="str">
        <f ca="1">IF(OFFSET(X33,$A68,0)="","",ROUND(SUM(OFFSET($F33:X33,$A68,0)),0))</f>
        <v/>
      </c>
      <c r="U68" s="1" t="str">
        <f ca="1">IF(OFFSET(Z33,$A68,0)="","",SUM(OFFSET($F33:Z33,$A68,0)))</f>
        <v/>
      </c>
    </row>
    <row r="69" spans="1:21">
      <c r="A69" s="1">
        <v>2</v>
      </c>
      <c r="B69" s="1">
        <f ca="1">IF(OFFSET(F34,$A69,0)="","",ROUND(SUM(OFFSET($F34:F34,$A69,0)),0))</f>
        <v>1021</v>
      </c>
      <c r="C69" s="1">
        <f ca="1">IF(OFFSET(G34,$A69,0)="","",ROUND(SUM(OFFSET($F34:G34,$A69,0)),0))</f>
        <v>3063</v>
      </c>
      <c r="D69" s="1">
        <f ca="1">IF(OFFSET(H34,$A69,0)="","",ROUND(SUM(OFFSET($F34:H34,$A69,0)),0))</f>
        <v>6127</v>
      </c>
      <c r="E69" s="1">
        <f ca="1">IF(OFFSET(I34,$A69,0)="","",ROUND(SUM(OFFSET($F34:I34,$A69,0)),0))</f>
        <v>10211</v>
      </c>
      <c r="F69" s="1">
        <f ca="1">IF(OFFSET(J34,$A69,0)="","",ROUND(SUM(OFFSET($F34:J34,$A69,0)),0))</f>
        <v>15317</v>
      </c>
      <c r="G69" s="1">
        <f ca="1">IF(OFFSET(K34,$A69,0)="","",ROUND(SUM(OFFSET($F34:K34,$A69,0)),0))</f>
        <v>21443</v>
      </c>
      <c r="H69" s="1">
        <f ca="1">IF(OFFSET(L34,$A69,0)="","",ROUND(SUM(OFFSET($F34:L34,$A69,0)),0))</f>
        <v>28591</v>
      </c>
      <c r="I69" s="1">
        <f ca="1">IF(OFFSET(M34,$A69,0)="","",ROUND(SUM(OFFSET($F34:M34,$A69,0)),0))</f>
        <v>36760</v>
      </c>
      <c r="J69" s="1">
        <f ca="1">IF(OFFSET(N34,$A69,0)="","",ROUND(SUM(OFFSET($F34:N34,$A69,0)),0))</f>
        <v>45950</v>
      </c>
      <c r="K69" s="1" t="str">
        <f ca="1">IF(OFFSET(O34,$A69,0)="","",ROUND(SUM(OFFSET($F34:O34,$A69,0)),0))</f>
        <v/>
      </c>
      <c r="L69" s="1" t="str">
        <f ca="1">IF(OFFSET(P34,$A69,0)="","",ROUND(SUM(OFFSET($F34:P34,$A69,0)),0))</f>
        <v/>
      </c>
      <c r="M69" s="1" t="str">
        <f ca="1">IF(OFFSET(Q34,$A69,0)="","",ROUND(SUM(OFFSET($F34:Q34,$A69,0)),0))</f>
        <v/>
      </c>
      <c r="N69" s="1" t="str">
        <f ca="1">IF(OFFSET(R34,$A69,0)="","",ROUND(SUM(OFFSET($F34:R34,$A69,0)),0))</f>
        <v/>
      </c>
      <c r="O69" s="1" t="str">
        <f ca="1">IF(OFFSET(S34,$A69,0)="","",ROUND(SUM(OFFSET($F34:S34,$A69,0)),0))</f>
        <v/>
      </c>
      <c r="P69" s="1" t="str">
        <f ca="1">IF(OFFSET(T34,$A69,0)="","",ROUND(SUM(OFFSET($F34:T34,$A69,0)),0))</f>
        <v/>
      </c>
      <c r="Q69" s="1" t="str">
        <f ca="1">IF(OFFSET(U34,$A69,0)="","",ROUND(SUM(OFFSET($F34:U34,$A69,0)),0))</f>
        <v/>
      </c>
      <c r="R69" s="1" t="str">
        <f ca="1">IF(OFFSET(V34,$A69,0)="","",ROUND(SUM(OFFSET($F34:V34,$A69,0)),0))</f>
        <v/>
      </c>
      <c r="S69" s="1" t="str">
        <f ca="1">IF(OFFSET(W34,$A69,0)="","",ROUND(SUM(OFFSET($F34:W34,$A69,0)),0))</f>
        <v/>
      </c>
      <c r="T69" s="1" t="str">
        <f ca="1">IF(OFFSET(X34,$A69,0)="","",ROUND(SUM(OFFSET($F34:X34,$A69,0)),0))</f>
        <v/>
      </c>
      <c r="U69" s="1" t="str">
        <f ca="1">IF(OFFSET(Z34,$A69,0)="","",SUM(OFFSET($F34:Z34,$A69,0)))</f>
        <v/>
      </c>
    </row>
    <row r="70" spans="1:21">
      <c r="A70" s="1">
        <v>3</v>
      </c>
      <c r="B70" s="1">
        <f ca="1">IF(OFFSET(F35,$A70,0)="","",ROUND(SUM(OFFSET($F35:F35,$A70,0)),0))</f>
        <v>1661</v>
      </c>
      <c r="C70" s="1">
        <f ca="1">IF(OFFSET(G35,$A70,0)="","",ROUND(SUM(OFFSET($F35:G35,$A70,0)),0))</f>
        <v>4983</v>
      </c>
      <c r="D70" s="1">
        <f ca="1">IF(OFFSET(H35,$A70,0)="","",ROUND(SUM(OFFSET($F35:H35,$A70,0)),0))</f>
        <v>9966</v>
      </c>
      <c r="E70" s="1">
        <f ca="1">IF(OFFSET(I35,$A70,0)="","",ROUND(SUM(OFFSET($F35:I35,$A70,0)),0))</f>
        <v>16610</v>
      </c>
      <c r="F70" s="1">
        <f ca="1">IF(OFFSET(J35,$A70,0)="","",ROUND(SUM(OFFSET($F35:J35,$A70,0)),0))</f>
        <v>24915</v>
      </c>
      <c r="G70" s="1">
        <f ca="1">IF(OFFSET(K35,$A70,0)="","",ROUND(SUM(OFFSET($F35:K35,$A70,0)),0))</f>
        <v>34881</v>
      </c>
      <c r="H70" s="1">
        <f ca="1">IF(OFFSET(L35,$A70,0)="","",ROUND(SUM(OFFSET($F35:L35,$A70,0)),0))</f>
        <v>46508</v>
      </c>
      <c r="I70" s="1">
        <f ca="1">IF(OFFSET(M35,$A70,0)="","",ROUND(SUM(OFFSET($F35:M35,$A70,0)),0))</f>
        <v>59796</v>
      </c>
      <c r="J70" s="1">
        <f ca="1">IF(OFFSET(N35,$A70,0)="","",ROUND(SUM(OFFSET($F35:N35,$A70,0)),0))</f>
        <v>74745</v>
      </c>
      <c r="K70" s="1" t="str">
        <f ca="1">IF(OFFSET(O35,$A70,0)="","",ROUND(SUM(OFFSET($F35:O35,$A70,0)),0))</f>
        <v/>
      </c>
      <c r="L70" s="1" t="str">
        <f ca="1">IF(OFFSET(P35,$A70,0)="","",ROUND(SUM(OFFSET($F35:P35,$A70,0)),0))</f>
        <v/>
      </c>
      <c r="M70" s="1" t="str">
        <f ca="1">IF(OFFSET(Q35,$A70,0)="","",ROUND(SUM(OFFSET($F35:Q35,$A70,0)),0))</f>
        <v/>
      </c>
      <c r="N70" s="1" t="str">
        <f ca="1">IF(OFFSET(R35,$A70,0)="","",ROUND(SUM(OFFSET($F35:R35,$A70,0)),0))</f>
        <v/>
      </c>
      <c r="O70" s="1" t="str">
        <f ca="1">IF(OFFSET(S35,$A70,0)="","",ROUND(SUM(OFFSET($F35:S35,$A70,0)),0))</f>
        <v/>
      </c>
      <c r="P70" s="1" t="str">
        <f ca="1">IF(OFFSET(T35,$A70,0)="","",ROUND(SUM(OFFSET($F35:T35,$A70,0)),0))</f>
        <v/>
      </c>
      <c r="Q70" s="1" t="str">
        <f ca="1">IF(OFFSET(U35,$A70,0)="","",ROUND(SUM(OFFSET($F35:U35,$A70,0)),0))</f>
        <v/>
      </c>
      <c r="R70" s="1" t="str">
        <f ca="1">IF(OFFSET(V35,$A70,0)="","",ROUND(SUM(OFFSET($F35:V35,$A70,0)),0))</f>
        <v/>
      </c>
      <c r="S70" s="1" t="str">
        <f ca="1">IF(OFFSET(W35,$A70,0)="","",ROUND(SUM(OFFSET($F35:W35,$A70,0)),0))</f>
        <v/>
      </c>
      <c r="T70" s="1" t="str">
        <f ca="1">IF(OFFSET(X35,$A70,0)="","",ROUND(SUM(OFFSET($F35:X35,$A70,0)),0))</f>
        <v/>
      </c>
      <c r="U70" s="1" t="str">
        <f ca="1">IF(OFFSET(Z35,$A70,0)="","",SUM(OFFSET($F35:Z35,$A70,0)))</f>
        <v/>
      </c>
    </row>
    <row r="71" spans="1:21">
      <c r="A71" s="1">
        <v>4</v>
      </c>
      <c r="B71" s="1">
        <f ca="1">IF(OFFSET(F36,$A71,0)="","",ROUND(SUM(OFFSET($F36:F36,$A71,0)),0))</f>
        <v>2346</v>
      </c>
      <c r="C71" s="1">
        <f ca="1">IF(OFFSET(G36,$A71,0)="","",ROUND(SUM(OFFSET($F36:G36,$A71,0)),0))</f>
        <v>7037</v>
      </c>
      <c r="D71" s="1">
        <f ca="1">IF(OFFSET(H36,$A71,0)="","",ROUND(SUM(OFFSET($F36:H36,$A71,0)),0))</f>
        <v>14075</v>
      </c>
      <c r="E71" s="1">
        <f ca="1">IF(OFFSET(I36,$A71,0)="","",ROUND(SUM(OFFSET($F36:I36,$A71,0)),0))</f>
        <v>23458</v>
      </c>
      <c r="F71" s="1">
        <f ca="1">IF(OFFSET(J36,$A71,0)="","",ROUND(SUM(OFFSET($F36:J36,$A71,0)),0))</f>
        <v>35187</v>
      </c>
      <c r="G71" s="1">
        <f ca="1">IF(OFFSET(K36,$A71,0)="","",ROUND(SUM(OFFSET($F36:K36,$A71,0)),0))</f>
        <v>49261</v>
      </c>
      <c r="H71" s="1">
        <f ca="1">IF(OFFSET(L36,$A71,0)="","",ROUND(SUM(OFFSET($F36:L36,$A71,0)),0))</f>
        <v>65682</v>
      </c>
      <c r="I71" s="1">
        <f ca="1">IF(OFFSET(M36,$A71,0)="","",ROUND(SUM(OFFSET($F36:M36,$A71,0)),0))</f>
        <v>84448</v>
      </c>
      <c r="J71" s="1">
        <f ca="1">IF(OFFSET(N36,$A71,0)="","",ROUND(SUM(OFFSET($F36:N36,$A71,0)),0))</f>
        <v>105560</v>
      </c>
      <c r="K71" s="1" t="str">
        <f ca="1">IF(OFFSET(O36,$A71,0)="","",ROUND(SUM(OFFSET($F36:O36,$A71,0)),0))</f>
        <v/>
      </c>
      <c r="L71" s="1" t="str">
        <f ca="1">IF(OFFSET(P36,$A71,0)="","",ROUND(SUM(OFFSET($F36:P36,$A71,0)),0))</f>
        <v/>
      </c>
      <c r="M71" s="1" t="str">
        <f ca="1">IF(OFFSET(Q36,$A71,0)="","",ROUND(SUM(OFFSET($F36:Q36,$A71,0)),0))</f>
        <v/>
      </c>
      <c r="N71" s="1" t="str">
        <f ca="1">IF(OFFSET(R36,$A71,0)="","",ROUND(SUM(OFFSET($F36:R36,$A71,0)),0))</f>
        <v/>
      </c>
      <c r="O71" s="1" t="str">
        <f ca="1">IF(OFFSET(S36,$A71,0)="","",ROUND(SUM(OFFSET($F36:S36,$A71,0)),0))</f>
        <v/>
      </c>
      <c r="P71" s="1" t="str">
        <f ca="1">IF(OFFSET(T36,$A71,0)="","",ROUND(SUM(OFFSET($F36:T36,$A71,0)),0))</f>
        <v/>
      </c>
      <c r="Q71" s="1" t="str">
        <f ca="1">IF(OFFSET(U36,$A71,0)="","",ROUND(SUM(OFFSET($F36:U36,$A71,0)),0))</f>
        <v/>
      </c>
      <c r="R71" s="1" t="str">
        <f ca="1">IF(OFFSET(V36,$A71,0)="","",ROUND(SUM(OFFSET($F36:V36,$A71,0)),0))</f>
        <v/>
      </c>
      <c r="S71" s="1" t="str">
        <f ca="1">IF(OFFSET(W36,$A71,0)="","",ROUND(SUM(OFFSET($F36:W36,$A71,0)),0))</f>
        <v/>
      </c>
      <c r="T71" s="1" t="str">
        <f ca="1">IF(OFFSET(X36,$A71,0)="","",ROUND(SUM(OFFSET($F36:X36,$A71,0)),0))</f>
        <v/>
      </c>
      <c r="U71" s="1" t="str">
        <f ca="1">IF(OFFSET(Z36,$A71,0)="","",SUM(OFFSET($F36:Z36,$A71,0)))</f>
        <v/>
      </c>
    </row>
    <row r="72" spans="1:21">
      <c r="A72" s="1">
        <v>5</v>
      </c>
      <c r="B72" s="1">
        <f ca="1">IF(OFFSET(F37,$A72,0)="","",ROUND(SUM(OFFSET($F37:F37,$A72,0)),0))</f>
        <v>1971</v>
      </c>
      <c r="C72" s="1">
        <f ca="1">IF(OFFSET(G37,$A72,0)="","",ROUND(SUM(OFFSET($F37:G37,$A72,0)),0))</f>
        <v>5913</v>
      </c>
      <c r="D72" s="1">
        <f ca="1">IF(OFFSET(H37,$A72,0)="","",ROUND(SUM(OFFSET($F37:H37,$A72,0)),0))</f>
        <v>11826</v>
      </c>
      <c r="E72" s="1">
        <f ca="1">IF(OFFSET(I37,$A72,0)="","",ROUND(SUM(OFFSET($F37:I37,$A72,0)),0))</f>
        <v>19711</v>
      </c>
      <c r="F72" s="1">
        <f ca="1">IF(OFFSET(J37,$A72,0)="","",ROUND(SUM(OFFSET($F37:J37,$A72,0)),0))</f>
        <v>29566</v>
      </c>
      <c r="G72" s="1">
        <f ca="1">IF(OFFSET(K37,$A72,0)="","",ROUND(SUM(OFFSET($F37:K37,$A72,0)),0))</f>
        <v>41393</v>
      </c>
      <c r="H72" s="1">
        <f ca="1">IF(OFFSET(L37,$A72,0)="","",ROUND(SUM(OFFSET($F37:L37,$A72,0)),0))</f>
        <v>55190</v>
      </c>
      <c r="I72" s="1">
        <f ca="1">IF(OFFSET(M37,$A72,0)="","",ROUND(SUM(OFFSET($F37:M37,$A72,0)),0))</f>
        <v>70959</v>
      </c>
      <c r="J72" s="1">
        <f ca="1">IF(OFFSET(N37,$A72,0)="","",ROUND(SUM(OFFSET($F37:N37,$A72,0)),0))</f>
        <v>88698</v>
      </c>
      <c r="K72" s="1">
        <f ca="1">IF(OFFSET(O37,$A72,0)="","",ROUND(SUM(OFFSET($F37:O37,$A72,0)),0))</f>
        <v>108409</v>
      </c>
      <c r="L72" s="1">
        <f ca="1">IF(OFFSET(P37,$A72,0)="","",ROUND(SUM(OFFSET($F37:P37,$A72,0)),0))</f>
        <v>130091</v>
      </c>
      <c r="M72" s="1">
        <f ca="1">IF(OFFSET(Q37,$A72,0)="","",ROUND(SUM(OFFSET($F37:Q37,$A72,0)),0))</f>
        <v>153744</v>
      </c>
      <c r="N72" s="1">
        <f ca="1">IF(OFFSET(R37,$A72,0)="","",ROUND(SUM(OFFSET($F37:R37,$A72,0)),0))</f>
        <v>179368</v>
      </c>
      <c r="O72" s="1">
        <f ca="1">IF(OFFSET(S37,$A72,0)="","",ROUND(SUM(OFFSET($F37:S37,$A72,0)),0))</f>
        <v>206963</v>
      </c>
      <c r="P72" s="1" t="str">
        <f ca="1">IF(OFFSET(T37,$A72,0)="","",ROUND(SUM(OFFSET($F37:T37,$A72,0)),0))</f>
        <v/>
      </c>
      <c r="Q72" s="1" t="str">
        <f ca="1">IF(OFFSET(U37,$A72,0)="","",ROUND(SUM(OFFSET($F37:U37,$A72,0)),0))</f>
        <v/>
      </c>
      <c r="R72" s="1" t="str">
        <f ca="1">IF(OFFSET(V37,$A72,0)="","",ROUND(SUM(OFFSET($F37:V37,$A72,0)),0))</f>
        <v/>
      </c>
      <c r="S72" s="1" t="str">
        <f ca="1">IF(OFFSET(W37,$A72,0)="","",ROUND(SUM(OFFSET($F37:W37,$A72,0)),0))</f>
        <v/>
      </c>
      <c r="T72" s="1" t="str">
        <f ca="1">IF(OFFSET(X37,$A72,0)="","",ROUND(SUM(OFFSET($F37:X37,$A72,0)),0))</f>
        <v/>
      </c>
      <c r="U72" s="1" t="str">
        <f ca="1">IF(OFFSET(Z37,$A72,0)="","",SUM(OFFSET($F37:Z37,$A72,0)))</f>
        <v/>
      </c>
    </row>
    <row r="73" spans="1:21">
      <c r="A73" s="1">
        <v>6</v>
      </c>
      <c r="B73" s="1">
        <f ca="1">IF(OFFSET(F38,$A73,0)="","",ROUND(SUM(OFFSET($F38:F38,$A73,0)),0))</f>
        <v>2453</v>
      </c>
      <c r="C73" s="1">
        <f ca="1">IF(OFFSET(G38,$A73,0)="","",ROUND(SUM(OFFSET($F38:G38,$A73,0)),0))</f>
        <v>7359</v>
      </c>
      <c r="D73" s="1">
        <f ca="1">IF(OFFSET(H38,$A73,0)="","",ROUND(SUM(OFFSET($F38:H38,$A73,0)),0))</f>
        <v>14718</v>
      </c>
      <c r="E73" s="1">
        <f ca="1">IF(OFFSET(I38,$A73,0)="","",ROUND(SUM(OFFSET($F38:I38,$A73,0)),0))</f>
        <v>24531</v>
      </c>
      <c r="F73" s="1">
        <f ca="1">IF(OFFSET(J38,$A73,0)="","",ROUND(SUM(OFFSET($F38:J38,$A73,0)),0))</f>
        <v>36796</v>
      </c>
      <c r="G73" s="1">
        <f ca="1">IF(OFFSET(K38,$A73,0)="","",ROUND(SUM(OFFSET($F38:K38,$A73,0)),0))</f>
        <v>51515</v>
      </c>
      <c r="H73" s="1">
        <f ca="1">IF(OFFSET(L38,$A73,0)="","",ROUND(SUM(OFFSET($F38:L38,$A73,0)),0))</f>
        <v>68686</v>
      </c>
      <c r="I73" s="1">
        <f ca="1">IF(OFFSET(M38,$A73,0)="","",ROUND(SUM(OFFSET($F38:M38,$A73,0)),0))</f>
        <v>88311</v>
      </c>
      <c r="J73" s="1">
        <f ca="1">IF(OFFSET(N38,$A73,0)="","",ROUND(SUM(OFFSET($F38:N38,$A73,0)),0))</f>
        <v>110388</v>
      </c>
      <c r="K73" s="1">
        <f ca="1">IF(OFFSET(O38,$A73,0)="","",ROUND(SUM(OFFSET($F38:O38,$A73,0)),0))</f>
        <v>134919</v>
      </c>
      <c r="L73" s="1">
        <f ca="1">IF(OFFSET(P38,$A73,0)="","",ROUND(SUM(OFFSET($F38:P38,$A73,0)),0))</f>
        <v>161903</v>
      </c>
      <c r="M73" s="1">
        <f ca="1">IF(OFFSET(Q38,$A73,0)="","",ROUND(SUM(OFFSET($F38:Q38,$A73,0)),0))</f>
        <v>191340</v>
      </c>
      <c r="N73" s="1">
        <f ca="1">IF(OFFSET(R38,$A73,0)="","",ROUND(SUM(OFFSET($F38:R38,$A73,0)),0))</f>
        <v>223230</v>
      </c>
      <c r="O73" s="1">
        <f ca="1">IF(OFFSET(S38,$A73,0)="","",ROUND(SUM(OFFSET($F38:S38,$A73,0)),0))</f>
        <v>257573</v>
      </c>
      <c r="P73" s="1" t="str">
        <f ca="1">IF(OFFSET(T38,$A73,0)="","",ROUND(SUM(OFFSET($F38:T38,$A73,0)),0))</f>
        <v/>
      </c>
      <c r="Q73" s="1" t="str">
        <f ca="1">IF(OFFSET(U38,$A73,0)="","",ROUND(SUM(OFFSET($F38:U38,$A73,0)),0))</f>
        <v/>
      </c>
      <c r="R73" s="1" t="str">
        <f ca="1">IF(OFFSET(V38,$A73,0)="","",ROUND(SUM(OFFSET($F38:V38,$A73,0)),0))</f>
        <v/>
      </c>
      <c r="S73" s="1" t="str">
        <f ca="1">IF(OFFSET(W38,$A73,0)="","",ROUND(SUM(OFFSET($F38:W38,$A73,0)),0))</f>
        <v/>
      </c>
      <c r="T73" s="1" t="str">
        <f ca="1">IF(OFFSET(X38,$A73,0)="","",ROUND(SUM(OFFSET($F38:X38,$A73,0)),0))</f>
        <v/>
      </c>
      <c r="U73" s="1" t="str">
        <f ca="1">IF(OFFSET(Z38,$A73,0)="","",SUM(OFFSET($F38:Z38,$A73,0)))</f>
        <v/>
      </c>
    </row>
    <row r="74" spans="1:21">
      <c r="A74" s="1">
        <v>7</v>
      </c>
      <c r="B74" s="1">
        <f ca="1">IF(OFFSET(F39,$A74,0)="","",ROUND(SUM(OFFSET($F39:F39,$A74,0)),0))</f>
        <v>2952</v>
      </c>
      <c r="C74" s="1">
        <f ca="1">IF(OFFSET(G39,$A74,0)="","",ROUND(SUM(OFFSET($F39:G39,$A74,0)),0))</f>
        <v>8855</v>
      </c>
      <c r="D74" s="1">
        <f ca="1">IF(OFFSET(H39,$A74,0)="","",ROUND(SUM(OFFSET($F39:H39,$A74,0)),0))</f>
        <v>17709</v>
      </c>
      <c r="E74" s="1">
        <f ca="1">IF(OFFSET(I39,$A74,0)="","",ROUND(SUM(OFFSET($F39:I39,$A74,0)),0))</f>
        <v>29516</v>
      </c>
      <c r="F74" s="1">
        <f ca="1">IF(OFFSET(J39,$A74,0)="","",ROUND(SUM(OFFSET($F39:J39,$A74,0)),0))</f>
        <v>44274</v>
      </c>
      <c r="G74" s="1">
        <f ca="1">IF(OFFSET(K39,$A74,0)="","",ROUND(SUM(OFFSET($F39:K39,$A74,0)),0))</f>
        <v>61983</v>
      </c>
      <c r="H74" s="1">
        <f ca="1">IF(OFFSET(L39,$A74,0)="","",ROUND(SUM(OFFSET($F39:L39,$A74,0)),0))</f>
        <v>82644</v>
      </c>
      <c r="I74" s="1">
        <f ca="1">IF(OFFSET(M39,$A74,0)="","",ROUND(SUM(OFFSET($F39:M39,$A74,0)),0))</f>
        <v>106257</v>
      </c>
      <c r="J74" s="1">
        <f ca="1">IF(OFFSET(N39,$A74,0)="","",ROUND(SUM(OFFSET($F39:N39,$A74,0)),0))</f>
        <v>132821</v>
      </c>
      <c r="K74" s="1">
        <f ca="1">IF(OFFSET(O39,$A74,0)="","",ROUND(SUM(OFFSET($F39:O39,$A74,0)),0))</f>
        <v>162336</v>
      </c>
      <c r="L74" s="1">
        <f ca="1">IF(OFFSET(P39,$A74,0)="","",ROUND(SUM(OFFSET($F39:P39,$A74,0)),0))</f>
        <v>194804</v>
      </c>
      <c r="M74" s="1">
        <f ca="1">IF(OFFSET(Q39,$A74,0)="","",ROUND(SUM(OFFSET($F39:Q39,$A74,0)),0))</f>
        <v>230223</v>
      </c>
      <c r="N74" s="1">
        <f ca="1">IF(OFFSET(R39,$A74,0)="","",ROUND(SUM(OFFSET($F39:R39,$A74,0)),0))</f>
        <v>268593</v>
      </c>
      <c r="O74" s="1">
        <f ca="1">IF(OFFSET(S39,$A74,0)="","",ROUND(SUM(OFFSET($F39:S39,$A74,0)),0))</f>
        <v>309915</v>
      </c>
      <c r="P74" s="1" t="str">
        <f ca="1">IF(OFFSET(T39,$A74,0)="","",ROUND(SUM(OFFSET($F39:T39,$A74,0)),0))</f>
        <v/>
      </c>
      <c r="Q74" s="1" t="str">
        <f ca="1">IF(OFFSET(U39,$A74,0)="","",ROUND(SUM(OFFSET($F39:U39,$A74,0)),0))</f>
        <v/>
      </c>
      <c r="R74" s="1" t="str">
        <f ca="1">IF(OFFSET(V39,$A74,0)="","",ROUND(SUM(OFFSET($F39:V39,$A74,0)),0))</f>
        <v/>
      </c>
      <c r="S74" s="1" t="str">
        <f ca="1">IF(OFFSET(W39,$A74,0)="","",ROUND(SUM(OFFSET($F39:W39,$A74,0)),0))</f>
        <v/>
      </c>
      <c r="T74" s="1" t="str">
        <f ca="1">IF(OFFSET(X39,$A74,0)="","",ROUND(SUM(OFFSET($F39:X39,$A74,0)),0))</f>
        <v/>
      </c>
      <c r="U74" s="1" t="str">
        <f ca="1">IF(OFFSET(Z39,$A74,0)="","",SUM(OFFSET($F39:Z39,$A74,0)))</f>
        <v/>
      </c>
    </row>
    <row r="75" spans="1:21">
      <c r="A75" s="1">
        <v>8</v>
      </c>
      <c r="B75" s="1">
        <f ca="1">IF(OFFSET(F40,$A75,0)="","",ROUND(SUM(OFFSET($F40:F40,$A75,0)),0))</f>
        <v>2553</v>
      </c>
      <c r="C75" s="1">
        <f ca="1">IF(OFFSET(G40,$A75,0)="","",ROUND(SUM(OFFSET($F40:G40,$A75,0)),0))</f>
        <v>7658</v>
      </c>
      <c r="D75" s="1">
        <f ca="1">IF(OFFSET(H40,$A75,0)="","",ROUND(SUM(OFFSET($F40:H40,$A75,0)),0))</f>
        <v>15317</v>
      </c>
      <c r="E75" s="1">
        <f ca="1">IF(OFFSET(I40,$A75,0)="","",ROUND(SUM(OFFSET($F40:I40,$A75,0)),0))</f>
        <v>25528</v>
      </c>
      <c r="F75" s="1">
        <f ca="1">IF(OFFSET(J40,$A75,0)="","",ROUND(SUM(OFFSET($F40:J40,$A75,0)),0))</f>
        <v>38292</v>
      </c>
      <c r="G75" s="1">
        <f ca="1">IF(OFFSET(K40,$A75,0)="","",ROUND(SUM(OFFSET($F40:K40,$A75,0)),0))</f>
        <v>53609</v>
      </c>
      <c r="H75" s="1">
        <f ca="1">IF(OFFSET(L40,$A75,0)="","",ROUND(SUM(OFFSET($F40:L40,$A75,0)),0))</f>
        <v>71478</v>
      </c>
      <c r="I75" s="1">
        <f ca="1">IF(OFFSET(M40,$A75,0)="","",ROUND(SUM(OFFSET($F40:M40,$A75,0)),0))</f>
        <v>91900</v>
      </c>
      <c r="J75" s="1">
        <f ca="1">IF(OFFSET(N40,$A75,0)="","",ROUND(SUM(OFFSET($F40:N40,$A75,0)),0))</f>
        <v>114876</v>
      </c>
      <c r="K75" s="1">
        <f ca="1">IF(OFFSET(O40,$A75,0)="","",ROUND(SUM(OFFSET($F40:O40,$A75,0)),0))</f>
        <v>140403</v>
      </c>
      <c r="L75" s="1">
        <f ca="1">IF(OFFSET(P40,$A75,0)="","",ROUND(SUM(OFFSET($F40:P40,$A75,0)),0))</f>
        <v>168484</v>
      </c>
      <c r="M75" s="1">
        <f ca="1">IF(OFFSET(Q40,$A75,0)="","",ROUND(SUM(OFFSET($F40:Q40,$A75,0)),0))</f>
        <v>199118</v>
      </c>
      <c r="N75" s="1">
        <f ca="1">IF(OFFSET(R40,$A75,0)="","",ROUND(SUM(OFFSET($F40:R40,$A75,0)),0))</f>
        <v>232304</v>
      </c>
      <c r="O75" s="1">
        <f ca="1">IF(OFFSET(S40,$A75,0)="","",ROUND(SUM(OFFSET($F40:S40,$A75,0)),0))</f>
        <v>268043</v>
      </c>
      <c r="P75" s="1">
        <f ca="1">IF(OFFSET(T40,$A75,0)="","",ROUND(SUM(OFFSET($F40:T40,$A75,0)),0))</f>
        <v>306335</v>
      </c>
      <c r="Q75" s="1">
        <f ca="1">IF(OFFSET(U40,$A75,0)="","",ROUND(SUM(OFFSET($F40:U40,$A75,0)),0))</f>
        <v>347179</v>
      </c>
      <c r="R75" s="1">
        <f ca="1">IF(OFFSET(V40,$A75,0)="","",ROUND(SUM(OFFSET($F40:V40,$A75,0)),0))</f>
        <v>390577</v>
      </c>
      <c r="S75" s="1">
        <f ca="1">IF(OFFSET(W40,$A75,0)="","",ROUND(SUM(OFFSET($F40:W40,$A75,0)),0))</f>
        <v>436527</v>
      </c>
      <c r="T75" s="1">
        <f ca="1">IF(OFFSET(X40,$A75,0)="","",ROUND(SUM(OFFSET($F40:X40,$A75,0)),0))</f>
        <v>485030</v>
      </c>
      <c r="U75" s="1" t="str">
        <f ca="1">IF(OFFSET(Z40,$A75,0)="","",SUM(OFFSET($F40:Z40,$A75,0)))</f>
        <v/>
      </c>
    </row>
    <row r="76" spans="1:21">
      <c r="A76" s="1">
        <v>9</v>
      </c>
      <c r="B76" s="1">
        <f ca="1">IF(OFFSET(F41,$A76,0)="","",ROUND(SUM(OFFSET($F41:F41,$A76,0)),0))</f>
        <v>2940</v>
      </c>
      <c r="C76" s="1">
        <f ca="1">IF(OFFSET(G41,$A76,0)="","",ROUND(SUM(OFFSET($F41:G41,$A76,0)),0))</f>
        <v>8821</v>
      </c>
      <c r="D76" s="1">
        <f ca="1">IF(OFFSET(H41,$A76,0)="","",ROUND(SUM(OFFSET($F41:H41,$A76,0)),0))</f>
        <v>17642</v>
      </c>
      <c r="E76" s="1">
        <f ca="1">IF(OFFSET(I41,$A76,0)="","",ROUND(SUM(OFFSET($F41:I41,$A76,0)),0))</f>
        <v>29403</v>
      </c>
      <c r="F76" s="1">
        <f ca="1">IF(OFFSET(J41,$A76,0)="","",ROUND(SUM(OFFSET($F41:J41,$A76,0)),0))</f>
        <v>44105</v>
      </c>
      <c r="G76" s="1">
        <f ca="1">IF(OFFSET(K41,$A76,0)="","",ROUND(SUM(OFFSET($F41:K41,$A76,0)),0))</f>
        <v>61747</v>
      </c>
      <c r="H76" s="1">
        <f ca="1">IF(OFFSET(L41,$A76,0)="","",ROUND(SUM(OFFSET($F41:L41,$A76,0)),0))</f>
        <v>82329</v>
      </c>
      <c r="I76" s="1">
        <f ca="1">IF(OFFSET(M41,$A76,0)="","",ROUND(SUM(OFFSET($F41:M41,$A76,0)),0))</f>
        <v>105851</v>
      </c>
      <c r="J76" s="1">
        <f ca="1">IF(OFFSET(N41,$A76,0)="","",ROUND(SUM(OFFSET($F41:N41,$A76,0)),0))</f>
        <v>132314</v>
      </c>
      <c r="K76" s="1">
        <f ca="1">IF(OFFSET(O41,$A76,0)="","",ROUND(SUM(OFFSET($F41:O41,$A76,0)),0))</f>
        <v>161717</v>
      </c>
      <c r="L76" s="1">
        <f ca="1">IF(OFFSET(P41,$A76,0)="","",ROUND(SUM(OFFSET($F41:P41,$A76,0)),0))</f>
        <v>194061</v>
      </c>
      <c r="M76" s="1">
        <f ca="1">IF(OFFSET(Q41,$A76,0)="","",ROUND(SUM(OFFSET($F41:Q41,$A76,0)),0))</f>
        <v>229345</v>
      </c>
      <c r="N76" s="1">
        <f ca="1">IF(OFFSET(R41,$A76,0)="","",ROUND(SUM(OFFSET($F41:R41,$A76,0)),0))</f>
        <v>267569</v>
      </c>
      <c r="O76" s="1">
        <f ca="1">IF(OFFSET(S41,$A76,0)="","",ROUND(SUM(OFFSET($F41:S41,$A76,0)),0))</f>
        <v>308733</v>
      </c>
      <c r="P76" s="1">
        <f ca="1">IF(OFFSET(T41,$A76,0)="","",ROUND(SUM(OFFSET($F41:T41,$A76,0)),0))</f>
        <v>352838</v>
      </c>
      <c r="Q76" s="1">
        <f ca="1">IF(OFFSET(U41,$A76,0)="","",ROUND(SUM(OFFSET($F41:U41,$A76,0)),0))</f>
        <v>399883</v>
      </c>
      <c r="R76" s="1">
        <f ca="1">IF(OFFSET(V41,$A76,0)="","",ROUND(SUM(OFFSET($F41:V41,$A76,0)),0))</f>
        <v>449868</v>
      </c>
      <c r="S76" s="1">
        <f ca="1">IF(OFFSET(W41,$A76,0)="","",ROUND(SUM(OFFSET($F41:W41,$A76,0)),0))</f>
        <v>502794</v>
      </c>
      <c r="T76" s="1">
        <f ca="1">IF(OFFSET(X41,$A76,0)="","",ROUND(SUM(OFFSET($F41:X41,$A76,0)),0))</f>
        <v>558660</v>
      </c>
      <c r="U76" s="1" t="str">
        <f ca="1">IF(OFFSET(Z41,$A76,0)="","",SUM(OFFSET($F41:Z41,$A76,0)))</f>
        <v/>
      </c>
    </row>
    <row r="77" spans="1:21">
      <c r="A77" s="1">
        <v>10</v>
      </c>
      <c r="B77" s="1">
        <f ca="1">IF(OFFSET(F42,$A77,0)="","",ROUND(SUM(OFFSET($F42:F42,$A77,0)),0))</f>
        <v>3337</v>
      </c>
      <c r="C77" s="1">
        <f ca="1">IF(OFFSET(G42,$A77,0)="","",ROUND(SUM(OFFSET($F42:G42,$A77,0)),0))</f>
        <v>10010</v>
      </c>
      <c r="D77" s="1">
        <f ca="1">IF(OFFSET(H42,$A77,0)="","",ROUND(SUM(OFFSET($F42:H42,$A77,0)),0))</f>
        <v>20020</v>
      </c>
      <c r="E77" s="1">
        <f ca="1">IF(OFFSET(I42,$A77,0)="","",ROUND(SUM(OFFSET($F42:I42,$A77,0)),0))</f>
        <v>33366</v>
      </c>
      <c r="F77" s="1">
        <f ca="1">IF(OFFSET(J42,$A77,0)="","",ROUND(SUM(OFFSET($F42:J42,$A77,0)),0))</f>
        <v>50049</v>
      </c>
      <c r="G77" s="1">
        <f ca="1">IF(OFFSET(K42,$A77,0)="","",ROUND(SUM(OFFSET($F42:K42,$A77,0)),0))</f>
        <v>70069</v>
      </c>
      <c r="H77" s="1">
        <f ca="1">IF(OFFSET(L42,$A77,0)="","",ROUND(SUM(OFFSET($F42:L42,$A77,0)),0))</f>
        <v>93426</v>
      </c>
      <c r="I77" s="1">
        <f ca="1">IF(OFFSET(M42,$A77,0)="","",ROUND(SUM(OFFSET($F42:M42,$A77,0)),0))</f>
        <v>120119</v>
      </c>
      <c r="J77" s="1">
        <f ca="1">IF(OFFSET(N42,$A77,0)="","",ROUND(SUM(OFFSET($F42:N42,$A77,0)),0))</f>
        <v>150148</v>
      </c>
      <c r="K77" s="1">
        <f ca="1">IF(OFFSET(O42,$A77,0)="","",ROUND(SUM(OFFSET($F42:O42,$A77,0)),0))</f>
        <v>183515</v>
      </c>
      <c r="L77" s="1">
        <f ca="1">IF(OFFSET(P42,$A77,0)="","",ROUND(SUM(OFFSET($F42:P42,$A77,0)),0))</f>
        <v>220218</v>
      </c>
      <c r="M77" s="1">
        <f ca="1">IF(OFFSET(Q42,$A77,0)="","",ROUND(SUM(OFFSET($F42:Q42,$A77,0)),0))</f>
        <v>260257</v>
      </c>
      <c r="N77" s="1">
        <f ca="1">IF(OFFSET(R42,$A77,0)="","",ROUND(SUM(OFFSET($F42:R42,$A77,0)),0))</f>
        <v>303633</v>
      </c>
      <c r="O77" s="1">
        <f ca="1">IF(OFFSET(S42,$A77,0)="","",ROUND(SUM(OFFSET($F42:S42,$A77,0)),0))</f>
        <v>350346</v>
      </c>
      <c r="P77" s="1">
        <f ca="1">IF(OFFSET(T42,$A77,0)="","",ROUND(SUM(OFFSET($F42:T42,$A77,0)),0))</f>
        <v>400396</v>
      </c>
      <c r="Q77" s="1">
        <f ca="1">IF(OFFSET(U42,$A77,0)="","",ROUND(SUM(OFFSET($F42:U42,$A77,0)),0))</f>
        <v>453782</v>
      </c>
      <c r="R77" s="1">
        <f ca="1">IF(OFFSET(V42,$A77,0)="","",ROUND(SUM(OFFSET($F42:V42,$A77,0)),0))</f>
        <v>510505</v>
      </c>
      <c r="S77" s="1">
        <f ca="1">IF(OFFSET(W42,$A77,0)="","",ROUND(SUM(OFFSET($F42:W42,$A77,0)),0))</f>
        <v>570564</v>
      </c>
      <c r="T77" s="1">
        <f ca="1">IF(OFFSET(X42,$A77,0)="","",ROUND(SUM(OFFSET($F42:X42,$A77,0)),0))</f>
        <v>633960</v>
      </c>
      <c r="U77" s="1" t="str">
        <f ca="1">IF(OFFSET(Z42,$A77,0)="","",SUM(OFFSET($F42:Z42,$A77,0)))</f>
        <v/>
      </c>
    </row>
    <row r="78" spans="1:21">
      <c r="A78" s="1">
        <v>11</v>
      </c>
      <c r="B78" s="6">
        <f ca="1">IF(OFFSET(F43,$A78,0)="","",ROUND(SUM(OFFSET($F43:F43,$A78,0)),0))</f>
        <v>3741</v>
      </c>
      <c r="C78" s="1">
        <f ca="1">IF(OFFSET(G43,$A78,0)="","",ROUND(SUM(OFFSET($F43:G43,$A78,0)),0))</f>
        <v>11223</v>
      </c>
      <c r="D78" s="1">
        <f ca="1">IF(OFFSET(H43,$A78,0)="","",ROUND(SUM(OFFSET($F43:H43,$A78,0)),0))</f>
        <v>22445</v>
      </c>
      <c r="E78" s="1">
        <f ca="1">IF(OFFSET(I43,$A78,0)="","",ROUND(SUM(OFFSET($F43:I43,$A78,0)),0))</f>
        <v>37409</v>
      </c>
      <c r="F78" s="1">
        <f ca="1">IF(OFFSET(J43,$A78,0)="","",ROUND(SUM(OFFSET($F43:J43,$A78,0)),0))</f>
        <v>56113</v>
      </c>
      <c r="G78" s="1">
        <f ca="1">IF(OFFSET(K43,$A78,0)="","",ROUND(SUM(OFFSET($F43:K43,$A78,0)),0))</f>
        <v>78559</v>
      </c>
      <c r="H78" s="1">
        <f ca="1">IF(OFFSET(L43,$A78,0)="","",ROUND(SUM(OFFSET($F43:L43,$A78,0)),0))</f>
        <v>104745</v>
      </c>
      <c r="I78" s="1">
        <f ca="1">IF(OFFSET(M43,$A78,0)="","",ROUND(SUM(OFFSET($F43:M43,$A78,0)),0))</f>
        <v>134672</v>
      </c>
      <c r="J78" s="1">
        <f ca="1">IF(OFFSET(N43,$A78,0)="","",ROUND(SUM(OFFSET($F43:N43,$A78,0)),0))</f>
        <v>168340</v>
      </c>
      <c r="K78" s="1">
        <f ca="1">IF(OFFSET(O43,$A78,0)="","",ROUND(SUM(OFFSET($F43:O43,$A78,0)),0))</f>
        <v>205749</v>
      </c>
      <c r="L78" s="1">
        <f ca="1">IF(OFFSET(P43,$A78,0)="","",ROUND(SUM(OFFSET($F43:P43,$A78,0)),0))</f>
        <v>246899</v>
      </c>
      <c r="M78" s="1">
        <f ca="1">IF(OFFSET(Q43,$A78,0)="","",ROUND(SUM(OFFSET($F43:Q43,$A78,0)),0))</f>
        <v>291790</v>
      </c>
      <c r="N78" s="1">
        <f ca="1">IF(OFFSET(R43,$A78,0)="","",ROUND(SUM(OFFSET($F43:R43,$A78,0)),0))</f>
        <v>340421</v>
      </c>
      <c r="O78" s="1">
        <f ca="1">IF(OFFSET(S43,$A78,0)="","",ROUND(SUM(OFFSET($F43:S43,$A78,0)),0))</f>
        <v>392794</v>
      </c>
      <c r="P78" s="1">
        <f ca="1">IF(OFFSET(T43,$A78,0)="","",ROUND(SUM(OFFSET($F43:T43,$A78,0)),0))</f>
        <v>448907</v>
      </c>
      <c r="Q78" s="1">
        <f ca="1">IF(OFFSET(U43,$A78,0)="","",ROUND(SUM(OFFSET($F43:U43,$A78,0)),0))</f>
        <v>508762</v>
      </c>
      <c r="R78" s="1">
        <f ca="1">IF(OFFSET(V43,$A78,0)="","",ROUND(SUM(OFFSET($F43:V43,$A78,0)),0))</f>
        <v>572357</v>
      </c>
      <c r="S78" s="1">
        <f ca="1">IF(OFFSET(W43,$A78,0)="","",ROUND(SUM(OFFSET($F43:W43,$A78,0)),0))</f>
        <v>639693</v>
      </c>
      <c r="T78" s="1">
        <f ca="1">IF(OFFSET(X43,$A78,0)="","",ROUND(SUM(OFFSET($F43:X43,$A78,0)),0))</f>
        <v>710770</v>
      </c>
      <c r="U78" s="1"/>
    </row>
    <row r="79" spans="1:21">
      <c r="A79" s="1">
        <v>12</v>
      </c>
      <c r="B79" s="6">
        <f ca="1">IF(OFFSET(F44,$A79,0)="","",ROUND(SUM(OFFSET($F44:F44,$A79,0)),0))</f>
        <v>4153</v>
      </c>
      <c r="C79" s="1">
        <f ca="1">IF(OFFSET(G44,$A79,0)="","",ROUND(SUM(OFFSET($F44:G44,$A79,0)),0))</f>
        <v>12458</v>
      </c>
      <c r="D79" s="1">
        <f ca="1">IF(OFFSET(H44,$A79,0)="","",ROUND(SUM(OFFSET($F44:H44,$A79,0)),0))</f>
        <v>24916</v>
      </c>
      <c r="E79" s="1">
        <f ca="1">IF(OFFSET(I44,$A79,0)="","",ROUND(SUM(OFFSET($F44:I44,$A79,0)),0))</f>
        <v>41526</v>
      </c>
      <c r="F79" s="1">
        <f ca="1">IF(OFFSET(J44,$A79,0)="","",ROUND(SUM(OFFSET($F44:J44,$A79,0)),0))</f>
        <v>62289</v>
      </c>
      <c r="G79" s="1">
        <f ca="1">IF(OFFSET(K44,$A79,0)="","",ROUND(SUM(OFFSET($F44:K44,$A79,0)),0))</f>
        <v>87205</v>
      </c>
      <c r="H79" s="1">
        <f ca="1">IF(OFFSET(L44,$A79,0)="","",ROUND(SUM(OFFSET($F44:L44,$A79,0)),0))</f>
        <v>116274</v>
      </c>
      <c r="I79" s="1">
        <f ca="1">IF(OFFSET(M44,$A79,0)="","",ROUND(SUM(OFFSET($F44:M44,$A79,0)),0))</f>
        <v>149495</v>
      </c>
      <c r="J79" s="1">
        <f ca="1">IF(OFFSET(N44,$A79,0)="","",ROUND(SUM(OFFSET($F44:N44,$A79,0)),0))</f>
        <v>186868</v>
      </c>
      <c r="K79" s="1">
        <f ca="1">IF(OFFSET(O44,$A79,0)="","",ROUND(SUM(OFFSET($F44:O44,$A79,0)),0))</f>
        <v>228395</v>
      </c>
      <c r="L79" s="1">
        <f ca="1">IF(OFFSET(P44,$A79,0)="","",ROUND(SUM(OFFSET($F44:P44,$A79,0)),0))</f>
        <v>274074</v>
      </c>
      <c r="M79" s="1">
        <f ca="1">IF(OFFSET(Q44,$A79,0)="","",ROUND(SUM(OFFSET($F44:Q44,$A79,0)),0))</f>
        <v>323905</v>
      </c>
      <c r="N79" s="1">
        <f ca="1">IF(OFFSET(R44,$A79,0)="","",ROUND(SUM(OFFSET($F44:R44,$A79,0)),0))</f>
        <v>377889</v>
      </c>
      <c r="O79" s="1">
        <f ca="1">IF(OFFSET(S44,$A79,0)="","",ROUND(SUM(OFFSET($F44:S44,$A79,0)),0))</f>
        <v>436026</v>
      </c>
      <c r="P79" s="1">
        <f ca="1">IF(OFFSET(T44,$A79,0)="","",ROUND(SUM(OFFSET($F44:T44,$A79,0)),0))</f>
        <v>498316</v>
      </c>
      <c r="Q79" s="1">
        <f ca="1">IF(OFFSET(U44,$A79,0)="","",ROUND(SUM(OFFSET($F44:U44,$A79,0)),0))</f>
        <v>564758</v>
      </c>
      <c r="R79" s="1">
        <f ca="1">IF(OFFSET(V44,$A79,0)="","",ROUND(SUM(OFFSET($F44:V44,$A79,0)),0))</f>
        <v>635353</v>
      </c>
      <c r="S79" s="1">
        <f ca="1">IF(OFFSET(W44,$A79,0)="","",ROUND(SUM(OFFSET($F44:W44,$A79,0)),0))</f>
        <v>710100</v>
      </c>
      <c r="T79" s="1">
        <f ca="1">IF(OFFSET(X44,$A79,0)="","",ROUND(SUM(OFFSET($F44:X44,$A79,0)),0))</f>
        <v>789000</v>
      </c>
      <c r="U79" s="1"/>
    </row>
    <row r="80" spans="1:21">
      <c r="A80" s="1">
        <v>13</v>
      </c>
      <c r="B80" s="6">
        <f ca="1">IF(OFFSET(F45,$A80,0)="","",ROUND(SUM(OFFSET($F45:F45,$A80,0)),0))</f>
        <v>4571</v>
      </c>
      <c r="C80" s="1">
        <f ca="1">IF(OFFSET(G45,$A80,0)="","",ROUND(SUM(OFFSET($F45:G45,$A80,0)),0))</f>
        <v>13714</v>
      </c>
      <c r="D80" s="1">
        <f ca="1">IF(OFFSET(H45,$A80,0)="","",ROUND(SUM(OFFSET($F45:H45,$A80,0)),0))</f>
        <v>27428</v>
      </c>
      <c r="E80" s="1">
        <f ca="1">IF(OFFSET(I45,$A80,0)="","",ROUND(SUM(OFFSET($F45:I45,$A80,0)),0))</f>
        <v>45713</v>
      </c>
      <c r="F80" s="1">
        <f ca="1">IF(OFFSET(J45,$A80,0)="","",ROUND(SUM(OFFSET($F45:J45,$A80,0)),0))</f>
        <v>68569</v>
      </c>
      <c r="G80" s="1">
        <f ca="1">IF(OFFSET(K45,$A80,0)="","",ROUND(SUM(OFFSET($F45:K45,$A80,0)),0))</f>
        <v>95997</v>
      </c>
      <c r="H80" s="1">
        <f ca="1">IF(OFFSET(L45,$A80,0)="","",ROUND(SUM(OFFSET($F45:L45,$A80,0)),0))</f>
        <v>127995</v>
      </c>
      <c r="I80" s="1">
        <f ca="1">IF(OFFSET(M45,$A80,0)="","",ROUND(SUM(OFFSET($F45:M45,$A80,0)),0))</f>
        <v>164565</v>
      </c>
      <c r="J80" s="1">
        <f ca="1">IF(OFFSET(N45,$A80,0)="","",ROUND(SUM(OFFSET($F45:N45,$A80,0)),0))</f>
        <v>205707</v>
      </c>
      <c r="K80" s="1">
        <f ca="1">IF(OFFSET(O45,$A80,0)="","",ROUND(SUM(OFFSET($F45:O45,$A80,0)),0))</f>
        <v>251419</v>
      </c>
      <c r="L80" s="1">
        <f ca="1">IF(OFFSET(P45,$A80,0)="","",ROUND(SUM(OFFSET($F45:P45,$A80,0)),0))</f>
        <v>301703</v>
      </c>
      <c r="M80" s="1">
        <f ca="1">IF(OFFSET(Q45,$A80,0)="","",ROUND(SUM(OFFSET($F45:Q45,$A80,0)),0))</f>
        <v>356559</v>
      </c>
      <c r="N80" s="1">
        <f ca="1">IF(OFFSET(R45,$A80,0)="","",ROUND(SUM(OFFSET($F45:R45,$A80,0)),0))</f>
        <v>415985</v>
      </c>
      <c r="O80" s="1">
        <f ca="1">IF(OFFSET(S45,$A80,0)="","",ROUND(SUM(OFFSET($F45:S45,$A80,0)),0))</f>
        <v>479983</v>
      </c>
      <c r="P80" s="1">
        <f ca="1">IF(OFFSET(T45,$A80,0)="","",ROUND(SUM(OFFSET($F45:T45,$A80,0)),0))</f>
        <v>548552</v>
      </c>
      <c r="Q80" s="1">
        <f ca="1">IF(OFFSET(U45,$A80,0)="","",ROUND(SUM(OFFSET($F45:U45,$A80,0)),0))</f>
        <v>621692</v>
      </c>
      <c r="R80" s="1">
        <f ca="1">IF(OFFSET(V45,$A80,0)="","",ROUND(SUM(OFFSET($F45:V45,$A80,0)),0))</f>
        <v>699403</v>
      </c>
      <c r="S80" s="1">
        <f ca="1">IF(OFFSET(W45,$A80,0)="","",ROUND(SUM(OFFSET($F45:W45,$A80,0)),0))</f>
        <v>781686</v>
      </c>
      <c r="T80" s="1">
        <f ca="1">IF(OFFSET(X45,$A80,0)="","",ROUND(SUM(OFFSET($F45:X45,$A80,0)),0))</f>
        <v>868540</v>
      </c>
      <c r="U80" s="1"/>
    </row>
    <row r="81" spans="1:21">
      <c r="A81" s="1">
        <v>14</v>
      </c>
      <c r="B81" s="6">
        <f ca="1">IF(OFFSET(F46,$A81,0)="","",ROUND(SUM(OFFSET($F46:F46,$A81,0)),0))</f>
        <v>4996</v>
      </c>
      <c r="C81" s="1">
        <f ca="1">IF(OFFSET(G46,$A81,0)="","",ROUND(SUM(OFFSET($F46:G46,$A81,0)),0))</f>
        <v>14989</v>
      </c>
      <c r="D81" s="1">
        <f ca="1">IF(OFFSET(H46,$A81,0)="","",ROUND(SUM(OFFSET($F46:H46,$A81,0)),0))</f>
        <v>29979</v>
      </c>
      <c r="E81" s="1">
        <f ca="1">IF(OFFSET(I46,$A81,0)="","",ROUND(SUM(OFFSET($F46:I46,$A81,0)),0))</f>
        <v>49964</v>
      </c>
      <c r="F81" s="1">
        <f ca="1">IF(OFFSET(J46,$A81,0)="","",ROUND(SUM(OFFSET($F46:J46,$A81,0)),0))</f>
        <v>74946</v>
      </c>
      <c r="G81" s="1">
        <f ca="1">IF(OFFSET(K46,$A81,0)="","",ROUND(SUM(OFFSET($F46:K46,$A81,0)),0))</f>
        <v>104925</v>
      </c>
      <c r="H81" s="1">
        <f ca="1">IF(OFFSET(L46,$A81,0)="","",ROUND(SUM(OFFSET($F46:L46,$A81,0)),0))</f>
        <v>139900</v>
      </c>
      <c r="I81" s="1">
        <f ca="1">IF(OFFSET(M46,$A81,0)="","",ROUND(SUM(OFFSET($F46:M46,$A81,0)),0))</f>
        <v>179871</v>
      </c>
      <c r="J81" s="1">
        <f ca="1">IF(OFFSET(N46,$A81,0)="","",ROUND(SUM(OFFSET($F46:N46,$A81,0)),0))</f>
        <v>224839</v>
      </c>
      <c r="K81" s="1">
        <f ca="1">IF(OFFSET(O46,$A81,0)="","",ROUND(SUM(OFFSET($F46:O46,$A81,0)),0))</f>
        <v>274803</v>
      </c>
      <c r="L81" s="1">
        <f ca="1">IF(OFFSET(P46,$A81,0)="","",ROUND(SUM(OFFSET($F46:P46,$A81,0)),0))</f>
        <v>329764</v>
      </c>
      <c r="M81" s="1">
        <f ca="1">IF(OFFSET(Q46,$A81,0)="","",ROUND(SUM(OFFSET($F46:Q46,$A81,0)),0))</f>
        <v>389721</v>
      </c>
      <c r="N81" s="1">
        <f ca="1">IF(OFFSET(R46,$A81,0)="","",ROUND(SUM(OFFSET($F46:R46,$A81,0)),0))</f>
        <v>454674</v>
      </c>
      <c r="O81" s="1">
        <f ca="1">IF(OFFSET(S46,$A81,0)="","",ROUND(SUM(OFFSET($F46:S46,$A81,0)),0))</f>
        <v>524624</v>
      </c>
      <c r="P81" s="1">
        <f ca="1">IF(OFFSET(T46,$A81,0)="","",ROUND(SUM(OFFSET($F46:T46,$A81,0)),0))</f>
        <v>599571</v>
      </c>
      <c r="Q81" s="1">
        <f ca="1">IF(OFFSET(U46,$A81,0)="","",ROUND(SUM(OFFSET($F46:U46,$A81,0)),0))</f>
        <v>679513</v>
      </c>
      <c r="R81" s="1">
        <f ca="1">IF(OFFSET(V46,$A81,0)="","",ROUND(SUM(OFFSET($F46:V46,$A81,0)),0))</f>
        <v>764452</v>
      </c>
      <c r="S81" s="1">
        <f ca="1">IF(OFFSET(W46,$A81,0)="","",ROUND(SUM(OFFSET($F46:W46,$A81,0)),0))</f>
        <v>854388</v>
      </c>
      <c r="T81" s="1">
        <f ca="1">IF(OFFSET(X46,$A81,0)="","",ROUND(SUM(OFFSET($F46:X46,$A81,0)),0))</f>
        <v>949320</v>
      </c>
      <c r="U81" s="1"/>
    </row>
    <row r="82" spans="1:21">
      <c r="A82" s="1">
        <v>15</v>
      </c>
      <c r="B82" s="6">
        <f ca="1">IF(OFFSET(F47,$A82,0)="","",ROUND(SUM(OFFSET($F47:F47,$A82,0)),0))</f>
        <v>5428</v>
      </c>
      <c r="C82" s="1">
        <f ca="1">IF(OFFSET(G47,$A82,0)="","",ROUND(SUM(OFFSET($F47:G47,$A82,0)),0))</f>
        <v>16283</v>
      </c>
      <c r="D82" s="1">
        <f ca="1">IF(OFFSET(H47,$A82,0)="","",ROUND(SUM(OFFSET($F47:H47,$A82,0)),0))</f>
        <v>32566</v>
      </c>
      <c r="E82" s="1">
        <f ca="1">IF(OFFSET(I47,$A82,0)="","",ROUND(SUM(OFFSET($F47:I47,$A82,0)),0))</f>
        <v>54277</v>
      </c>
      <c r="F82" s="1">
        <f ca="1">IF(OFFSET(J47,$A82,0)="","",ROUND(SUM(OFFSET($F47:J47,$A82,0)),0))</f>
        <v>81415</v>
      </c>
      <c r="G82" s="1">
        <f ca="1">IF(OFFSET(K47,$A82,0)="","",ROUND(SUM(OFFSET($F47:K47,$A82,0)),0))</f>
        <v>113981</v>
      </c>
      <c r="H82" s="1">
        <f ca="1">IF(OFFSET(L47,$A82,0)="","",ROUND(SUM(OFFSET($F47:L47,$A82,0)),0))</f>
        <v>151975</v>
      </c>
      <c r="I82" s="1">
        <f ca="1">IF(OFFSET(M47,$A82,0)="","",ROUND(SUM(OFFSET($F47:M47,$A82,0)),0))</f>
        <v>195397</v>
      </c>
      <c r="J82" s="1">
        <f ca="1">IF(OFFSET(N47,$A82,0)="","",ROUND(SUM(OFFSET($F47:N47,$A82,0)),0))</f>
        <v>244246</v>
      </c>
      <c r="K82" s="1">
        <f ca="1">IF(OFFSET(O47,$A82,0)="","",ROUND(SUM(OFFSET($F47:O47,$A82,0)),0))</f>
        <v>298523</v>
      </c>
      <c r="L82" s="1">
        <f ca="1">IF(OFFSET(P47,$A82,0)="","",ROUND(SUM(OFFSET($F47:P47,$A82,0)),0))</f>
        <v>358227</v>
      </c>
      <c r="M82" s="1">
        <f ca="1">IF(OFFSET(Q47,$A82,0)="","",ROUND(SUM(OFFSET($F47:Q47,$A82,0)),0))</f>
        <v>423359</v>
      </c>
      <c r="N82" s="1">
        <f ca="1">IF(OFFSET(R47,$A82,0)="","",ROUND(SUM(OFFSET($F47:R47,$A82,0)),0))</f>
        <v>493919</v>
      </c>
      <c r="O82" s="1">
        <f ca="1">IF(OFFSET(S47,$A82,0)="","",ROUND(SUM(OFFSET($F47:S47,$A82,0)),0))</f>
        <v>569907</v>
      </c>
      <c r="P82" s="1">
        <f ca="1">IF(OFFSET(T47,$A82,0)="","",ROUND(SUM(OFFSET($F47:T47,$A82,0)),0))</f>
        <v>651322</v>
      </c>
      <c r="Q82" s="1">
        <f ca="1">IF(OFFSET(U47,$A82,0)="","",ROUND(SUM(OFFSET($F47:U47,$A82,0)),0))</f>
        <v>738165</v>
      </c>
      <c r="R82" s="1">
        <f ca="1">IF(OFFSET(V47,$A82,0)="","",ROUND(SUM(OFFSET($F47:V47,$A82,0)),0))</f>
        <v>830436</v>
      </c>
      <c r="S82" s="1">
        <f ca="1">IF(OFFSET(W47,$A82,0)="","",ROUND(SUM(OFFSET($F47:W47,$A82,0)),0))</f>
        <v>928134</v>
      </c>
      <c r="T82" s="1">
        <f ca="1">IF(OFFSET(X47,$A82,0)="","",ROUND(SUM(OFFSET($F47:X47,$A82,0)),0))</f>
        <v>1031260</v>
      </c>
      <c r="U82" s="1"/>
    </row>
    <row r="83" spans="1:21">
      <c r="A83" s="1">
        <v>16</v>
      </c>
      <c r="B83" s="6">
        <f ca="1">IF(OFFSET(F48,$A83,0)="","",ROUND(SUM(OFFSET($F48:F48,$A83,0)),0))</f>
        <v>5865</v>
      </c>
      <c r="C83" s="1">
        <f ca="1">IF(OFFSET(G48,$A83,0)="","",ROUND(SUM(OFFSET($F48:G48,$A83,0)),0))</f>
        <v>17594</v>
      </c>
      <c r="D83" s="1">
        <f ca="1">IF(OFFSET(H48,$A83,0)="","",ROUND(SUM(OFFSET($F48:H48,$A83,0)),0))</f>
        <v>35188</v>
      </c>
      <c r="E83" s="1">
        <f ca="1">IF(OFFSET(I48,$A83,0)="","",ROUND(SUM(OFFSET($F48:I48,$A83,0)),0))</f>
        <v>58647</v>
      </c>
      <c r="F83" s="1">
        <f ca="1">IF(OFFSET(J48,$A83,0)="","",ROUND(SUM(OFFSET($F48:J48,$A83,0)),0))</f>
        <v>87971</v>
      </c>
      <c r="G83" s="1">
        <f ca="1">IF(OFFSET(K48,$A83,0)="","",ROUND(SUM(OFFSET($F48:K48,$A83,0)),0))</f>
        <v>123159</v>
      </c>
      <c r="H83" s="1">
        <f ca="1">IF(OFFSET(L48,$A83,0)="","",ROUND(SUM(OFFSET($F48:L48,$A83,0)),0))</f>
        <v>164213</v>
      </c>
      <c r="I83" s="1">
        <f ca="1">IF(OFFSET(M48,$A83,0)="","",ROUND(SUM(OFFSET($F48:M48,$A83,0)),0))</f>
        <v>211131</v>
      </c>
      <c r="J83" s="1">
        <f ca="1">IF(OFFSET(N48,$A83,0)="","",ROUND(SUM(OFFSET($F48:N48,$A83,0)),0))</f>
        <v>263913</v>
      </c>
      <c r="K83" s="1">
        <f ca="1">IF(OFFSET(O48,$A83,0)="","",ROUND(SUM(OFFSET($F48:O48,$A83,0)),0))</f>
        <v>322561</v>
      </c>
      <c r="L83" s="1">
        <f ca="1">IF(OFFSET(P48,$A83,0)="","",ROUND(SUM(OFFSET($F48:P48,$A83,0)),0))</f>
        <v>387073</v>
      </c>
      <c r="M83" s="1">
        <f ca="1">IF(OFFSET(Q48,$A83,0)="","",ROUND(SUM(OFFSET($F48:Q48,$A83,0)),0))</f>
        <v>457449</v>
      </c>
      <c r="N83" s="1">
        <f ca="1">IF(OFFSET(R48,$A83,0)="","",ROUND(SUM(OFFSET($F48:R48,$A83,0)),0))</f>
        <v>533691</v>
      </c>
      <c r="O83" s="1">
        <f ca="1">IF(OFFSET(S48,$A83,0)="","",ROUND(SUM(OFFSET($F48:S48,$A83,0)),0))</f>
        <v>615797</v>
      </c>
      <c r="P83" s="1">
        <f ca="1">IF(OFFSET(T48,$A83,0)="","",ROUND(SUM(OFFSET($F48:T48,$A83,0)),0))</f>
        <v>703768</v>
      </c>
      <c r="Q83" s="1">
        <f ca="1">IF(OFFSET(U48,$A83,0)="","",ROUND(SUM(OFFSET($F48:U48,$A83,0)),0))</f>
        <v>797604</v>
      </c>
      <c r="R83" s="1">
        <f ca="1">IF(OFFSET(V48,$A83,0)="","",ROUND(SUM(OFFSET($F48:V48,$A83,0)),0))</f>
        <v>897305</v>
      </c>
      <c r="S83" s="1">
        <f ca="1">IF(OFFSET(W48,$A83,0)="","",ROUND(SUM(OFFSET($F48:W48,$A83,0)),0))</f>
        <v>1002870</v>
      </c>
      <c r="T83" s="1">
        <f ca="1">IF(OFFSET(X48,$A83,0)="","",ROUND(SUM(OFFSET($F48:X48,$A83,0)),0))</f>
        <v>1114300</v>
      </c>
      <c r="U83" s="1"/>
    </row>
    <row r="84" spans="1:2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</row>
    <row r="85" spans="1:21" ht="18.5">
      <c r="A85" s="81" t="s">
        <v>88</v>
      </c>
      <c r="B85" s="81"/>
    </row>
    <row r="86" spans="1:21">
      <c r="A86" s="4" t="s">
        <v>16</v>
      </c>
      <c r="B86" s="4" t="s">
        <v>110</v>
      </c>
      <c r="C86" s="4" t="s">
        <v>85</v>
      </c>
    </row>
    <row r="87" spans="1:21">
      <c r="A87" s="1">
        <v>1</v>
      </c>
      <c r="B87" s="34">
        <f>ROUND(AVERAGE(D11:D11),0)</f>
        <v>1100</v>
      </c>
      <c r="C87" s="34">
        <f ca="1">MAX(B68:T68)/Table74[[#This Row],[AVG_XP/min]]</f>
        <v>12.901818181818182</v>
      </c>
    </row>
    <row r="88" spans="1:21">
      <c r="A88" s="1">
        <v>2</v>
      </c>
      <c r="B88" s="34">
        <f t="shared" ref="B88:B95" si="36">ROUND(AVERAGE(D12:D12),0)</f>
        <v>2200</v>
      </c>
      <c r="C88" s="34">
        <f ca="1">MAX(B69:T69)/Table74[[#This Row],[AVG_XP/min]]</f>
        <v>20.886363636363637</v>
      </c>
    </row>
    <row r="89" spans="1:21">
      <c r="A89" s="1">
        <v>3</v>
      </c>
      <c r="B89" s="34">
        <f t="shared" si="36"/>
        <v>2700</v>
      </c>
      <c r="C89" s="34">
        <f ca="1">MAX(B70:T70)/Table74[[#This Row],[AVG_XP/min]]</f>
        <v>27.683333333333334</v>
      </c>
    </row>
    <row r="90" spans="1:21">
      <c r="A90" s="1">
        <v>4</v>
      </c>
      <c r="B90" s="34">
        <f t="shared" si="36"/>
        <v>3200</v>
      </c>
      <c r="C90" s="34">
        <f ca="1">MAX(B71:T71)/Table74[[#This Row],[AVG_XP/min]]</f>
        <v>32.987499999999997</v>
      </c>
    </row>
    <row r="91" spans="1:21">
      <c r="A91" s="1">
        <v>5</v>
      </c>
      <c r="B91" s="34">
        <f t="shared" si="36"/>
        <v>4000</v>
      </c>
      <c r="C91" s="34">
        <f ca="1">MAX(B72:T72)/Table74[[#This Row],[AVG_XP/min]]</f>
        <v>51.740749999999998</v>
      </c>
    </row>
    <row r="92" spans="1:21">
      <c r="A92" s="1">
        <v>6</v>
      </c>
      <c r="B92" s="34">
        <f t="shared" si="36"/>
        <v>5200</v>
      </c>
      <c r="C92" s="34">
        <f ca="1">MAX(B73:T73)/Table74[[#This Row],[AVG_XP/min]]</f>
        <v>49.533269230769228</v>
      </c>
    </row>
    <row r="93" spans="1:21">
      <c r="A93" s="1">
        <v>7</v>
      </c>
      <c r="B93" s="34">
        <f>ROUND(AVERAGE(D17:D17),0)</f>
        <v>6000</v>
      </c>
      <c r="C93" s="34">
        <f ca="1">MAX(B74:T74)/Table74[[#This Row],[AVG_XP/min]]</f>
        <v>51.652500000000003</v>
      </c>
    </row>
    <row r="94" spans="1:21">
      <c r="A94" s="1">
        <v>8</v>
      </c>
      <c r="B94" s="34">
        <f t="shared" si="36"/>
        <v>8000</v>
      </c>
      <c r="C94" s="34">
        <f ca="1">MAX(B75:T75)/Table74[[#This Row],[AVG_XP/min]]</f>
        <v>60.628749999999997</v>
      </c>
    </row>
    <row r="95" spans="1:21">
      <c r="A95" s="1">
        <v>9</v>
      </c>
      <c r="B95" s="34">
        <f t="shared" si="36"/>
        <v>8000</v>
      </c>
      <c r="C95" s="34">
        <f ca="1">MAX(B76:T76)/Table74[[#This Row],[AVG_XP/min]]</f>
        <v>69.832499999999996</v>
      </c>
    </row>
    <row r="96" spans="1:21">
      <c r="A96" s="1">
        <v>10</v>
      </c>
      <c r="B96" s="34">
        <f t="shared" ref="B96:B100" si="37">ROUND(AVERAGE(D20:D20),0)</f>
        <v>10000</v>
      </c>
      <c r="C96" s="34">
        <f ca="1">MAX(B77:T77)/Table74[[#This Row],[AVG_XP/min]]</f>
        <v>63.396000000000001</v>
      </c>
    </row>
    <row r="97" spans="1:3">
      <c r="A97" s="1">
        <v>11</v>
      </c>
      <c r="B97" s="34">
        <f t="shared" si="37"/>
        <v>10000</v>
      </c>
      <c r="C97" s="34">
        <f ca="1">MAX(B78:T78)/Table74[[#This Row],[AVG_XP/min]]</f>
        <v>71.076999999999998</v>
      </c>
    </row>
    <row r="98" spans="1:3">
      <c r="A98" s="1">
        <v>12</v>
      </c>
      <c r="B98" s="34">
        <f t="shared" si="37"/>
        <v>10000</v>
      </c>
      <c r="C98" s="34">
        <f ca="1">MAX(B79:T79)/Table74[[#This Row],[AVG_XP/min]]</f>
        <v>78.900000000000006</v>
      </c>
    </row>
    <row r="99" spans="1:3">
      <c r="A99" s="1">
        <v>13</v>
      </c>
      <c r="B99" s="34">
        <f t="shared" si="37"/>
        <v>12000</v>
      </c>
      <c r="C99" s="34">
        <f ca="1">MAX(B80:T80)/Table74[[#This Row],[AVG_XP/min]]</f>
        <v>72.37833333333333</v>
      </c>
    </row>
    <row r="100" spans="1:3">
      <c r="A100" s="1">
        <v>14</v>
      </c>
      <c r="B100" s="34">
        <f t="shared" si="37"/>
        <v>15000</v>
      </c>
      <c r="C100" s="34">
        <f ca="1">MAX(B81:T81)/Table74[[#This Row],[AVG_XP/min]]</f>
        <v>63.287999999999997</v>
      </c>
    </row>
    <row r="101" spans="1:3">
      <c r="A101" s="1">
        <v>15</v>
      </c>
      <c r="B101" s="34">
        <f>ROUND(AVERAGE(D25:D25),0)</f>
        <v>18000</v>
      </c>
      <c r="C101" s="34">
        <f ca="1">MAX(B82:T82)/Table74[[#This Row],[AVG_XP/min]]</f>
        <v>57.292222222222222</v>
      </c>
    </row>
    <row r="102" spans="1:3">
      <c r="A102" s="1">
        <v>16</v>
      </c>
      <c r="B102" s="34">
        <f>ROUND(AVERAGE(D26:D26),0)</f>
        <v>22000</v>
      </c>
      <c r="C102" s="34">
        <f ca="1">MAX(B83:T83)/Table74[[#This Row],[AVG_XP/min]]</f>
        <v>50.65</v>
      </c>
    </row>
    <row r="104" spans="1:3">
      <c r="B104" s="4" t="s">
        <v>111</v>
      </c>
      <c r="C104" s="93">
        <f ca="1">SUM(Table74[AVG_TIME_TO_MAX_LEVEL])</f>
        <v>834.82833993783981</v>
      </c>
    </row>
  </sheetData>
  <mergeCells count="2">
    <mergeCell ref="H9:J9"/>
    <mergeCell ref="L9:M9"/>
  </mergeCells>
  <conditionalFormatting sqref="F33:Y6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3:Y33 F61:Y61 Y63" formulaRange="1"/>
    <ignoredError sqref="F35:Y35 F63:H63 I63:P63 Q63:X63 G34:K34 M34:Y34 F37:Y60 H36:Y36" formula="1" formulaRange="1"/>
    <ignoredError sqref="F62:X62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8"/>
  <sheetViews>
    <sheetView topLeftCell="A16" workbookViewId="0">
      <selection activeCell="M28" sqref="M28"/>
    </sheetView>
  </sheetViews>
  <sheetFormatPr defaultRowHeight="14.5"/>
  <cols>
    <col min="1" max="1" width="17.81640625" bestFit="1" customWidth="1"/>
    <col min="2" max="2" width="20.54296875" customWidth="1"/>
    <col min="3" max="3" width="16.453125" customWidth="1"/>
    <col min="4" max="4" width="18.1796875" customWidth="1"/>
    <col min="5" max="5" width="21.1796875" customWidth="1"/>
    <col min="6" max="6" width="21.81640625" customWidth="1"/>
    <col min="7" max="7" width="25.7265625" customWidth="1"/>
    <col min="8" max="8" width="28.7265625" customWidth="1"/>
    <col min="9" max="9" width="27.81640625" bestFit="1" customWidth="1"/>
    <col min="10" max="10" width="24.453125" bestFit="1" customWidth="1"/>
    <col min="11" max="11" width="21.81640625" bestFit="1" customWidth="1"/>
    <col min="12" max="12" width="18.54296875" customWidth="1"/>
    <col min="13" max="13" width="23.54296875" customWidth="1"/>
    <col min="14" max="14" width="20.453125" customWidth="1"/>
    <col min="15" max="15" width="21.453125" customWidth="1"/>
    <col min="16" max="16" width="16.54296875" customWidth="1"/>
    <col min="17" max="17" width="13.7265625" customWidth="1"/>
  </cols>
  <sheetData>
    <row r="2" spans="1:14">
      <c r="G2" s="281" t="s">
        <v>440</v>
      </c>
    </row>
    <row r="3" spans="1:14">
      <c r="G3" s="104" t="s">
        <v>441</v>
      </c>
    </row>
    <row r="4" spans="1:14">
      <c r="A4" s="273" t="s">
        <v>74</v>
      </c>
      <c r="B4" s="273" t="s">
        <v>3</v>
      </c>
      <c r="C4" s="273" t="s">
        <v>45</v>
      </c>
      <c r="G4" s="288" t="s">
        <v>442</v>
      </c>
    </row>
    <row r="5" spans="1:14">
      <c r="A5" s="1" t="s">
        <v>67</v>
      </c>
      <c r="B5" s="1">
        <v>1</v>
      </c>
      <c r="C5" s="281">
        <v>200</v>
      </c>
    </row>
    <row r="6" spans="1:14">
      <c r="A6" s="1" t="s">
        <v>68</v>
      </c>
      <c r="B6" s="1">
        <v>2</v>
      </c>
      <c r="C6" s="281">
        <v>300</v>
      </c>
    </row>
    <row r="7" spans="1:14">
      <c r="A7" s="1" t="s">
        <v>69</v>
      </c>
      <c r="B7" s="1">
        <v>3</v>
      </c>
      <c r="C7" s="281">
        <v>600</v>
      </c>
    </row>
    <row r="10" spans="1:14">
      <c r="E10" s="100" t="s">
        <v>128</v>
      </c>
    </row>
    <row r="12" spans="1:14">
      <c r="A12" s="339" t="s">
        <v>4</v>
      </c>
      <c r="B12" s="339" t="s">
        <v>138</v>
      </c>
      <c r="C12" s="339" t="s">
        <v>76</v>
      </c>
      <c r="E12" s="339" t="s">
        <v>4</v>
      </c>
      <c r="F12" s="339" t="s">
        <v>118</v>
      </c>
      <c r="G12" s="339" t="s">
        <v>70</v>
      </c>
      <c r="H12" s="339" t="s">
        <v>71</v>
      </c>
      <c r="I12" s="339" t="s">
        <v>72</v>
      </c>
      <c r="J12" s="339" t="s">
        <v>66</v>
      </c>
      <c r="K12" s="339" t="s">
        <v>517</v>
      </c>
      <c r="L12" s="339" t="s">
        <v>534</v>
      </c>
      <c r="M12" s="339" t="s">
        <v>533</v>
      </c>
      <c r="N12" s="389" t="s">
        <v>518</v>
      </c>
    </row>
    <row r="13" spans="1:14">
      <c r="A13" s="103" t="s">
        <v>92</v>
      </c>
      <c r="B13" s="293">
        <v>0.1</v>
      </c>
      <c r="C13" s="293">
        <v>0</v>
      </c>
      <c r="E13" s="103" t="s">
        <v>92</v>
      </c>
      <c r="F13" s="293">
        <v>2</v>
      </c>
      <c r="G13" s="292">
        <f>missionsDragonRelativeMetrics[[#This Row],[Reward Multiplier]]*$C$5</f>
        <v>400</v>
      </c>
      <c r="H13" s="292">
        <f>missionsDragonRelativeMetrics[[#This Row],[Reward Multiplier]]*$C$6</f>
        <v>600</v>
      </c>
      <c r="I13" s="292">
        <f>missionsDragonRelativeMetrics[[#This Row],[Reward Multiplier]]*$C$7</f>
        <v>1200</v>
      </c>
      <c r="J13" s="101">
        <v>3</v>
      </c>
      <c r="K13" s="293">
        <v>0</v>
      </c>
      <c r="L13" s="387">
        <f>COUNTIFS(Table8[MIN TIER],"&lt;="&amp;missionsDragonRelativeMetrics[[#This Row],[Tier]],Table8[MAX TIER],"&gt;="&amp;missionsDragonRelativeMetrics[[#This Row],[Tier]],Table8[DRAGON],"="&amp;"")</f>
        <v>14</v>
      </c>
      <c r="M1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388">
        <f>missionsDragonRelativeMetrics[[#This Row],[General Missions]]+missionsDragonRelativeMetrics[[#This Row],[Dedicated Missions]]</f>
        <v>14</v>
      </c>
    </row>
    <row r="14" spans="1:14">
      <c r="A14" s="103" t="s">
        <v>93</v>
      </c>
      <c r="B14" s="293">
        <v>0.7</v>
      </c>
      <c r="C14" s="293">
        <v>1</v>
      </c>
      <c r="E14" s="103" t="s">
        <v>93</v>
      </c>
      <c r="F14" s="293">
        <v>6</v>
      </c>
      <c r="G14" s="292">
        <f>missionsDragonRelativeMetrics[[#This Row],[Reward Multiplier]]*$C$5</f>
        <v>1200</v>
      </c>
      <c r="H14" s="292">
        <f>missionsDragonRelativeMetrics[[#This Row],[Reward Multiplier]]*$C$6</f>
        <v>1800</v>
      </c>
      <c r="I14" s="292">
        <f>missionsDragonRelativeMetrics[[#This Row],[Reward Multiplier]]*$C$7</f>
        <v>3600</v>
      </c>
      <c r="J14" s="101">
        <v>3</v>
      </c>
      <c r="K14" s="293">
        <v>1</v>
      </c>
      <c r="L14" s="387">
        <f>COUNTIFS(Table8[MIN TIER],"&lt;="&amp;missionsDragonRelativeMetrics[[#This Row],[Tier]],Table8[MAX TIER],"&gt;="&amp;missionsDragonRelativeMetrics[[#This Row],[Tier]],Table8[DRAGON],"="&amp;"")</f>
        <v>25</v>
      </c>
      <c r="M1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388">
        <f>missionsDragonRelativeMetrics[[#This Row],[General Missions]]+missionsDragonRelativeMetrics[[#This Row],[Dedicated Missions]]</f>
        <v>25</v>
      </c>
    </row>
    <row r="15" spans="1:14">
      <c r="A15" s="103" t="s">
        <v>94</v>
      </c>
      <c r="B15" s="293">
        <v>1</v>
      </c>
      <c r="C15" s="293">
        <v>1</v>
      </c>
      <c r="E15" s="103" t="s">
        <v>94</v>
      </c>
      <c r="F15" s="293">
        <v>12</v>
      </c>
      <c r="G15" s="292">
        <f>missionsDragonRelativeMetrics[[#This Row],[Reward Multiplier]]*$C$5</f>
        <v>2400</v>
      </c>
      <c r="H15" s="292">
        <f>missionsDragonRelativeMetrics[[#This Row],[Reward Multiplier]]*$C$6</f>
        <v>3600</v>
      </c>
      <c r="I15" s="292">
        <f>missionsDragonRelativeMetrics[[#This Row],[Reward Multiplier]]*$C$7</f>
        <v>7200</v>
      </c>
      <c r="J15" s="101">
        <v>3</v>
      </c>
      <c r="K15" s="293">
        <v>1</v>
      </c>
      <c r="L15" s="387">
        <f>COUNTIFS(Table8[MIN TIER],"&lt;="&amp;missionsDragonRelativeMetrics[[#This Row],[Tier]],Table8[MAX TIER],"&gt;="&amp;missionsDragonRelativeMetrics[[#This Row],[Tier]],Table8[DRAGON],"="&amp;"")</f>
        <v>25</v>
      </c>
      <c r="M1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388">
        <f>missionsDragonRelativeMetrics[[#This Row],[General Missions]]+missionsDragonRelativeMetrics[[#This Row],[Dedicated Missions]]</f>
        <v>25</v>
      </c>
    </row>
    <row r="16" spans="1:14">
      <c r="A16" s="103" t="s">
        <v>95</v>
      </c>
      <c r="B16" s="293">
        <v>1.5</v>
      </c>
      <c r="C16" s="293">
        <v>2</v>
      </c>
      <c r="E16" s="103" t="s">
        <v>95</v>
      </c>
      <c r="F16" s="293">
        <v>18</v>
      </c>
      <c r="G16" s="292">
        <f>missionsDragonRelativeMetrics[[#This Row],[Reward Multiplier]]*$C$5</f>
        <v>3600</v>
      </c>
      <c r="H16" s="292">
        <f>missionsDragonRelativeMetrics[[#This Row],[Reward Multiplier]]*$C$6</f>
        <v>5400</v>
      </c>
      <c r="I16" s="292">
        <f>missionsDragonRelativeMetrics[[#This Row],[Reward Multiplier]]*$C$7</f>
        <v>10800</v>
      </c>
      <c r="J16" s="101">
        <v>3</v>
      </c>
      <c r="K16" s="293">
        <v>2</v>
      </c>
      <c r="L16" s="387">
        <f>COUNTIFS(Table8[MIN TIER],"&lt;="&amp;missionsDragonRelativeMetrics[[#This Row],[Tier]],Table8[MAX TIER],"&gt;="&amp;missionsDragonRelativeMetrics[[#This Row],[Tier]],Table8[DRAGON],"="&amp;"")</f>
        <v>34</v>
      </c>
      <c r="M1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388">
        <f>missionsDragonRelativeMetrics[[#This Row],[General Missions]]+missionsDragonRelativeMetrics[[#This Row],[Dedicated Missions]]</f>
        <v>34</v>
      </c>
    </row>
    <row r="17" spans="1:14">
      <c r="A17" s="103" t="s">
        <v>96</v>
      </c>
      <c r="B17" s="293">
        <v>2</v>
      </c>
      <c r="C17" s="293">
        <v>2</v>
      </c>
      <c r="E17" s="103" t="s">
        <v>96</v>
      </c>
      <c r="F17" s="293">
        <v>26</v>
      </c>
      <c r="G17" s="292">
        <f>missionsDragonRelativeMetrics[[#This Row],[Reward Multiplier]]*$C$5</f>
        <v>5200</v>
      </c>
      <c r="H17" s="292">
        <f>missionsDragonRelativeMetrics[[#This Row],[Reward Multiplier]]*$C$6</f>
        <v>7800</v>
      </c>
      <c r="I17" s="292">
        <f>missionsDragonRelativeMetrics[[#This Row],[Reward Multiplier]]*$C$7</f>
        <v>15600</v>
      </c>
      <c r="J17" s="101">
        <v>3</v>
      </c>
      <c r="K17" s="293">
        <v>2</v>
      </c>
      <c r="L17" s="387">
        <f>COUNTIFS(Table8[MIN TIER],"&lt;="&amp;missionsDragonRelativeMetrics[[#This Row],[Tier]],Table8[MAX TIER],"&gt;="&amp;missionsDragonRelativeMetrics[[#This Row],[Tier]],Table8[DRAGON],"="&amp;"")</f>
        <v>34</v>
      </c>
      <c r="M1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388">
        <f>missionsDragonRelativeMetrics[[#This Row],[General Missions]]+missionsDragonRelativeMetrics[[#This Row],[Dedicated Missions]]</f>
        <v>34</v>
      </c>
    </row>
    <row r="18" spans="1:14">
      <c r="A18" s="103" t="s">
        <v>97</v>
      </c>
      <c r="B18" s="293">
        <v>2.5</v>
      </c>
      <c r="C18" s="293">
        <v>2</v>
      </c>
      <c r="E18" s="103" t="s">
        <v>97</v>
      </c>
      <c r="F18" s="293">
        <v>35</v>
      </c>
      <c r="G18" s="292">
        <f>missionsDragonRelativeMetrics[[#This Row],[Reward Multiplier]]*$C$5</f>
        <v>7000</v>
      </c>
      <c r="H18" s="292">
        <f>missionsDragonRelativeMetrics[[#This Row],[Reward Multiplier]]*$C$6</f>
        <v>10500</v>
      </c>
      <c r="I18" s="292">
        <f>missionsDragonRelativeMetrics[[#This Row],[Reward Multiplier]]*$C$7</f>
        <v>21000</v>
      </c>
      <c r="J18" s="101">
        <v>3</v>
      </c>
      <c r="K18" s="293">
        <v>2</v>
      </c>
      <c r="L18" s="387">
        <f>COUNTIFS(Table8[MIN TIER],"&lt;="&amp;missionsDragonRelativeMetrics[[#This Row],[Tier]],Table8[MAX TIER],"&gt;="&amp;missionsDragonRelativeMetrics[[#This Row],[Tier]],Table8[DRAGON],"="&amp;"")</f>
        <v>34</v>
      </c>
      <c r="M1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388">
        <f>missionsDragonRelativeMetrics[[#This Row],[General Missions]]+missionsDragonRelativeMetrics[[#This Row],[Dedicated Missions]]</f>
        <v>34</v>
      </c>
    </row>
    <row r="19" spans="1:14">
      <c r="A19" s="103" t="s">
        <v>98</v>
      </c>
      <c r="B19" s="293">
        <v>3</v>
      </c>
      <c r="C19" s="293">
        <v>3</v>
      </c>
      <c r="E19" s="103" t="s">
        <v>98</v>
      </c>
      <c r="F19" s="293">
        <v>45</v>
      </c>
      <c r="G19" s="292">
        <f>missionsDragonRelativeMetrics[[#This Row],[Reward Multiplier]]*$C$5</f>
        <v>9000</v>
      </c>
      <c r="H19" s="292">
        <f>missionsDragonRelativeMetrics[[#This Row],[Reward Multiplier]]*$C$6</f>
        <v>13500</v>
      </c>
      <c r="I19" s="292">
        <f>missionsDragonRelativeMetrics[[#This Row],[Reward Multiplier]]*$C$7</f>
        <v>27000</v>
      </c>
      <c r="J19" s="101">
        <v>3</v>
      </c>
      <c r="K19" s="293">
        <v>3</v>
      </c>
      <c r="L19" s="387">
        <f>COUNTIFS(Table8[MIN TIER],"&lt;="&amp;missionsDragonRelativeMetrics[[#This Row],[Tier]],Table8[MAX TIER],"&gt;="&amp;missionsDragonRelativeMetrics[[#This Row],[Tier]],Table8[DRAGON],"="&amp;"")</f>
        <v>38</v>
      </c>
      <c r="M19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388">
        <f>missionsDragonRelativeMetrics[[#This Row],[General Missions]]+missionsDragonRelativeMetrics[[#This Row],[Dedicated Missions]]</f>
        <v>38</v>
      </c>
    </row>
    <row r="20" spans="1:14">
      <c r="A20" s="260" t="s">
        <v>99</v>
      </c>
      <c r="B20" s="293">
        <v>4</v>
      </c>
      <c r="C20" s="293">
        <v>3</v>
      </c>
      <c r="E20" s="103" t="s">
        <v>99</v>
      </c>
      <c r="F20" s="293">
        <v>56</v>
      </c>
      <c r="G20" s="292">
        <f>missionsDragonRelativeMetrics[[#This Row],[Reward Multiplier]]*$C$5</f>
        <v>11200</v>
      </c>
      <c r="H20" s="292">
        <f>missionsDragonRelativeMetrics[[#This Row],[Reward Multiplier]]*$C$6</f>
        <v>16800</v>
      </c>
      <c r="I20" s="292">
        <f>missionsDragonRelativeMetrics[[#This Row],[Reward Multiplier]]*$C$7</f>
        <v>33600</v>
      </c>
      <c r="J20" s="101">
        <v>3</v>
      </c>
      <c r="K20" s="293">
        <v>3</v>
      </c>
      <c r="L20" s="387">
        <f>COUNTIFS(Table8[MIN TIER],"&lt;="&amp;missionsDragonRelativeMetrics[[#This Row],[Tier]],Table8[MAX TIER],"&gt;="&amp;missionsDragonRelativeMetrics[[#This Row],[Tier]],Table8[DRAGON],"="&amp;"")</f>
        <v>38</v>
      </c>
      <c r="M20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388">
        <f>missionsDragonRelativeMetrics[[#This Row],[General Missions]]+missionsDragonRelativeMetrics[[#This Row],[Dedicated Missions]]</f>
        <v>38</v>
      </c>
    </row>
    <row r="21" spans="1:14">
      <c r="A21" s="260" t="s">
        <v>143</v>
      </c>
      <c r="B21" s="293">
        <v>4.5</v>
      </c>
      <c r="C21" s="293">
        <v>3</v>
      </c>
      <c r="E21" s="103" t="s">
        <v>143</v>
      </c>
      <c r="F21" s="293">
        <v>62</v>
      </c>
      <c r="G21" s="292">
        <f>missionsDragonRelativeMetrics[[#This Row],[Reward Multiplier]]*$C$5</f>
        <v>12400</v>
      </c>
      <c r="H21" s="292">
        <f>missionsDragonRelativeMetrics[[#This Row],[Reward Multiplier]]*$C$6</f>
        <v>18600</v>
      </c>
      <c r="I21" s="292">
        <f>missionsDragonRelativeMetrics[[#This Row],[Reward Multiplier]]*$C$7</f>
        <v>37200</v>
      </c>
      <c r="J21" s="101">
        <v>3</v>
      </c>
      <c r="K21" s="293">
        <v>3</v>
      </c>
      <c r="L21" s="387">
        <f>COUNTIFS(Table8[MIN TIER],"&lt;="&amp;missionsDragonRelativeMetrics[[#This Row],[Tier]],Table8[MAX TIER],"&gt;="&amp;missionsDragonRelativeMetrics[[#This Row],[Tier]],Table8[DRAGON],"="&amp;"")</f>
        <v>38</v>
      </c>
      <c r="M21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388">
        <f>missionsDragonRelativeMetrics[[#This Row],[General Missions]]+missionsDragonRelativeMetrics[[#This Row],[Dedicated Missions]]</f>
        <v>38</v>
      </c>
    </row>
    <row r="22" spans="1:14">
      <c r="A22" s="260" t="s">
        <v>100</v>
      </c>
      <c r="B22" s="293">
        <v>5</v>
      </c>
      <c r="C22" s="293">
        <v>4</v>
      </c>
      <c r="E22" s="103" t="s">
        <v>100</v>
      </c>
      <c r="F22" s="293">
        <v>65</v>
      </c>
      <c r="G22" s="292">
        <f>missionsDragonRelativeMetrics[[#This Row],[Reward Multiplier]]*$C$5</f>
        <v>13000</v>
      </c>
      <c r="H22" s="292">
        <f>missionsDragonRelativeMetrics[[#This Row],[Reward Multiplier]]*$C$6</f>
        <v>19500</v>
      </c>
      <c r="I22" s="292">
        <f>missionsDragonRelativeMetrics[[#This Row],[Reward Multiplier]]*$C$7</f>
        <v>39000</v>
      </c>
      <c r="J22" s="101">
        <v>3</v>
      </c>
      <c r="K22" s="293">
        <v>4</v>
      </c>
      <c r="L22" s="387">
        <f>COUNTIFS(Table8[MIN TIER],"&lt;="&amp;missionsDragonRelativeMetrics[[#This Row],[Tier]],Table8[MAX TIER],"&gt;="&amp;missionsDragonRelativeMetrics[[#This Row],[Tier]],Table8[DRAGON],"="&amp;"")</f>
        <v>34</v>
      </c>
      <c r="M22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388">
        <f>missionsDragonRelativeMetrics[[#This Row],[General Missions]]+missionsDragonRelativeMetrics[[#This Row],[Dedicated Missions]]</f>
        <v>34</v>
      </c>
    </row>
    <row r="23" spans="1:14">
      <c r="A23" s="260" t="s">
        <v>101</v>
      </c>
      <c r="B23" s="293">
        <v>7</v>
      </c>
      <c r="C23" s="293">
        <v>4</v>
      </c>
      <c r="E23" s="103" t="s">
        <v>101</v>
      </c>
      <c r="F23" s="293">
        <v>70</v>
      </c>
      <c r="G23" s="292">
        <f>missionsDragonRelativeMetrics[[#This Row],[Reward Multiplier]]*$C$5</f>
        <v>14000</v>
      </c>
      <c r="H23" s="292">
        <f>missionsDragonRelativeMetrics[[#This Row],[Reward Multiplier]]*$C$6</f>
        <v>21000</v>
      </c>
      <c r="I23" s="292">
        <f>missionsDragonRelativeMetrics[[#This Row],[Reward Multiplier]]*$C$7</f>
        <v>42000</v>
      </c>
      <c r="J23" s="101">
        <v>3</v>
      </c>
      <c r="K23" s="293">
        <v>4</v>
      </c>
      <c r="L23" s="387">
        <f>COUNTIFS(Table8[MIN TIER],"&lt;="&amp;missionsDragonRelativeMetrics[[#This Row],[Tier]],Table8[MAX TIER],"&gt;="&amp;missionsDragonRelativeMetrics[[#This Row],[Tier]],Table8[DRAGON],"="&amp;"")</f>
        <v>34</v>
      </c>
      <c r="M2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388">
        <f>missionsDragonRelativeMetrics[[#This Row],[General Missions]]+missionsDragonRelativeMetrics[[#This Row],[Dedicated Missions]]</f>
        <v>34</v>
      </c>
    </row>
    <row r="24" spans="1:14">
      <c r="A24" s="260" t="s">
        <v>144</v>
      </c>
      <c r="B24" s="293">
        <v>7.5</v>
      </c>
      <c r="C24" s="293">
        <v>4</v>
      </c>
      <c r="E24" s="103" t="s">
        <v>144</v>
      </c>
      <c r="F24" s="293">
        <v>70</v>
      </c>
      <c r="G24" s="292">
        <f>missionsDragonRelativeMetrics[[#This Row],[Reward Multiplier]]*$C$5</f>
        <v>14000</v>
      </c>
      <c r="H24" s="292">
        <f>missionsDragonRelativeMetrics[[#This Row],[Reward Multiplier]]*$C$6</f>
        <v>21000</v>
      </c>
      <c r="I24" s="292">
        <f>missionsDragonRelativeMetrics[[#This Row],[Reward Multiplier]]*$C$7</f>
        <v>42000</v>
      </c>
      <c r="J24" s="101">
        <v>3</v>
      </c>
      <c r="K24" s="293">
        <v>4</v>
      </c>
      <c r="L24" s="387">
        <f>COUNTIFS(Table8[MIN TIER],"&lt;="&amp;missionsDragonRelativeMetrics[[#This Row],[Tier]],Table8[MAX TIER],"&gt;="&amp;missionsDragonRelativeMetrics[[#This Row],[Tier]],Table8[DRAGON],"="&amp;"")</f>
        <v>34</v>
      </c>
      <c r="M2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388">
        <f>missionsDragonRelativeMetrics[[#This Row],[General Missions]]+missionsDragonRelativeMetrics[[#This Row],[Dedicated Missions]]</f>
        <v>34</v>
      </c>
    </row>
    <row r="25" spans="1:14">
      <c r="A25" s="259" t="s">
        <v>217</v>
      </c>
      <c r="B25" s="293">
        <v>8</v>
      </c>
      <c r="C25" s="293">
        <v>5</v>
      </c>
      <c r="E25" s="120" t="s">
        <v>217</v>
      </c>
      <c r="F25" s="293">
        <v>70</v>
      </c>
      <c r="G25" s="292">
        <f>missionsDragonRelativeMetrics[[#This Row],[Reward Multiplier]]*$C$5</f>
        <v>14000</v>
      </c>
      <c r="H25" s="292">
        <f>missionsDragonRelativeMetrics[[#This Row],[Reward Multiplier]]*$C$6</f>
        <v>21000</v>
      </c>
      <c r="I25" s="292">
        <f>missionsDragonRelativeMetrics[[#This Row],[Reward Multiplier]]*$C$7</f>
        <v>42000</v>
      </c>
      <c r="J25" s="101">
        <v>3</v>
      </c>
      <c r="K25" s="293">
        <v>5</v>
      </c>
      <c r="L25" s="387">
        <f>COUNTIFS(Table8[MIN TIER],"&lt;="&amp;missionsDragonRelativeMetrics[[#This Row],[Tier]],Table8[MAX TIER],"&gt;="&amp;missionsDragonRelativeMetrics[[#This Row],[Tier]],Table8[DRAGON],"="&amp;"")</f>
        <v>34</v>
      </c>
      <c r="M2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388">
        <f>missionsDragonRelativeMetrics[[#This Row],[General Missions]]+missionsDragonRelativeMetrics[[#This Row],[Dedicated Missions]]</f>
        <v>34</v>
      </c>
    </row>
    <row r="26" spans="1:14">
      <c r="A26" s="384" t="s">
        <v>521</v>
      </c>
      <c r="B26" s="293">
        <v>8</v>
      </c>
      <c r="C26" s="293">
        <v>5</v>
      </c>
      <c r="E26" s="384" t="s">
        <v>521</v>
      </c>
      <c r="F26" s="293">
        <v>70</v>
      </c>
      <c r="G26" s="292">
        <f>missionsDragonRelativeMetrics[[#This Row],[Reward Multiplier]]*$C$5</f>
        <v>14000</v>
      </c>
      <c r="H26" s="292">
        <f>missionsDragonRelativeMetrics[[#This Row],[Reward Multiplier]]*$C$6</f>
        <v>21000</v>
      </c>
      <c r="I26" s="292">
        <f>missionsDragonRelativeMetrics[[#This Row],[Reward Multiplier]]*$C$7</f>
        <v>42000</v>
      </c>
      <c r="J26" s="101">
        <v>3</v>
      </c>
      <c r="K26" s="293">
        <v>5</v>
      </c>
      <c r="L26" s="387">
        <f>COUNTIFS(Table8[MIN TIER],"&lt;="&amp;missionsDragonRelativeMetrics[[#This Row],[Tier]],Table8[MAX TIER],"&gt;="&amp;missionsDragonRelativeMetrics[[#This Row],[Tier]],Table8[DRAGON],"="&amp;"")</f>
        <v>34</v>
      </c>
      <c r="M2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388">
        <f>missionsDragonRelativeMetrics[[#This Row],[General Missions]]+missionsDragonRelativeMetrics[[#This Row],[Dedicated Missions]]</f>
        <v>34</v>
      </c>
    </row>
    <row r="27" spans="1:14">
      <c r="A27" s="384" t="s">
        <v>777</v>
      </c>
      <c r="B27" s="293">
        <v>8</v>
      </c>
      <c r="C27" s="293">
        <v>5</v>
      </c>
      <c r="E27" s="384" t="s">
        <v>777</v>
      </c>
      <c r="F27" s="293">
        <v>70</v>
      </c>
      <c r="G27" s="292">
        <f>missionsDragonRelativeMetrics[[#This Row],[Reward Multiplier]]*$C$5</f>
        <v>14000</v>
      </c>
      <c r="H27" s="292">
        <f>missionsDragonRelativeMetrics[[#This Row],[Reward Multiplier]]*$C$6</f>
        <v>21000</v>
      </c>
      <c r="I27" s="292">
        <f>missionsDragonRelativeMetrics[[#This Row],[Reward Multiplier]]*$C$7</f>
        <v>42000</v>
      </c>
      <c r="J27" s="101">
        <v>3</v>
      </c>
      <c r="K27" s="293">
        <v>5</v>
      </c>
      <c r="L27" s="387">
        <f>COUNTIFS(Table8[MIN TIER],"&lt;="&amp;missionsDragonRelativeMetrics[[#This Row],[Tier]],Table8[MAX TIER],"&gt;="&amp;missionsDragonRelativeMetrics[[#This Row],[Tier]],Table8[DRAGON],"="&amp;"")</f>
        <v>34</v>
      </c>
      <c r="M2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7" s="388">
        <f>missionsDragonRelativeMetrics[[#This Row],[General Missions]]+missionsDragonRelativeMetrics[[#This Row],[Dedicated Missions]]</f>
        <v>34</v>
      </c>
    </row>
    <row r="28" spans="1:14">
      <c r="A28" s="457" t="s">
        <v>778</v>
      </c>
      <c r="B28" s="458">
        <v>8</v>
      </c>
      <c r="C28" s="458">
        <v>5</v>
      </c>
      <c r="E28" s="459" t="s">
        <v>778</v>
      </c>
      <c r="F28" s="293">
        <v>70</v>
      </c>
      <c r="G28" s="292">
        <f>missionsDragonRelativeMetrics[[#This Row],[Reward Multiplier]]*$C$5</f>
        <v>14000</v>
      </c>
      <c r="H28" s="292">
        <f>missionsDragonRelativeMetrics[[#This Row],[Reward Multiplier]]*$C$6</f>
        <v>21000</v>
      </c>
      <c r="I28" s="292">
        <f>missionsDragonRelativeMetrics[[#This Row],[Reward Multiplier]]*$C$7</f>
        <v>42000</v>
      </c>
      <c r="J28" s="461">
        <v>3</v>
      </c>
      <c r="K28" s="293">
        <v>5</v>
      </c>
      <c r="L28" s="387">
        <f>COUNTIFS(Table8[MIN TIER],"&lt;="&amp;missionsDragonRelativeMetrics[[#This Row],[Tier]],Table8[MAX TIER],"&gt;="&amp;missionsDragonRelativeMetrics[[#This Row],[Tier]],Table8[DRAGON],"="&amp;"")</f>
        <v>34</v>
      </c>
      <c r="M2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8" s="388">
        <f>missionsDragonRelativeMetrics[[#This Row],[General Missions]]+missionsDragonRelativeMetrics[[#This Row],[Dedicated Missions]]</f>
        <v>34</v>
      </c>
    </row>
    <row r="29" spans="1:14">
      <c r="A29" s="457" t="s">
        <v>402</v>
      </c>
      <c r="B29" s="458">
        <v>8.5</v>
      </c>
      <c r="C29" s="458">
        <v>6</v>
      </c>
      <c r="E29" s="259" t="s">
        <v>402</v>
      </c>
      <c r="F29" s="293">
        <v>75</v>
      </c>
      <c r="G29" s="463">
        <f>missionsDragonRelativeMetrics[[#This Row],[Reward Multiplier]]*$C$5</f>
        <v>15000</v>
      </c>
      <c r="H29" s="463">
        <f>missionsDragonRelativeMetrics[[#This Row],[Reward Multiplier]]*$C$6</f>
        <v>22500</v>
      </c>
      <c r="I29" s="387">
        <f>missionsDragonRelativeMetrics[[#This Row],[Reward Multiplier]]*$C$7</f>
        <v>45000</v>
      </c>
      <c r="J29" s="461">
        <v>3</v>
      </c>
      <c r="K29" s="293">
        <v>6</v>
      </c>
      <c r="L29" s="462">
        <f>COUNTIFS(Table8[MIN TIER],"&lt;="&amp;missionsDragonRelativeMetrics[[#This Row],[Tier]],Table8[MAX TIER],"&gt;="&amp;missionsDragonRelativeMetrics[[#This Row],[Tier]],Table8[DRAGON],"="&amp;"")</f>
        <v>34</v>
      </c>
      <c r="M29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460">
        <f>missionsDragonRelativeMetrics[[#This Row],[General Missions]]+missionsDragonRelativeMetrics[[#This Row],[Dedicated Missions]]</f>
        <v>42</v>
      </c>
    </row>
    <row r="30" spans="1:14">
      <c r="A30" s="457" t="s">
        <v>403</v>
      </c>
      <c r="B30" s="458">
        <v>8.5</v>
      </c>
      <c r="C30" s="458">
        <v>6</v>
      </c>
      <c r="E30" s="384" t="s">
        <v>403</v>
      </c>
      <c r="F30" s="293">
        <v>75</v>
      </c>
      <c r="G30" s="463">
        <f>missionsDragonRelativeMetrics[[#This Row],[Reward Multiplier]]*$C$5</f>
        <v>15000</v>
      </c>
      <c r="H30" s="463">
        <f>missionsDragonRelativeMetrics[[#This Row],[Reward Multiplier]]*$C$6</f>
        <v>22500</v>
      </c>
      <c r="I30" s="387">
        <f>missionsDragonRelativeMetrics[[#This Row],[Reward Multiplier]]*$C$7</f>
        <v>45000</v>
      </c>
      <c r="J30" s="461">
        <v>3</v>
      </c>
      <c r="K30" s="293">
        <v>6</v>
      </c>
      <c r="L30" s="462">
        <f>COUNTIFS(Table8[MIN TIER],"&lt;="&amp;missionsDragonRelativeMetrics[[#This Row],[Tier]],Table8[MAX TIER],"&gt;="&amp;missionsDragonRelativeMetrics[[#This Row],[Tier]],Table8[DRAGON],"="&amp;"")</f>
        <v>34</v>
      </c>
      <c r="M30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460">
        <f>missionsDragonRelativeMetrics[[#This Row],[General Missions]]+missionsDragonRelativeMetrics[[#This Row],[Dedicated Missions]]</f>
        <v>42</v>
      </c>
    </row>
    <row r="31" spans="1:14">
      <c r="A31" s="457" t="s">
        <v>404</v>
      </c>
      <c r="B31" s="458">
        <v>8.5</v>
      </c>
      <c r="C31" s="458">
        <v>6</v>
      </c>
      <c r="E31" s="384" t="s">
        <v>404</v>
      </c>
      <c r="F31" s="293">
        <v>75</v>
      </c>
      <c r="G31" s="463">
        <f>missionsDragonRelativeMetrics[[#This Row],[Reward Multiplier]]*$C$5</f>
        <v>15000</v>
      </c>
      <c r="H31" s="463">
        <f>missionsDragonRelativeMetrics[[#This Row],[Reward Multiplier]]*$C$6</f>
        <v>22500</v>
      </c>
      <c r="I31" s="387">
        <f>missionsDragonRelativeMetrics[[#This Row],[Reward Multiplier]]*$C$7</f>
        <v>45000</v>
      </c>
      <c r="J31" s="461">
        <v>3</v>
      </c>
      <c r="K31" s="293">
        <v>6</v>
      </c>
      <c r="L31" s="462">
        <f>COUNTIFS(Table8[MIN TIER],"&lt;="&amp;missionsDragonRelativeMetrics[[#This Row],[Tier]],Table8[MAX TIER],"&gt;="&amp;missionsDragonRelativeMetrics[[#This Row],[Tier]],Table8[DRAGON],"="&amp;"")</f>
        <v>34</v>
      </c>
      <c r="M31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1" s="460">
        <f>missionsDragonRelativeMetrics[[#This Row],[General Missions]]+missionsDragonRelativeMetrics[[#This Row],[Dedicated Missions]]</f>
        <v>42</v>
      </c>
    </row>
    <row r="32" spans="1:14">
      <c r="A32" s="457" t="s">
        <v>405</v>
      </c>
      <c r="B32" s="458">
        <v>8.5</v>
      </c>
      <c r="C32" s="458">
        <v>6</v>
      </c>
      <c r="E32" s="384" t="s">
        <v>405</v>
      </c>
      <c r="F32" s="293">
        <v>75</v>
      </c>
      <c r="G32" s="463">
        <f>missionsDragonRelativeMetrics[[#This Row],[Reward Multiplier]]*$C$5</f>
        <v>15000</v>
      </c>
      <c r="H32" s="463">
        <f>missionsDragonRelativeMetrics[[#This Row],[Reward Multiplier]]*$C$6</f>
        <v>22500</v>
      </c>
      <c r="I32" s="387">
        <f>missionsDragonRelativeMetrics[[#This Row],[Reward Multiplier]]*$C$7</f>
        <v>45000</v>
      </c>
      <c r="J32" s="461">
        <v>3</v>
      </c>
      <c r="K32" s="293">
        <v>6</v>
      </c>
      <c r="L32" s="462">
        <f>COUNTIFS(Table8[MIN TIER],"&lt;="&amp;missionsDragonRelativeMetrics[[#This Row],[Tier]],Table8[MAX TIER],"&gt;="&amp;missionsDragonRelativeMetrics[[#This Row],[Tier]],Table8[DRAGON],"="&amp;"")</f>
        <v>34</v>
      </c>
      <c r="M32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2" s="460">
        <f>missionsDragonRelativeMetrics[[#This Row],[General Missions]]+missionsDragonRelativeMetrics[[#This Row],[Dedicated Missions]]</f>
        <v>42</v>
      </c>
    </row>
    <row r="33" spans="1:17">
      <c r="A33" s="259" t="s">
        <v>406</v>
      </c>
      <c r="B33" s="293">
        <v>8.5</v>
      </c>
      <c r="C33" s="293">
        <v>6</v>
      </c>
      <c r="E33" s="260" t="s">
        <v>406</v>
      </c>
      <c r="F33" s="293">
        <v>75</v>
      </c>
      <c r="G33" s="463">
        <f>missionsDragonRelativeMetrics[[#This Row],[Reward Multiplier]]*$C$5</f>
        <v>15000</v>
      </c>
      <c r="H33" s="463">
        <f>missionsDragonRelativeMetrics[[#This Row],[Reward Multiplier]]*$C$6</f>
        <v>22500</v>
      </c>
      <c r="I33" s="387">
        <f>missionsDragonRelativeMetrics[[#This Row],[Reward Multiplier]]*$C$7</f>
        <v>45000</v>
      </c>
      <c r="J33" s="461">
        <v>3</v>
      </c>
      <c r="K33" s="293">
        <v>6</v>
      </c>
      <c r="L33" s="462">
        <f>COUNTIFS(Table8[MIN TIER],"&lt;="&amp;missionsDragonRelativeMetrics[[#This Row],[Tier]],Table8[MAX TIER],"&gt;="&amp;missionsDragonRelativeMetrics[[#This Row],[Tier]],Table8[DRAGON],"="&amp;"")</f>
        <v>34</v>
      </c>
      <c r="M33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3" s="460">
        <f>missionsDragonRelativeMetrics[[#This Row],[General Missions]]+missionsDragonRelativeMetrics[[#This Row],[Dedicated Missions]]</f>
        <v>34</v>
      </c>
    </row>
    <row r="34" spans="1:17">
      <c r="C34" s="1"/>
    </row>
    <row r="35" spans="1:17">
      <c r="C35" s="1"/>
      <c r="D35" s="1"/>
      <c r="E35" s="100" t="s">
        <v>407</v>
      </c>
    </row>
    <row r="36" spans="1:17">
      <c r="D36" s="1"/>
    </row>
    <row r="37" spans="1:17">
      <c r="A37" s="299" t="s">
        <v>139</v>
      </c>
      <c r="B37" s="339" t="s">
        <v>138</v>
      </c>
      <c r="E37" s="339" t="s">
        <v>102</v>
      </c>
      <c r="F37" s="339" t="s">
        <v>91</v>
      </c>
      <c r="G37" s="339" t="s">
        <v>91</v>
      </c>
      <c r="H37" s="339" t="s">
        <v>91</v>
      </c>
      <c r="I37" s="339" t="s">
        <v>103</v>
      </c>
    </row>
    <row r="38" spans="1:17">
      <c r="A38" s="343" t="b">
        <v>1</v>
      </c>
      <c r="B38" s="342">
        <v>0.7</v>
      </c>
      <c r="E38" s="239" t="s">
        <v>402</v>
      </c>
      <c r="F38" s="341" t="s">
        <v>115</v>
      </c>
      <c r="G38" s="341" t="s">
        <v>116</v>
      </c>
      <c r="H38" s="341" t="s">
        <v>117</v>
      </c>
      <c r="I38" s="239" t="b">
        <v>0</v>
      </c>
    </row>
    <row r="39" spans="1:17">
      <c r="D39" s="339" t="s">
        <v>495</v>
      </c>
      <c r="E39" s="339" t="s">
        <v>104</v>
      </c>
      <c r="F39" s="339" t="s">
        <v>105</v>
      </c>
      <c r="G39" s="339" t="s">
        <v>105</v>
      </c>
      <c r="H39" s="339" t="s">
        <v>105</v>
      </c>
      <c r="I39" s="339" t="s">
        <v>106</v>
      </c>
    </row>
    <row r="40" spans="1:17">
      <c r="D40" s="340">
        <f>INDEX(Table1[Dragon Tier],MATCH(E38,Table1[Dragon],0))</f>
        <v>6</v>
      </c>
      <c r="E40" s="340">
        <f>INDEX(Table1[QuantityModifier],MATCH(E38,Table1[Dragon],0))</f>
        <v>8.5</v>
      </c>
      <c r="F40" s="342">
        <v>0.05</v>
      </c>
      <c r="G40" s="342">
        <v>0.1</v>
      </c>
      <c r="H40" s="342">
        <v>0.2</v>
      </c>
      <c r="I40" s="340">
        <f>IF(I38,B38,0)</f>
        <v>0</v>
      </c>
    </row>
    <row r="43" spans="1:17">
      <c r="E43" s="339" t="s">
        <v>107</v>
      </c>
      <c r="F43" s="340">
        <f>$E$40+F40</f>
        <v>8.5500000000000007</v>
      </c>
      <c r="G43" s="340">
        <f>$E$40+G40</f>
        <v>8.6</v>
      </c>
      <c r="H43" s="340">
        <f>$E$40+H40</f>
        <v>8.6999999999999993</v>
      </c>
      <c r="I43" t="s">
        <v>407</v>
      </c>
    </row>
    <row r="46" spans="1:17">
      <c r="G46" s="486" t="s">
        <v>135</v>
      </c>
      <c r="H46" s="486"/>
      <c r="I46" s="487" t="s">
        <v>136</v>
      </c>
      <c r="J46" s="488"/>
      <c r="K46" s="489" t="s">
        <v>137</v>
      </c>
      <c r="L46" s="490"/>
    </row>
    <row r="47" spans="1:17">
      <c r="B47" s="114" t="s">
        <v>532</v>
      </c>
      <c r="C47" s="112" t="s">
        <v>129</v>
      </c>
      <c r="D47" s="112" t="s">
        <v>130</v>
      </c>
      <c r="E47" s="112" t="s">
        <v>140</v>
      </c>
      <c r="F47" s="112" t="s">
        <v>133</v>
      </c>
      <c r="G47" s="112" t="s">
        <v>134</v>
      </c>
      <c r="H47" s="113" t="s">
        <v>141</v>
      </c>
      <c r="I47" s="114" t="s">
        <v>142</v>
      </c>
      <c r="J47" s="113" t="s">
        <v>173</v>
      </c>
      <c r="K47" s="114" t="s">
        <v>177</v>
      </c>
      <c r="L47" s="113" t="s">
        <v>178</v>
      </c>
      <c r="M47" s="114" t="s">
        <v>174</v>
      </c>
      <c r="N47" s="338" t="s">
        <v>493</v>
      </c>
      <c r="O47" s="346" t="s">
        <v>494</v>
      </c>
      <c r="P47" s="385" t="s">
        <v>416</v>
      </c>
      <c r="Q47" s="114" t="s">
        <v>516</v>
      </c>
    </row>
    <row r="48" spans="1:17">
      <c r="B48" s="102">
        <v>1</v>
      </c>
      <c r="C48" t="s">
        <v>0</v>
      </c>
      <c r="D48" s="198" t="s">
        <v>131</v>
      </c>
      <c r="E48" t="s">
        <v>132</v>
      </c>
      <c r="F48" s="102">
        <v>600</v>
      </c>
      <c r="G48" s="102">
        <v>650</v>
      </c>
      <c r="H48" t="str">
        <f t="shared" ref="H48:H76" si="0">CONCATENATE(ROUND((F48*$F$43)*(1-$I$40),0), " to ",ROUND((G48*$F$43)*(1-$I$40),0))</f>
        <v>5130 to 5558</v>
      </c>
      <c r="I48" t="str">
        <f>CONCATENATE(INDEX(missionsDragonRelativeMetrics[Easy Mission Reward],MATCH($E$38,missionsDragonRelativeMetrics[Dragon],0)), " coins")</f>
        <v>15000 coins</v>
      </c>
      <c r="J48" t="str">
        <f t="shared" ref="J48:J76" si="1">CONCATENATE(ROUND((F48*$G$43)*(1-$I$40),0), " to ",ROUND((G48*$G$43)*(1-$I$40),0))</f>
        <v>5160 to 5590</v>
      </c>
      <c r="K48" t="str">
        <f>CONCATENATE(INDEX(missionsDragonRelativeMetrics[Medium Mission Reward],MATCH($E$38,missionsDragonRelativeMetrics[Dragon],0)), " coins")</f>
        <v>22500 coins</v>
      </c>
      <c r="L48" t="str">
        <f t="shared" ref="L48:L76" si="2">CONCATENATE(ROUND((F48*$H$43)*(1-$I$40),0), " to ",ROUND((G48*$H$43)*(1-$I$40),0))</f>
        <v>5220 to 5655</v>
      </c>
      <c r="M48" t="str">
        <f>CONCATENATE(INDEX(missionsDragonRelativeMetrics[Hard Mission Reward],MATCH($E$38,missionsDragonRelativeMetrics[Dragon],0)), " coins")</f>
        <v>45000 coins</v>
      </c>
      <c r="N48">
        <v>0</v>
      </c>
      <c r="O48" s="347">
        <v>3</v>
      </c>
      <c r="P48" s="386"/>
      <c r="Q48" t="b">
        <f t="shared" ref="Q48:Q79" si="3">IF(P48="",NOT(OR(N48&gt;$D$40,O48&lt;$D$40)),AND(NOT(OR(N48&gt;$D$40,O48&lt;$D$40)),P48=$E$38))</f>
        <v>0</v>
      </c>
    </row>
    <row r="49" spans="2:17">
      <c r="B49" s="102">
        <v>2</v>
      </c>
      <c r="C49" t="s">
        <v>0</v>
      </c>
      <c r="D49" t="s">
        <v>146</v>
      </c>
      <c r="E49" t="s">
        <v>132</v>
      </c>
      <c r="F49" s="102">
        <v>25</v>
      </c>
      <c r="G49" s="102">
        <v>30</v>
      </c>
      <c r="H49" t="str">
        <f t="shared" si="0"/>
        <v>214 to 257</v>
      </c>
      <c r="I49" t="str">
        <f>CONCATENATE(INDEX(missionsDragonRelativeMetrics[Easy Mission Reward],MATCH($E$38,missionsDragonRelativeMetrics[Dragon],0)), " coins")</f>
        <v>15000 coins</v>
      </c>
      <c r="J49" t="str">
        <f t="shared" si="1"/>
        <v>215 to 258</v>
      </c>
      <c r="K49" t="str">
        <f>CONCATENATE(INDEX(missionsDragonRelativeMetrics[Medium Mission Reward],MATCH($E$38,missionsDragonRelativeMetrics[Dragon],0)), " coins")</f>
        <v>22500 coins</v>
      </c>
      <c r="L49" t="str">
        <f t="shared" si="2"/>
        <v>218 to 261</v>
      </c>
      <c r="M49" t="str">
        <f>CONCATENATE(INDEX(missionsDragonRelativeMetrics[Hard Mission Reward],MATCH($E$38,missionsDragonRelativeMetrics[Dragon],0)), " coins")</f>
        <v>45000 coins</v>
      </c>
      <c r="N49">
        <v>0</v>
      </c>
      <c r="O49" s="347">
        <v>4</v>
      </c>
      <c r="P49" s="264"/>
      <c r="Q49" t="b">
        <f t="shared" si="3"/>
        <v>0</v>
      </c>
    </row>
    <row r="50" spans="2:17">
      <c r="B50" s="102">
        <v>3</v>
      </c>
      <c r="C50" t="s">
        <v>147</v>
      </c>
      <c r="D50" t="s">
        <v>148</v>
      </c>
      <c r="E50" t="s">
        <v>149</v>
      </c>
      <c r="F50" s="102">
        <v>1000</v>
      </c>
      <c r="G50" s="102">
        <v>1200</v>
      </c>
      <c r="H50" t="str">
        <f t="shared" si="0"/>
        <v>8550 to 10260</v>
      </c>
      <c r="I50" t="str">
        <f>CONCATENATE(INDEX(missionsDragonRelativeMetrics[Easy Mission Reward],MATCH($E$38,missionsDragonRelativeMetrics[Dragon],0)), " coins")</f>
        <v>15000 coins</v>
      </c>
      <c r="J50" t="str">
        <f t="shared" si="1"/>
        <v>8600 to 10320</v>
      </c>
      <c r="K50" t="str">
        <f>CONCATENATE(INDEX(missionsDragonRelativeMetrics[Medium Mission Reward],MATCH($E$38,missionsDragonRelativeMetrics[Dragon],0)), " coins")</f>
        <v>22500 coins</v>
      </c>
      <c r="L50" t="str">
        <f t="shared" si="2"/>
        <v>8700 to 10440</v>
      </c>
      <c r="M50" t="str">
        <f>CONCATENATE(INDEX(missionsDragonRelativeMetrics[Hard Mission Reward],MATCH($E$38,missionsDragonRelativeMetrics[Dragon],0)), " coins")</f>
        <v>45000 coins</v>
      </c>
      <c r="N50">
        <v>0</v>
      </c>
      <c r="O50" s="347">
        <v>7</v>
      </c>
      <c r="P50" s="264"/>
      <c r="Q50" t="b">
        <f t="shared" si="3"/>
        <v>1</v>
      </c>
    </row>
    <row r="51" spans="2:17">
      <c r="B51" s="102">
        <v>4</v>
      </c>
      <c r="C51" t="s">
        <v>0</v>
      </c>
      <c r="D51" t="s">
        <v>5</v>
      </c>
      <c r="E51" t="s">
        <v>132</v>
      </c>
      <c r="F51" s="109">
        <v>10</v>
      </c>
      <c r="G51" s="109">
        <v>11</v>
      </c>
      <c r="H51" t="str">
        <f t="shared" si="0"/>
        <v>86 to 94</v>
      </c>
      <c r="I51" t="str">
        <f>CONCATENATE(INDEX(missionsDragonRelativeMetrics[Easy Mission Reward],MATCH($E$38,missionsDragonRelativeMetrics[Dragon],0)), " coins")</f>
        <v>15000 coins</v>
      </c>
      <c r="J51" t="str">
        <f t="shared" si="1"/>
        <v>86 to 95</v>
      </c>
      <c r="K51" t="str">
        <f>CONCATENATE(INDEX(missionsDragonRelativeMetrics[Medium Mission Reward],MATCH($E$38,missionsDragonRelativeMetrics[Dragon],0)), " coins")</f>
        <v>22500 coins</v>
      </c>
      <c r="L51" t="str">
        <f t="shared" si="2"/>
        <v>87 to 96</v>
      </c>
      <c r="M51" t="str">
        <f>CONCATENATE(INDEX(missionsDragonRelativeMetrics[Hard Mission Reward],MATCH($E$38,missionsDragonRelativeMetrics[Dragon],0)), " coins")</f>
        <v>45000 coins</v>
      </c>
      <c r="N51">
        <v>1</v>
      </c>
      <c r="O51" s="347">
        <v>7</v>
      </c>
      <c r="P51" s="264"/>
      <c r="Q51" t="b">
        <f t="shared" si="3"/>
        <v>1</v>
      </c>
    </row>
    <row r="52" spans="2:17">
      <c r="B52" s="102">
        <v>5</v>
      </c>
      <c r="C52" t="s">
        <v>150</v>
      </c>
      <c r="D52" s="110" t="s">
        <v>151</v>
      </c>
      <c r="E52" t="s">
        <v>132</v>
      </c>
      <c r="F52" s="109">
        <v>5</v>
      </c>
      <c r="G52" s="109">
        <v>6</v>
      </c>
      <c r="H52" s="111" t="str">
        <f t="shared" si="0"/>
        <v>43 to 51</v>
      </c>
      <c r="I52" t="str">
        <f>CONCATENATE(INDEX(missionsDragonRelativeMetrics[Easy Mission Reward],MATCH($E$38,missionsDragonRelativeMetrics[Dragon],0)), " coins")</f>
        <v>15000 coins</v>
      </c>
      <c r="J52" s="111" t="str">
        <f t="shared" si="1"/>
        <v>43 to 52</v>
      </c>
      <c r="K52" t="str">
        <f>CONCATENATE(INDEX(missionsDragonRelativeMetrics[Medium Mission Reward],MATCH($E$38,missionsDragonRelativeMetrics[Dragon],0)), " coins")</f>
        <v>22500 coins</v>
      </c>
      <c r="L52" s="111" t="str">
        <f t="shared" si="2"/>
        <v>44 to 52</v>
      </c>
      <c r="M52" t="str">
        <f>CONCATENATE(INDEX(missionsDragonRelativeMetrics[Hard Mission Reward],MATCH($E$38,missionsDragonRelativeMetrics[Dragon],0)), " coins")</f>
        <v>45000 coins</v>
      </c>
      <c r="N52">
        <v>0</v>
      </c>
      <c r="O52" s="347">
        <v>7</v>
      </c>
      <c r="P52" s="264"/>
      <c r="Q52" t="b">
        <f t="shared" si="3"/>
        <v>1</v>
      </c>
    </row>
    <row r="53" spans="2:17">
      <c r="B53" s="102">
        <v>6</v>
      </c>
      <c r="C53" t="s">
        <v>152</v>
      </c>
      <c r="D53" s="110" t="s">
        <v>151</v>
      </c>
      <c r="E53" t="s">
        <v>149</v>
      </c>
      <c r="F53" s="109">
        <v>350</v>
      </c>
      <c r="G53" s="109">
        <v>400</v>
      </c>
      <c r="H53" s="111" t="str">
        <f t="shared" si="0"/>
        <v>2993 to 3420</v>
      </c>
      <c r="I53" t="str">
        <f>CONCATENATE(INDEX(missionsDragonRelativeMetrics[Easy Mission Reward],MATCH($E$38,missionsDragonRelativeMetrics[Dragon],0)), " coins")</f>
        <v>15000 coins</v>
      </c>
      <c r="J53" s="111" t="str">
        <f t="shared" si="1"/>
        <v>3010 to 3440</v>
      </c>
      <c r="K53" t="str">
        <f>CONCATENATE(INDEX(missionsDragonRelativeMetrics[Medium Mission Reward],MATCH($E$38,missionsDragonRelativeMetrics[Dragon],0)), " coins")</f>
        <v>22500 coins</v>
      </c>
      <c r="L53" s="111" t="str">
        <f t="shared" si="2"/>
        <v>3045 to 3480</v>
      </c>
      <c r="M53" t="str">
        <f>CONCATENATE(INDEX(missionsDragonRelativeMetrics[Hard Mission Reward],MATCH($E$38,missionsDragonRelativeMetrics[Dragon],0)), " coins")</f>
        <v>45000 coins</v>
      </c>
      <c r="N53">
        <v>1</v>
      </c>
      <c r="O53" s="347">
        <v>7</v>
      </c>
      <c r="P53" s="264"/>
      <c r="Q53" t="b">
        <f t="shared" si="3"/>
        <v>1</v>
      </c>
    </row>
    <row r="54" spans="2:17">
      <c r="B54" s="102">
        <v>7</v>
      </c>
      <c r="C54" t="s">
        <v>153</v>
      </c>
      <c r="D54" s="110" t="s">
        <v>151</v>
      </c>
      <c r="E54" t="s">
        <v>149</v>
      </c>
      <c r="F54" s="109">
        <v>300</v>
      </c>
      <c r="G54" s="109">
        <v>400</v>
      </c>
      <c r="H54" s="111" t="str">
        <f t="shared" si="0"/>
        <v>2565 to 3420</v>
      </c>
      <c r="I54" t="str">
        <f>CONCATENATE(INDEX(missionsDragonRelativeMetrics[Easy Mission Reward],MATCH($E$38,missionsDragonRelativeMetrics[Dragon],0)), " coins")</f>
        <v>15000 coins</v>
      </c>
      <c r="J54" s="111" t="str">
        <f t="shared" si="1"/>
        <v>2580 to 3440</v>
      </c>
      <c r="K54" t="str">
        <f>CONCATENATE(INDEX(missionsDragonRelativeMetrics[Medium Mission Reward],MATCH($E$38,missionsDragonRelativeMetrics[Dragon],0)), " coins")</f>
        <v>22500 coins</v>
      </c>
      <c r="L54" s="111" t="str">
        <f t="shared" si="2"/>
        <v>2610 to 3480</v>
      </c>
      <c r="M54" t="str">
        <f>CONCATENATE(INDEX(missionsDragonRelativeMetrics[Hard Mission Reward],MATCH($E$38,missionsDragonRelativeMetrics[Dragon],0)), " coins")</f>
        <v>45000 coins</v>
      </c>
      <c r="N54">
        <v>0</v>
      </c>
      <c r="O54" s="347">
        <v>7</v>
      </c>
      <c r="P54" s="264"/>
      <c r="Q54" t="b">
        <f t="shared" si="3"/>
        <v>1</v>
      </c>
    </row>
    <row r="55" spans="2:17">
      <c r="B55" s="102">
        <v>8</v>
      </c>
      <c r="C55" t="s">
        <v>1</v>
      </c>
      <c r="D55" s="110" t="s">
        <v>151</v>
      </c>
      <c r="E55" t="s">
        <v>132</v>
      </c>
      <c r="F55" s="109">
        <v>400000</v>
      </c>
      <c r="G55" s="109">
        <v>500000</v>
      </c>
      <c r="H55" s="111" t="str">
        <f t="shared" si="0"/>
        <v>3420000 to 4275000</v>
      </c>
      <c r="I55" t="str">
        <f>CONCATENATE(INDEX(missionsDragonRelativeMetrics[Easy Mission Reward],MATCH($E$38,missionsDragonRelativeMetrics[Dragon],0)), " coins")</f>
        <v>15000 coins</v>
      </c>
      <c r="J55" s="111" t="str">
        <f t="shared" si="1"/>
        <v>3440000 to 4300000</v>
      </c>
      <c r="K55" t="str">
        <f>CONCATENATE(INDEX(missionsDragonRelativeMetrics[Medium Mission Reward],MATCH($E$38,missionsDragonRelativeMetrics[Dragon],0)), " coins")</f>
        <v>22500 coins</v>
      </c>
      <c r="L55" s="111" t="str">
        <f t="shared" si="2"/>
        <v>3480000 to 4350000</v>
      </c>
      <c r="M55" t="str">
        <f>CONCATENATE(INDEX(missionsDragonRelativeMetrics[Hard Mission Reward],MATCH($E$38,missionsDragonRelativeMetrics[Dragon],0)), " coins")</f>
        <v>45000 coins</v>
      </c>
      <c r="N55">
        <v>0</v>
      </c>
      <c r="O55" s="347">
        <v>7</v>
      </c>
      <c r="P55" s="264"/>
      <c r="Q55" t="b">
        <f t="shared" si="3"/>
        <v>1</v>
      </c>
    </row>
    <row r="56" spans="2:17">
      <c r="B56" s="102">
        <v>9</v>
      </c>
      <c r="C56" t="s">
        <v>0</v>
      </c>
      <c r="D56" t="s">
        <v>154</v>
      </c>
      <c r="E56" t="s">
        <v>132</v>
      </c>
      <c r="F56" s="109">
        <v>45</v>
      </c>
      <c r="G56" s="109">
        <v>55</v>
      </c>
      <c r="H56" s="111" t="str">
        <f t="shared" si="0"/>
        <v>385 to 470</v>
      </c>
      <c r="I56" t="str">
        <f>CONCATENATE(INDEX(missionsDragonRelativeMetrics[Easy Mission Reward],MATCH($E$38,missionsDragonRelativeMetrics[Dragon],0)), " coins")</f>
        <v>15000 coins</v>
      </c>
      <c r="J56" s="111" t="str">
        <f>CONCATENATE(ROUND((F56*$G$43)*(1-$I$40),0), " to ",ROUND((G56*$G$43)*(1-$I$40),0))</f>
        <v>387 to 473</v>
      </c>
      <c r="K56" t="str">
        <f>CONCATENATE(INDEX(missionsDragonRelativeMetrics[Medium Mission Reward],MATCH($E$38,missionsDragonRelativeMetrics[Dragon],0)), " coins")</f>
        <v>22500 coins</v>
      </c>
      <c r="L56" s="111" t="str">
        <f t="shared" si="2"/>
        <v>392 to 479</v>
      </c>
      <c r="M56" t="str">
        <f>CONCATENATE(INDEX(missionsDragonRelativeMetrics[Hard Mission Reward],MATCH($E$38,missionsDragonRelativeMetrics[Dragon],0)), " coins")</f>
        <v>45000 coins</v>
      </c>
      <c r="N56">
        <v>0</v>
      </c>
      <c r="O56" s="347">
        <v>3</v>
      </c>
      <c r="P56" s="264"/>
      <c r="Q56" t="b">
        <f t="shared" si="3"/>
        <v>0</v>
      </c>
    </row>
    <row r="57" spans="2:17">
      <c r="B57" s="102">
        <v>10</v>
      </c>
      <c r="C57" t="s">
        <v>0</v>
      </c>
      <c r="D57" t="s">
        <v>155</v>
      </c>
      <c r="E57" t="s">
        <v>132</v>
      </c>
      <c r="F57" s="109">
        <v>40</v>
      </c>
      <c r="G57" s="109">
        <v>45</v>
      </c>
      <c r="H57" s="111" t="str">
        <f t="shared" si="0"/>
        <v>342 to 385</v>
      </c>
      <c r="I57" t="str">
        <f>CONCATENATE(INDEX(missionsDragonRelativeMetrics[Easy Mission Reward],MATCH($E$38,missionsDragonRelativeMetrics[Dragon],0)), " coins")</f>
        <v>15000 coins</v>
      </c>
      <c r="J57" s="111" t="str">
        <f t="shared" si="1"/>
        <v>344 to 387</v>
      </c>
      <c r="K57" t="str">
        <f>CONCATENATE(INDEX(missionsDragonRelativeMetrics[Medium Mission Reward],MATCH($E$38,missionsDragonRelativeMetrics[Dragon],0)), " coins")</f>
        <v>22500 coins</v>
      </c>
      <c r="L57" s="111" t="str">
        <f>CONCATENATE(ROUND((F57*$H$43)*(1-$I$40),0), " to ",ROUND((G57*$H$43)*(1-$I$40),0))</f>
        <v>348 to 392</v>
      </c>
      <c r="M57" t="str">
        <f>CONCATENATE(INDEX(missionsDragonRelativeMetrics[Hard Mission Reward],MATCH($E$38,missionsDragonRelativeMetrics[Dragon],0)), " coins")</f>
        <v>45000 coins</v>
      </c>
      <c r="N57">
        <v>0</v>
      </c>
      <c r="O57" s="347">
        <v>7</v>
      </c>
      <c r="P57" s="264"/>
      <c r="Q57" t="b">
        <f t="shared" si="3"/>
        <v>1</v>
      </c>
    </row>
    <row r="58" spans="2:17">
      <c r="B58" s="102">
        <v>11</v>
      </c>
      <c r="C58" t="s">
        <v>0</v>
      </c>
      <c r="D58" t="s">
        <v>156</v>
      </c>
      <c r="E58" t="s">
        <v>132</v>
      </c>
      <c r="F58" s="109">
        <v>150</v>
      </c>
      <c r="G58" s="109">
        <v>200</v>
      </c>
      <c r="H58" s="111" t="str">
        <f t="shared" si="0"/>
        <v>1283 to 1710</v>
      </c>
      <c r="I58" t="str">
        <f>CONCATENATE(INDEX(missionsDragonRelativeMetrics[Easy Mission Reward],MATCH($E$38,missionsDragonRelativeMetrics[Dragon],0)), " coins")</f>
        <v>15000 coins</v>
      </c>
      <c r="J58" s="111" t="str">
        <f t="shared" si="1"/>
        <v>1290 to 1720</v>
      </c>
      <c r="K58" t="str">
        <f>CONCATENATE(INDEX(missionsDragonRelativeMetrics[Medium Mission Reward],MATCH($E$38,missionsDragonRelativeMetrics[Dragon],0)), " coins")</f>
        <v>22500 coins</v>
      </c>
      <c r="L58" s="111" t="str">
        <f t="shared" si="2"/>
        <v>1305 to 1740</v>
      </c>
      <c r="M58" t="str">
        <f>CONCATENATE(INDEX(missionsDragonRelativeMetrics[Hard Mission Reward],MATCH($E$38,missionsDragonRelativeMetrics[Dragon],0)), " coins")</f>
        <v>45000 coins</v>
      </c>
      <c r="N58">
        <v>0</v>
      </c>
      <c r="O58" s="347">
        <v>3</v>
      </c>
      <c r="P58" s="264"/>
      <c r="Q58" t="b">
        <f t="shared" si="3"/>
        <v>0</v>
      </c>
    </row>
    <row r="59" spans="2:17">
      <c r="B59" s="102">
        <v>12</v>
      </c>
      <c r="C59" t="s">
        <v>0</v>
      </c>
      <c r="D59" t="s">
        <v>157</v>
      </c>
      <c r="E59" t="s">
        <v>132</v>
      </c>
      <c r="F59" s="109">
        <v>5</v>
      </c>
      <c r="G59" s="109">
        <v>7</v>
      </c>
      <c r="H59" s="111" t="str">
        <f t="shared" si="0"/>
        <v>43 to 60</v>
      </c>
      <c r="I59" t="str">
        <f>CONCATENATE(INDEX(missionsDragonRelativeMetrics[Easy Mission Reward],MATCH($E$38,missionsDragonRelativeMetrics[Dragon],0)), " coins")</f>
        <v>15000 coins</v>
      </c>
      <c r="J59" s="111" t="str">
        <f t="shared" si="1"/>
        <v>43 to 60</v>
      </c>
      <c r="K59" t="str">
        <f>CONCATENATE(INDEX(missionsDragonRelativeMetrics[Medium Mission Reward],MATCH($E$38,missionsDragonRelativeMetrics[Dragon],0)), " coins")</f>
        <v>22500 coins</v>
      </c>
      <c r="L59" s="111" t="str">
        <f t="shared" si="2"/>
        <v>44 to 61</v>
      </c>
      <c r="M59" t="str">
        <f>CONCATENATE(INDEX(missionsDragonRelativeMetrics[Hard Mission Reward],MATCH($E$38,missionsDragonRelativeMetrics[Dragon],0)), " coins")</f>
        <v>45000 coins</v>
      </c>
      <c r="N59">
        <v>2</v>
      </c>
      <c r="O59" s="347">
        <v>4</v>
      </c>
      <c r="P59" s="264"/>
      <c r="Q59" t="b">
        <f t="shared" si="3"/>
        <v>0</v>
      </c>
    </row>
    <row r="60" spans="2:17">
      <c r="B60" s="102">
        <v>13</v>
      </c>
      <c r="C60" t="s">
        <v>0</v>
      </c>
      <c r="D60" t="s">
        <v>158</v>
      </c>
      <c r="E60" t="s">
        <v>132</v>
      </c>
      <c r="F60" s="109">
        <v>5</v>
      </c>
      <c r="G60" s="109">
        <v>7</v>
      </c>
      <c r="H60" s="111" t="str">
        <f t="shared" si="0"/>
        <v>43 to 60</v>
      </c>
      <c r="I60" t="str">
        <f>CONCATENATE(INDEX(missionsDragonRelativeMetrics[Easy Mission Reward],MATCH($E$38,missionsDragonRelativeMetrics[Dragon],0)), " coins")</f>
        <v>15000 coins</v>
      </c>
      <c r="J60" s="111" t="str">
        <f t="shared" si="1"/>
        <v>43 to 60</v>
      </c>
      <c r="K60" t="str">
        <f>CONCATENATE(INDEX(missionsDragonRelativeMetrics[Medium Mission Reward],MATCH($E$38,missionsDragonRelativeMetrics[Dragon],0)), " coins")</f>
        <v>22500 coins</v>
      </c>
      <c r="L60" s="111" t="str">
        <f t="shared" si="2"/>
        <v>44 to 61</v>
      </c>
      <c r="M60" t="str">
        <f>CONCATENATE(INDEX(missionsDragonRelativeMetrics[Hard Mission Reward],MATCH($E$38,missionsDragonRelativeMetrics[Dragon],0)), " coins")</f>
        <v>45000 coins</v>
      </c>
      <c r="N60">
        <v>2</v>
      </c>
      <c r="O60" s="347">
        <v>7</v>
      </c>
      <c r="P60" s="264"/>
      <c r="Q60" t="b">
        <f t="shared" si="3"/>
        <v>1</v>
      </c>
    </row>
    <row r="61" spans="2:17">
      <c r="B61" s="102">
        <v>14</v>
      </c>
      <c r="C61" t="s">
        <v>0</v>
      </c>
      <c r="D61" t="s">
        <v>159</v>
      </c>
      <c r="E61" t="s">
        <v>132</v>
      </c>
      <c r="F61" s="109">
        <v>3</v>
      </c>
      <c r="G61" s="109">
        <v>4</v>
      </c>
      <c r="H61" s="111" t="str">
        <f t="shared" si="0"/>
        <v>26 to 34</v>
      </c>
      <c r="I61" t="str">
        <f>CONCATENATE(INDEX(missionsDragonRelativeMetrics[Easy Mission Reward],MATCH($E$38,missionsDragonRelativeMetrics[Dragon],0)), " coins")</f>
        <v>15000 coins</v>
      </c>
      <c r="J61" s="111" t="str">
        <f t="shared" si="1"/>
        <v>26 to 34</v>
      </c>
      <c r="K61" t="str">
        <f>CONCATENATE(INDEX(missionsDragonRelativeMetrics[Medium Mission Reward],MATCH($E$38,missionsDragonRelativeMetrics[Dragon],0)), " coins")</f>
        <v>22500 coins</v>
      </c>
      <c r="L61" s="111" t="str">
        <f t="shared" si="2"/>
        <v>26 to 35</v>
      </c>
      <c r="M61" t="str">
        <f>CONCATENATE(INDEX(missionsDragonRelativeMetrics[Hard Mission Reward],MATCH($E$38,missionsDragonRelativeMetrics[Dragon],0)), " coins")</f>
        <v>45000 coins</v>
      </c>
      <c r="N61">
        <v>2</v>
      </c>
      <c r="O61" s="347">
        <v>7</v>
      </c>
      <c r="P61" s="264"/>
      <c r="Q61" t="b">
        <f t="shared" si="3"/>
        <v>1</v>
      </c>
    </row>
    <row r="62" spans="2:17">
      <c r="B62" s="102">
        <v>15</v>
      </c>
      <c r="C62" t="s">
        <v>0</v>
      </c>
      <c r="D62" t="s">
        <v>160</v>
      </c>
      <c r="E62" t="s">
        <v>132</v>
      </c>
      <c r="F62" s="109">
        <v>3</v>
      </c>
      <c r="G62" s="109">
        <v>3</v>
      </c>
      <c r="H62" s="111" t="str">
        <f t="shared" si="0"/>
        <v>26 to 26</v>
      </c>
      <c r="I62" t="str">
        <f>CONCATENATE(INDEX(missionsDragonRelativeMetrics[Easy Mission Reward],MATCH($E$38,missionsDragonRelativeMetrics[Dragon],0)), " coins")</f>
        <v>15000 coins</v>
      </c>
      <c r="J62" s="111" t="str">
        <f t="shared" si="1"/>
        <v>26 to 26</v>
      </c>
      <c r="K62" t="str">
        <f>CONCATENATE(INDEX(missionsDragonRelativeMetrics[Medium Mission Reward],MATCH($E$38,missionsDragonRelativeMetrics[Dragon],0)), " coins")</f>
        <v>22500 coins</v>
      </c>
      <c r="L62" s="111" t="str">
        <f t="shared" si="2"/>
        <v>26 to 26</v>
      </c>
      <c r="M62" t="str">
        <f>CONCATENATE(INDEX(missionsDragonRelativeMetrics[Hard Mission Reward],MATCH($E$38,missionsDragonRelativeMetrics[Dragon],0)), " coins")</f>
        <v>45000 coins</v>
      </c>
      <c r="N62">
        <v>3</v>
      </c>
      <c r="O62" s="347">
        <v>7</v>
      </c>
      <c r="P62" s="264"/>
      <c r="Q62" t="b">
        <f t="shared" si="3"/>
        <v>1</v>
      </c>
    </row>
    <row r="63" spans="2:17">
      <c r="B63" s="102">
        <v>16</v>
      </c>
      <c r="C63" t="s">
        <v>0</v>
      </c>
      <c r="D63" t="s">
        <v>161</v>
      </c>
      <c r="E63" t="s">
        <v>132</v>
      </c>
      <c r="F63" s="109">
        <v>8</v>
      </c>
      <c r="G63" s="109">
        <v>9</v>
      </c>
      <c r="H63" s="111" t="str">
        <f t="shared" si="0"/>
        <v>68 to 77</v>
      </c>
      <c r="I63" t="str">
        <f>CONCATENATE(INDEX(missionsDragonRelativeMetrics[Easy Mission Reward],MATCH($E$38,missionsDragonRelativeMetrics[Dragon],0)), " coins")</f>
        <v>15000 coins</v>
      </c>
      <c r="J63" s="111" t="str">
        <f t="shared" si="1"/>
        <v>69 to 77</v>
      </c>
      <c r="K63" t="str">
        <f>CONCATENATE(INDEX(missionsDragonRelativeMetrics[Medium Mission Reward],MATCH($E$38,missionsDragonRelativeMetrics[Dragon],0)), " coins")</f>
        <v>22500 coins</v>
      </c>
      <c r="L63" s="111" t="str">
        <f t="shared" si="2"/>
        <v>70 to 78</v>
      </c>
      <c r="M63" t="str">
        <f>CONCATENATE(INDEX(missionsDragonRelativeMetrics[Hard Mission Reward],MATCH($E$38,missionsDragonRelativeMetrics[Dragon],0)), " coins")</f>
        <v>45000 coins</v>
      </c>
      <c r="N63">
        <v>1</v>
      </c>
      <c r="O63" s="347">
        <v>7</v>
      </c>
      <c r="P63" s="264"/>
      <c r="Q63" t="b">
        <f t="shared" si="3"/>
        <v>1</v>
      </c>
    </row>
    <row r="64" spans="2:17">
      <c r="B64" s="102">
        <v>17</v>
      </c>
      <c r="C64" t="s">
        <v>0</v>
      </c>
      <c r="D64" t="s">
        <v>162</v>
      </c>
      <c r="E64" t="s">
        <v>132</v>
      </c>
      <c r="F64" s="109">
        <v>11</v>
      </c>
      <c r="G64" s="109">
        <v>12</v>
      </c>
      <c r="H64" s="111" t="str">
        <f t="shared" si="0"/>
        <v>94 to 103</v>
      </c>
      <c r="I64" t="str">
        <f>CONCATENATE(INDEX(missionsDragonRelativeMetrics[Easy Mission Reward],MATCH($E$38,missionsDragonRelativeMetrics[Dragon],0)), " coins")</f>
        <v>15000 coins</v>
      </c>
      <c r="J64" s="111" t="str">
        <f t="shared" si="1"/>
        <v>95 to 103</v>
      </c>
      <c r="K64" t="str">
        <f>CONCATENATE(INDEX(missionsDragonRelativeMetrics[Medium Mission Reward],MATCH($E$38,missionsDragonRelativeMetrics[Dragon],0)), " coins")</f>
        <v>22500 coins</v>
      </c>
      <c r="L64" s="111" t="str">
        <f t="shared" si="2"/>
        <v>96 to 104</v>
      </c>
      <c r="M64" t="str">
        <f>CONCATENATE(INDEX(missionsDragonRelativeMetrics[Hard Mission Reward],MATCH($E$38,missionsDragonRelativeMetrics[Dragon],0)), " coins")</f>
        <v>45000 coins</v>
      </c>
      <c r="N64">
        <v>2</v>
      </c>
      <c r="O64" s="347">
        <v>7</v>
      </c>
      <c r="P64" s="264"/>
      <c r="Q64" t="b">
        <f t="shared" si="3"/>
        <v>1</v>
      </c>
    </row>
    <row r="65" spans="2:17">
      <c r="B65" s="102">
        <v>18</v>
      </c>
      <c r="C65" t="s">
        <v>163</v>
      </c>
      <c r="D65" s="110" t="s">
        <v>151</v>
      </c>
      <c r="E65" t="s">
        <v>132</v>
      </c>
      <c r="F65" s="109">
        <v>6000</v>
      </c>
      <c r="G65" s="109">
        <v>7000</v>
      </c>
      <c r="H65" s="111" t="str">
        <f t="shared" si="0"/>
        <v>51300 to 59850</v>
      </c>
      <c r="I65" t="str">
        <f>CONCATENATE(INDEX(missionsDragonRelativeMetrics[Easy Mission Reward],MATCH($E$38,missionsDragonRelativeMetrics[Dragon],0)), " coins")</f>
        <v>15000 coins</v>
      </c>
      <c r="J65" s="111" t="str">
        <f t="shared" si="1"/>
        <v>51600 to 60200</v>
      </c>
      <c r="K65" t="str">
        <f>CONCATENATE(INDEX(missionsDragonRelativeMetrics[Medium Mission Reward],MATCH($E$38,missionsDragonRelativeMetrics[Dragon],0)), " coins")</f>
        <v>22500 coins</v>
      </c>
      <c r="L65" s="111" t="str">
        <f t="shared" si="2"/>
        <v>52200 to 60900</v>
      </c>
      <c r="M65" t="str">
        <f>CONCATENATE(INDEX(missionsDragonRelativeMetrics[Hard Mission Reward],MATCH($E$38,missionsDragonRelativeMetrics[Dragon],0)), " coins")</f>
        <v>45000 coins</v>
      </c>
      <c r="N65">
        <v>0</v>
      </c>
      <c r="O65" s="347">
        <v>7</v>
      </c>
      <c r="P65" s="264"/>
      <c r="Q65" t="b">
        <f t="shared" si="3"/>
        <v>1</v>
      </c>
    </row>
    <row r="66" spans="2:17">
      <c r="B66" s="102">
        <v>19</v>
      </c>
      <c r="C66" t="s">
        <v>164</v>
      </c>
      <c r="D66" s="110" t="s">
        <v>151</v>
      </c>
      <c r="E66" t="s">
        <v>132</v>
      </c>
      <c r="F66" s="109">
        <v>50</v>
      </c>
      <c r="G66" s="109">
        <v>55</v>
      </c>
      <c r="H66" s="111" t="str">
        <f t="shared" si="0"/>
        <v>428 to 470</v>
      </c>
      <c r="I66" t="str">
        <f>CONCATENATE(INDEX(missionsDragonRelativeMetrics[Easy Mission Reward],MATCH($E$38,missionsDragonRelativeMetrics[Dragon],0)), " coins")</f>
        <v>15000 coins</v>
      </c>
      <c r="J66" s="111" t="str">
        <f t="shared" si="1"/>
        <v>430 to 473</v>
      </c>
      <c r="K66" t="str">
        <f>CONCATENATE(INDEX(missionsDragonRelativeMetrics[Medium Mission Reward],MATCH($E$38,missionsDragonRelativeMetrics[Dragon],0)), " coins")</f>
        <v>22500 coins</v>
      </c>
      <c r="L66" s="111" t="str">
        <f t="shared" si="2"/>
        <v>435 to 479</v>
      </c>
      <c r="M66" t="str">
        <f>CONCATENATE(INDEX(missionsDragonRelativeMetrics[Hard Mission Reward],MATCH($E$38,missionsDragonRelativeMetrics[Dragon],0)), " coins")</f>
        <v>45000 coins</v>
      </c>
      <c r="N66">
        <v>0</v>
      </c>
      <c r="O66" s="347">
        <v>7</v>
      </c>
      <c r="P66" s="264"/>
      <c r="Q66" t="b">
        <f t="shared" si="3"/>
        <v>1</v>
      </c>
    </row>
    <row r="67" spans="2:17">
      <c r="B67" s="102">
        <v>20</v>
      </c>
      <c r="C67" t="s">
        <v>164</v>
      </c>
      <c r="D67" t="s">
        <v>165</v>
      </c>
      <c r="E67" t="s">
        <v>132</v>
      </c>
      <c r="F67" s="109">
        <v>4</v>
      </c>
      <c r="G67" s="109">
        <v>4</v>
      </c>
      <c r="H67" s="111" t="str">
        <f t="shared" si="0"/>
        <v>34 to 34</v>
      </c>
      <c r="I67" t="str">
        <f>CONCATENATE(INDEX(missionsDragonRelativeMetrics[Easy Mission Reward],MATCH($E$38,missionsDragonRelativeMetrics[Dragon],0)), " coins")</f>
        <v>15000 coins</v>
      </c>
      <c r="J67" s="111" t="str">
        <f t="shared" si="1"/>
        <v>34 to 34</v>
      </c>
      <c r="K67" t="str">
        <f>CONCATENATE(INDEX(missionsDragonRelativeMetrics[Medium Mission Reward],MATCH($E$38,missionsDragonRelativeMetrics[Dragon],0)), " coins")</f>
        <v>22500 coins</v>
      </c>
      <c r="L67" s="111" t="str">
        <f t="shared" si="2"/>
        <v>35 to 35</v>
      </c>
      <c r="M67" t="str">
        <f>CONCATENATE(INDEX(missionsDragonRelativeMetrics[Hard Mission Reward],MATCH($E$38,missionsDragonRelativeMetrics[Dragon],0)), " coins")</f>
        <v>45000 coins</v>
      </c>
      <c r="N67">
        <v>3</v>
      </c>
      <c r="O67" s="347">
        <v>7</v>
      </c>
      <c r="P67" s="264"/>
      <c r="Q67" t="b">
        <f t="shared" si="3"/>
        <v>1</v>
      </c>
    </row>
    <row r="68" spans="2:17">
      <c r="B68" s="102">
        <v>21</v>
      </c>
      <c r="C68" t="s">
        <v>164</v>
      </c>
      <c r="D68" t="s">
        <v>166</v>
      </c>
      <c r="E68" t="s">
        <v>132</v>
      </c>
      <c r="F68" s="109">
        <v>5</v>
      </c>
      <c r="G68" s="109">
        <v>5</v>
      </c>
      <c r="H68" s="111" t="str">
        <f t="shared" si="0"/>
        <v>43 to 43</v>
      </c>
      <c r="I68" t="str">
        <f>CONCATENATE(INDEX(missionsDragonRelativeMetrics[Easy Mission Reward],MATCH($E$38,missionsDragonRelativeMetrics[Dragon],0)), " coins")</f>
        <v>15000 coins</v>
      </c>
      <c r="J68" s="111" t="str">
        <f t="shared" si="1"/>
        <v>43 to 43</v>
      </c>
      <c r="K68" t="str">
        <f>CONCATENATE(INDEX(missionsDragonRelativeMetrics[Medium Mission Reward],MATCH($E$38,missionsDragonRelativeMetrics[Dragon],0)), " coins")</f>
        <v>22500 coins</v>
      </c>
      <c r="L68" s="111" t="str">
        <f t="shared" si="2"/>
        <v>44 to 44</v>
      </c>
      <c r="M68" t="str">
        <f>CONCATENATE(INDEX(missionsDragonRelativeMetrics[Hard Mission Reward],MATCH($E$38,missionsDragonRelativeMetrics[Dragon],0)), " coins")</f>
        <v>45000 coins</v>
      </c>
      <c r="N68">
        <v>3</v>
      </c>
      <c r="O68" s="347">
        <v>7</v>
      </c>
      <c r="P68" s="264"/>
      <c r="Q68" t="b">
        <f t="shared" si="3"/>
        <v>1</v>
      </c>
    </row>
    <row r="69" spans="2:17">
      <c r="B69" s="102">
        <v>22</v>
      </c>
      <c r="C69" t="s">
        <v>164</v>
      </c>
      <c r="D69" t="s">
        <v>155</v>
      </c>
      <c r="E69" t="s">
        <v>132</v>
      </c>
      <c r="F69" s="109">
        <v>17</v>
      </c>
      <c r="G69" s="109">
        <v>18</v>
      </c>
      <c r="H69" s="111" t="str">
        <f t="shared" si="0"/>
        <v>145 to 154</v>
      </c>
      <c r="I69" t="str">
        <f>CONCATENATE(INDEX(missionsDragonRelativeMetrics[Easy Mission Reward],MATCH($E$38,missionsDragonRelativeMetrics[Dragon],0)), " coins")</f>
        <v>15000 coins</v>
      </c>
      <c r="J69" s="111" t="str">
        <f t="shared" si="1"/>
        <v>146 to 155</v>
      </c>
      <c r="K69" t="str">
        <f>CONCATENATE(INDEX(missionsDragonRelativeMetrics[Medium Mission Reward],MATCH($E$38,missionsDragonRelativeMetrics[Dragon],0)), " coins")</f>
        <v>22500 coins</v>
      </c>
      <c r="L69" s="111" t="str">
        <f t="shared" si="2"/>
        <v>148 to 157</v>
      </c>
      <c r="M69" t="str">
        <f>CONCATENATE(INDEX(missionsDragonRelativeMetrics[Hard Mission Reward],MATCH($E$38,missionsDragonRelativeMetrics[Dragon],0)), " coins")</f>
        <v>45000 coins</v>
      </c>
      <c r="N69">
        <v>0</v>
      </c>
      <c r="O69" s="347">
        <v>7</v>
      </c>
      <c r="P69" s="264"/>
      <c r="Q69" t="b">
        <f t="shared" si="3"/>
        <v>1</v>
      </c>
    </row>
    <row r="70" spans="2:17">
      <c r="B70" s="102">
        <v>23</v>
      </c>
      <c r="C70" t="s">
        <v>2</v>
      </c>
      <c r="D70" t="s">
        <v>167</v>
      </c>
      <c r="E70" t="s">
        <v>149</v>
      </c>
      <c r="F70" s="109">
        <v>10</v>
      </c>
      <c r="G70" s="109">
        <v>12</v>
      </c>
      <c r="H70" s="111" t="str">
        <f t="shared" si="0"/>
        <v>86 to 103</v>
      </c>
      <c r="I70" t="str">
        <f>CONCATENATE(INDEX(missionsDragonRelativeMetrics[Easy Mission Reward],MATCH($E$38,missionsDragonRelativeMetrics[Dragon],0)), " coins")</f>
        <v>15000 coins</v>
      </c>
      <c r="J70" s="111" t="str">
        <f t="shared" si="1"/>
        <v>86 to 103</v>
      </c>
      <c r="K70" t="str">
        <f>CONCATENATE(INDEX(missionsDragonRelativeMetrics[Medium Mission Reward],MATCH($E$38,missionsDragonRelativeMetrics[Dragon],0)), " coins")</f>
        <v>22500 coins</v>
      </c>
      <c r="L70" s="111" t="str">
        <f t="shared" si="2"/>
        <v>87 to 104</v>
      </c>
      <c r="M70" t="str">
        <f>CONCATENATE(INDEX(missionsDragonRelativeMetrics[Hard Mission Reward],MATCH($E$38,missionsDragonRelativeMetrics[Dragon],0)), " coins")</f>
        <v>45000 coins</v>
      </c>
      <c r="N70">
        <v>1</v>
      </c>
      <c r="O70" s="347">
        <v>3</v>
      </c>
      <c r="P70" s="264"/>
      <c r="Q70" t="b">
        <f t="shared" si="3"/>
        <v>0</v>
      </c>
    </row>
    <row r="71" spans="2:17">
      <c r="B71" s="102">
        <v>24</v>
      </c>
      <c r="C71" t="s">
        <v>164</v>
      </c>
      <c r="D71" t="s">
        <v>168</v>
      </c>
      <c r="E71" t="s">
        <v>132</v>
      </c>
      <c r="F71" s="109">
        <v>3</v>
      </c>
      <c r="G71" s="109">
        <v>4</v>
      </c>
      <c r="H71" s="111" t="str">
        <f t="shared" si="0"/>
        <v>26 to 34</v>
      </c>
      <c r="I71" t="str">
        <f>CONCATENATE(INDEX(missionsDragonRelativeMetrics[Easy Mission Reward],MATCH($E$38,missionsDragonRelativeMetrics[Dragon],0)), " coins")</f>
        <v>15000 coins</v>
      </c>
      <c r="J71" s="111" t="str">
        <f t="shared" si="1"/>
        <v>26 to 34</v>
      </c>
      <c r="K71" t="str">
        <f>CONCATENATE(INDEX(missionsDragonRelativeMetrics[Medium Mission Reward],MATCH($E$38,missionsDragonRelativeMetrics[Dragon],0)), " coins")</f>
        <v>22500 coins</v>
      </c>
      <c r="L71" s="111" t="str">
        <f t="shared" si="2"/>
        <v>26 to 35</v>
      </c>
      <c r="M71" t="str">
        <f>CONCATENATE(INDEX(missionsDragonRelativeMetrics[Hard Mission Reward],MATCH($E$38,missionsDragonRelativeMetrics[Dragon],0)), " coins")</f>
        <v>45000 coins</v>
      </c>
      <c r="N71">
        <v>2</v>
      </c>
      <c r="O71" s="347">
        <v>3</v>
      </c>
      <c r="P71" s="264"/>
      <c r="Q71" t="b">
        <f t="shared" si="3"/>
        <v>0</v>
      </c>
    </row>
    <row r="72" spans="2:17">
      <c r="B72" s="102">
        <v>25</v>
      </c>
      <c r="C72" t="s">
        <v>164</v>
      </c>
      <c r="D72" t="s">
        <v>131</v>
      </c>
      <c r="E72" t="s">
        <v>132</v>
      </c>
      <c r="F72" s="109">
        <v>25</v>
      </c>
      <c r="G72" s="109">
        <v>27</v>
      </c>
      <c r="H72" s="111" t="str">
        <f t="shared" si="0"/>
        <v>214 to 231</v>
      </c>
      <c r="I72" t="str">
        <f>CONCATENATE(INDEX(missionsDragonRelativeMetrics[Easy Mission Reward],MATCH($E$38,missionsDragonRelativeMetrics[Dragon],0)), " coins")</f>
        <v>15000 coins</v>
      </c>
      <c r="J72" s="111" t="str">
        <f t="shared" si="1"/>
        <v>215 to 232</v>
      </c>
      <c r="K72" t="str">
        <f>CONCATENATE(INDEX(missionsDragonRelativeMetrics[Medium Mission Reward],MATCH($E$38,missionsDragonRelativeMetrics[Dragon],0)), " coins")</f>
        <v>22500 coins</v>
      </c>
      <c r="L72" s="111" t="str">
        <f t="shared" si="2"/>
        <v>218 to 235</v>
      </c>
      <c r="M72" t="str">
        <f>CONCATENATE(INDEX(missionsDragonRelativeMetrics[Hard Mission Reward],MATCH($E$38,missionsDragonRelativeMetrics[Dragon],0)), " coins")</f>
        <v>45000 coins</v>
      </c>
      <c r="N72">
        <v>1</v>
      </c>
      <c r="O72" s="347">
        <v>3</v>
      </c>
      <c r="P72" s="264"/>
      <c r="Q72" t="b">
        <f t="shared" si="3"/>
        <v>0</v>
      </c>
    </row>
    <row r="73" spans="2:17">
      <c r="B73" s="102">
        <v>26</v>
      </c>
      <c r="C73" t="s">
        <v>0</v>
      </c>
      <c r="D73" t="s">
        <v>169</v>
      </c>
      <c r="E73" t="s">
        <v>132</v>
      </c>
      <c r="F73" s="109">
        <v>10</v>
      </c>
      <c r="G73" s="109">
        <v>12</v>
      </c>
      <c r="H73" s="111" t="str">
        <f t="shared" si="0"/>
        <v>86 to 103</v>
      </c>
      <c r="I73" t="str">
        <f>CONCATENATE(INDEX(missionsDragonRelativeMetrics[Easy Mission Reward],MATCH($E$38,missionsDragonRelativeMetrics[Dragon],0)), " coins")</f>
        <v>15000 coins</v>
      </c>
      <c r="J73" s="111" t="str">
        <f t="shared" si="1"/>
        <v>86 to 103</v>
      </c>
      <c r="K73" t="str">
        <f>CONCATENATE(INDEX(missionsDragonRelativeMetrics[Medium Mission Reward],MATCH($E$38,missionsDragonRelativeMetrics[Dragon],0)), " coins")</f>
        <v>22500 coins</v>
      </c>
      <c r="L73" s="111" t="str">
        <f t="shared" si="2"/>
        <v>87 to 104</v>
      </c>
      <c r="M73" t="str">
        <f>CONCATENATE(INDEX(missionsDragonRelativeMetrics[Hard Mission Reward],MATCH($E$38,missionsDragonRelativeMetrics[Dragon],0)), " coins")</f>
        <v>45000 coins</v>
      </c>
      <c r="N73">
        <v>1</v>
      </c>
      <c r="O73" s="347">
        <v>2</v>
      </c>
      <c r="P73" s="264"/>
      <c r="Q73" t="b">
        <f t="shared" si="3"/>
        <v>0</v>
      </c>
    </row>
    <row r="74" spans="2:17">
      <c r="B74" s="102">
        <v>27</v>
      </c>
      <c r="C74" t="s">
        <v>164</v>
      </c>
      <c r="D74" t="s">
        <v>170</v>
      </c>
      <c r="E74" t="s">
        <v>132</v>
      </c>
      <c r="F74" s="109">
        <v>3</v>
      </c>
      <c r="G74" s="109">
        <v>3</v>
      </c>
      <c r="H74" s="111" t="str">
        <f t="shared" si="0"/>
        <v>26 to 26</v>
      </c>
      <c r="I74" t="str">
        <f>CONCATENATE(INDEX(missionsDragonRelativeMetrics[Easy Mission Reward],MATCH($E$38,missionsDragonRelativeMetrics[Dragon],0)), " coins")</f>
        <v>15000 coins</v>
      </c>
      <c r="J74" s="111" t="str">
        <f t="shared" si="1"/>
        <v>26 to 26</v>
      </c>
      <c r="K74" t="str">
        <f>CONCATENATE(INDEX(missionsDragonRelativeMetrics[Medium Mission Reward],MATCH($E$38,missionsDragonRelativeMetrics[Dragon],0)), " coins")</f>
        <v>22500 coins</v>
      </c>
      <c r="L74" s="111" t="str">
        <f t="shared" si="2"/>
        <v>26 to 26</v>
      </c>
      <c r="M74" t="str">
        <f>CONCATENATE(INDEX(missionsDragonRelativeMetrics[Hard Mission Reward],MATCH($E$38,missionsDragonRelativeMetrics[Dragon],0)), " coins")</f>
        <v>45000 coins</v>
      </c>
      <c r="N74">
        <v>2</v>
      </c>
      <c r="O74" s="347">
        <v>2</v>
      </c>
      <c r="P74" s="264"/>
      <c r="Q74" t="b">
        <f t="shared" si="3"/>
        <v>0</v>
      </c>
    </row>
    <row r="75" spans="2:17">
      <c r="B75" s="102">
        <v>28</v>
      </c>
      <c r="C75" t="s">
        <v>147</v>
      </c>
      <c r="D75" t="s">
        <v>171</v>
      </c>
      <c r="E75" t="s">
        <v>149</v>
      </c>
      <c r="F75" s="109">
        <v>1</v>
      </c>
      <c r="G75" s="109">
        <v>2</v>
      </c>
      <c r="H75" s="111" t="str">
        <f t="shared" si="0"/>
        <v>9 to 17</v>
      </c>
      <c r="I75" t="str">
        <f>CONCATENATE(INDEX(missionsDragonRelativeMetrics[Easy Mission Reward],MATCH($E$38,missionsDragonRelativeMetrics[Dragon],0)), " coins")</f>
        <v>15000 coins</v>
      </c>
      <c r="J75" s="111" t="str">
        <f t="shared" si="1"/>
        <v>9 to 17</v>
      </c>
      <c r="K75" t="str">
        <f>CONCATENATE(INDEX(missionsDragonRelativeMetrics[Medium Mission Reward],MATCH($E$38,missionsDragonRelativeMetrics[Dragon],0)), " coins")</f>
        <v>22500 coins</v>
      </c>
      <c r="L75" s="111" t="str">
        <f t="shared" si="2"/>
        <v>9 to 17</v>
      </c>
      <c r="M75" t="str">
        <f>CONCATENATE(INDEX(missionsDragonRelativeMetrics[Hard Mission Reward],MATCH($E$38,missionsDragonRelativeMetrics[Dragon],0)), " coins")</f>
        <v>45000 coins</v>
      </c>
      <c r="N75">
        <v>0</v>
      </c>
      <c r="O75" s="347">
        <v>1</v>
      </c>
      <c r="P75" s="264"/>
      <c r="Q75" t="b">
        <f t="shared" si="3"/>
        <v>0</v>
      </c>
    </row>
    <row r="76" spans="2:17">
      <c r="B76" s="102">
        <v>29</v>
      </c>
      <c r="C76" t="s">
        <v>0</v>
      </c>
      <c r="D76" t="s">
        <v>172</v>
      </c>
      <c r="E76" t="s">
        <v>132</v>
      </c>
      <c r="F76" s="109">
        <v>5</v>
      </c>
      <c r="G76" s="109">
        <v>6</v>
      </c>
      <c r="H76" s="111" t="str">
        <f t="shared" si="0"/>
        <v>43 to 51</v>
      </c>
      <c r="I76" t="str">
        <f>CONCATENATE(INDEX(missionsDragonRelativeMetrics[Easy Mission Reward],MATCH($E$38,missionsDragonRelativeMetrics[Dragon],0)), " coins")</f>
        <v>15000 coins</v>
      </c>
      <c r="J76" s="111" t="str">
        <f t="shared" si="1"/>
        <v>43 to 52</v>
      </c>
      <c r="K76" t="str">
        <f>CONCATENATE(INDEX(missionsDragonRelativeMetrics[Medium Mission Reward],MATCH($E$38,missionsDragonRelativeMetrics[Dragon],0)), " coins")</f>
        <v>22500 coins</v>
      </c>
      <c r="L76" s="111" t="str">
        <f t="shared" si="2"/>
        <v>44 to 52</v>
      </c>
      <c r="M76" t="str">
        <f>CONCATENATE(INDEX(missionsDragonRelativeMetrics[Hard Mission Reward],MATCH($E$38,missionsDragonRelativeMetrics[Dragon],0)), " coins")</f>
        <v>45000 coins</v>
      </c>
      <c r="N76">
        <v>0</v>
      </c>
      <c r="O76" s="347">
        <v>1</v>
      </c>
      <c r="P76" s="264"/>
      <c r="Q76" t="b">
        <f t="shared" si="3"/>
        <v>0</v>
      </c>
    </row>
    <row r="77" spans="2:17">
      <c r="B77" s="102">
        <v>30</v>
      </c>
      <c r="C77" t="s">
        <v>0</v>
      </c>
      <c r="D77" t="s">
        <v>496</v>
      </c>
      <c r="E77" t="s">
        <v>132</v>
      </c>
      <c r="F77" s="345">
        <v>45</v>
      </c>
      <c r="G77" s="345">
        <v>60</v>
      </c>
      <c r="H77" s="344" t="str">
        <f t="shared" ref="H77:H95" si="4">CONCATENATE(ROUND((F77*$F$43)*(1-$I$40),0), " to ",ROUND((G77*$F$43)*(1-$I$40),0))</f>
        <v>385 to 513</v>
      </c>
      <c r="I77" t="str">
        <f>CONCATENATE(INDEX(missionsDragonRelativeMetrics[Easy Mission Reward],MATCH($E$38,missionsDragonRelativeMetrics[Dragon],0)), " coins")</f>
        <v>15000 coins</v>
      </c>
      <c r="J77" s="344" t="str">
        <f t="shared" ref="J77:J95" si="5">CONCATENATE(ROUND((F77*$G$43)*(1-$I$40),0), " to ",ROUND((G77*$G$43)*(1-$I$40),0))</f>
        <v>387 to 516</v>
      </c>
      <c r="K77" t="str">
        <f>CONCATENATE(INDEX(missionsDragonRelativeMetrics[Medium Mission Reward],MATCH($E$38,missionsDragonRelativeMetrics[Dragon],0)), " coins")</f>
        <v>22500 coins</v>
      </c>
      <c r="L77" s="344" t="str">
        <f t="shared" ref="L77:L95" si="6">CONCATENATE(ROUND((F77*$H$43)*(1-$I$40),0), " to ",ROUND((G77*$H$43)*(1-$I$40),0))</f>
        <v>392 to 522</v>
      </c>
      <c r="M77" t="str">
        <f>CONCATENATE(INDEX(missionsDragonRelativeMetrics[Hard Mission Reward],MATCH($E$38,missionsDragonRelativeMetrics[Dragon],0)), " coins")</f>
        <v>45000 coins</v>
      </c>
      <c r="N77" s="120">
        <v>2</v>
      </c>
      <c r="O77" s="348">
        <v>4</v>
      </c>
      <c r="P77" s="120"/>
      <c r="Q77" t="b">
        <f t="shared" si="3"/>
        <v>0</v>
      </c>
    </row>
    <row r="78" spans="2:17">
      <c r="B78" s="102">
        <v>31</v>
      </c>
      <c r="C78" t="s">
        <v>0</v>
      </c>
      <c r="D78" t="s">
        <v>497</v>
      </c>
      <c r="E78" t="s">
        <v>132</v>
      </c>
      <c r="F78" s="345">
        <v>2</v>
      </c>
      <c r="G78" s="345">
        <v>4</v>
      </c>
      <c r="H78" s="344" t="str">
        <f t="shared" si="4"/>
        <v>17 to 34</v>
      </c>
      <c r="I78" t="str">
        <f>CONCATENATE(INDEX(missionsDragonRelativeMetrics[Easy Mission Reward],MATCH($E$38,missionsDragonRelativeMetrics[Dragon],0)), " coins")</f>
        <v>15000 coins</v>
      </c>
      <c r="J78" s="344" t="str">
        <f t="shared" si="5"/>
        <v>17 to 34</v>
      </c>
      <c r="K78" t="str">
        <f>CONCATENATE(INDEX(missionsDragonRelativeMetrics[Medium Mission Reward],MATCH($E$38,missionsDragonRelativeMetrics[Dragon],0)), " coins")</f>
        <v>22500 coins</v>
      </c>
      <c r="L78" s="344" t="str">
        <f t="shared" si="6"/>
        <v>17 to 35</v>
      </c>
      <c r="M78" t="str">
        <f>CONCATENATE(INDEX(missionsDragonRelativeMetrics[Hard Mission Reward],MATCH($E$38,missionsDragonRelativeMetrics[Dragon],0)), " coins")</f>
        <v>45000 coins</v>
      </c>
      <c r="N78" s="120">
        <v>3</v>
      </c>
      <c r="O78" s="348">
        <v>7</v>
      </c>
      <c r="P78" s="120"/>
      <c r="Q78" t="b">
        <f t="shared" si="3"/>
        <v>1</v>
      </c>
    </row>
    <row r="79" spans="2:17">
      <c r="B79" s="102">
        <v>32</v>
      </c>
      <c r="C79" t="s">
        <v>0</v>
      </c>
      <c r="D79" t="s">
        <v>498</v>
      </c>
      <c r="E79" t="s">
        <v>132</v>
      </c>
      <c r="F79" s="345">
        <v>25</v>
      </c>
      <c r="G79" s="345">
        <v>30</v>
      </c>
      <c r="H79" s="344" t="str">
        <f t="shared" si="4"/>
        <v>214 to 257</v>
      </c>
      <c r="I79" t="str">
        <f>CONCATENATE(INDEX(missionsDragonRelativeMetrics[Easy Mission Reward],MATCH($E$38,missionsDragonRelativeMetrics[Dragon],0)), " coins")</f>
        <v>15000 coins</v>
      </c>
      <c r="J79" s="344" t="str">
        <f t="shared" si="5"/>
        <v>215 to 258</v>
      </c>
      <c r="K79" t="str">
        <f>CONCATENATE(INDEX(missionsDragonRelativeMetrics[Medium Mission Reward],MATCH($E$38,missionsDragonRelativeMetrics[Dragon],0)), " coins")</f>
        <v>22500 coins</v>
      </c>
      <c r="L79" s="344" t="str">
        <f t="shared" si="6"/>
        <v>218 to 261</v>
      </c>
      <c r="M79" t="str">
        <f>CONCATENATE(INDEX(missionsDragonRelativeMetrics[Hard Mission Reward],MATCH($E$38,missionsDragonRelativeMetrics[Dragon],0)), " coins")</f>
        <v>45000 coins</v>
      </c>
      <c r="N79" s="120">
        <v>4</v>
      </c>
      <c r="O79" s="348">
        <v>7</v>
      </c>
      <c r="P79" s="120"/>
      <c r="Q79" t="b">
        <f t="shared" si="3"/>
        <v>1</v>
      </c>
    </row>
    <row r="80" spans="2:17">
      <c r="B80" s="102">
        <v>33</v>
      </c>
      <c r="C80" t="s">
        <v>0</v>
      </c>
      <c r="D80" t="s">
        <v>499</v>
      </c>
      <c r="E80" t="s">
        <v>132</v>
      </c>
      <c r="F80" s="345">
        <v>3</v>
      </c>
      <c r="G80" s="345">
        <v>5</v>
      </c>
      <c r="H80" s="344" t="str">
        <f t="shared" si="4"/>
        <v>26 to 43</v>
      </c>
      <c r="I80" t="str">
        <f>CONCATENATE(INDEX(missionsDragonRelativeMetrics[Easy Mission Reward],MATCH($E$38,missionsDragonRelativeMetrics[Dragon],0)), " coins")</f>
        <v>15000 coins</v>
      </c>
      <c r="J80" s="344" t="str">
        <f t="shared" si="5"/>
        <v>26 to 43</v>
      </c>
      <c r="K80" t="str">
        <f>CONCATENATE(INDEX(missionsDragonRelativeMetrics[Medium Mission Reward],MATCH($E$38,missionsDragonRelativeMetrics[Dragon],0)), " coins")</f>
        <v>22500 coins</v>
      </c>
      <c r="L80" s="344" t="str">
        <f t="shared" si="6"/>
        <v>26 to 44</v>
      </c>
      <c r="M80" t="str">
        <f>CONCATENATE(INDEX(missionsDragonRelativeMetrics[Hard Mission Reward],MATCH($E$38,missionsDragonRelativeMetrics[Dragon],0)), " coins")</f>
        <v>45000 coins</v>
      </c>
      <c r="N80" s="120">
        <v>4</v>
      </c>
      <c r="O80" s="348">
        <v>7</v>
      </c>
      <c r="P80" s="120"/>
      <c r="Q80" t="b">
        <f t="shared" ref="Q80:Q111" si="7">IF(P80="",NOT(OR(N80&gt;$D$40,O80&lt;$D$40)),AND(NOT(OR(N80&gt;$D$40,O80&lt;$D$40)),P80=$E$38))</f>
        <v>1</v>
      </c>
    </row>
    <row r="81" spans="2:17">
      <c r="B81" s="102">
        <v>34</v>
      </c>
      <c r="C81" t="s">
        <v>0</v>
      </c>
      <c r="D81" t="s">
        <v>500</v>
      </c>
      <c r="E81" t="s">
        <v>132</v>
      </c>
      <c r="F81" s="345">
        <v>5</v>
      </c>
      <c r="G81" s="345">
        <v>10</v>
      </c>
      <c r="H81" s="344" t="str">
        <f t="shared" si="4"/>
        <v>43 to 86</v>
      </c>
      <c r="I81" t="str">
        <f>CONCATENATE(INDEX(missionsDragonRelativeMetrics[Easy Mission Reward],MATCH($E$38,missionsDragonRelativeMetrics[Dragon],0)), " coins")</f>
        <v>15000 coins</v>
      </c>
      <c r="J81" s="344" t="str">
        <f t="shared" si="5"/>
        <v>43 to 86</v>
      </c>
      <c r="K81" t="str">
        <f>CONCATENATE(INDEX(missionsDragonRelativeMetrics[Medium Mission Reward],MATCH($E$38,missionsDragonRelativeMetrics[Dragon],0)), " coins")</f>
        <v>22500 coins</v>
      </c>
      <c r="L81" s="344" t="str">
        <f t="shared" si="6"/>
        <v>44 to 87</v>
      </c>
      <c r="M81" t="str">
        <f>CONCATENATE(INDEX(missionsDragonRelativeMetrics[Hard Mission Reward],MATCH($E$38,missionsDragonRelativeMetrics[Dragon],0)), " coins")</f>
        <v>45000 coins</v>
      </c>
      <c r="N81" s="120">
        <v>5</v>
      </c>
      <c r="O81" s="348">
        <v>7</v>
      </c>
      <c r="P81" s="120"/>
      <c r="Q81" t="b">
        <f t="shared" si="7"/>
        <v>1</v>
      </c>
    </row>
    <row r="82" spans="2:17">
      <c r="B82" s="102">
        <v>35</v>
      </c>
      <c r="C82" t="s">
        <v>501</v>
      </c>
      <c r="D82" s="110" t="s">
        <v>151</v>
      </c>
      <c r="E82" t="s">
        <v>149</v>
      </c>
      <c r="F82" s="345">
        <v>350</v>
      </c>
      <c r="G82" s="345">
        <v>500</v>
      </c>
      <c r="H82" s="344" t="str">
        <f t="shared" si="4"/>
        <v>2993 to 4275</v>
      </c>
      <c r="I82" t="str">
        <f>CONCATENATE(INDEX(missionsDragonRelativeMetrics[Easy Mission Reward],MATCH($E$38,missionsDragonRelativeMetrics[Dragon],0)), " coins")</f>
        <v>15000 coins</v>
      </c>
      <c r="J82" s="344" t="str">
        <f t="shared" si="5"/>
        <v>3010 to 4300</v>
      </c>
      <c r="K82" t="str">
        <f>CONCATENATE(INDEX(missionsDragonRelativeMetrics[Medium Mission Reward],MATCH($E$38,missionsDragonRelativeMetrics[Dragon],0)), " coins")</f>
        <v>22500 coins</v>
      </c>
      <c r="L82" s="344" t="str">
        <f t="shared" si="6"/>
        <v>3045 to 4350</v>
      </c>
      <c r="M82" t="str">
        <f>CONCATENATE(INDEX(missionsDragonRelativeMetrics[Hard Mission Reward],MATCH($E$38,missionsDragonRelativeMetrics[Dragon],0)), " coins")</f>
        <v>45000 coins</v>
      </c>
      <c r="N82" s="120">
        <v>1</v>
      </c>
      <c r="O82" s="348">
        <v>3</v>
      </c>
      <c r="P82" s="120"/>
      <c r="Q82" t="b">
        <f t="shared" si="7"/>
        <v>0</v>
      </c>
    </row>
    <row r="83" spans="2:17">
      <c r="B83" s="102">
        <v>36</v>
      </c>
      <c r="C83" t="s">
        <v>502</v>
      </c>
      <c r="D83" s="110" t="s">
        <v>151</v>
      </c>
      <c r="E83" t="s">
        <v>149</v>
      </c>
      <c r="F83" s="345">
        <v>300</v>
      </c>
      <c r="G83" s="345">
        <v>400</v>
      </c>
      <c r="H83" s="344" t="str">
        <f t="shared" si="4"/>
        <v>2565 to 3420</v>
      </c>
      <c r="I83" t="str">
        <f>CONCATENATE(INDEX(missionsDragonRelativeMetrics[Easy Mission Reward],MATCH($E$38,missionsDragonRelativeMetrics[Dragon],0)), " coins")</f>
        <v>15000 coins</v>
      </c>
      <c r="J83" s="344" t="str">
        <f t="shared" si="5"/>
        <v>2580 to 3440</v>
      </c>
      <c r="K83" t="str">
        <f>CONCATENATE(INDEX(missionsDragonRelativeMetrics[Medium Mission Reward],MATCH($E$38,missionsDragonRelativeMetrics[Dragon],0)), " coins")</f>
        <v>22500 coins</v>
      </c>
      <c r="L83" s="344" t="str">
        <f t="shared" si="6"/>
        <v>2610 to 3480</v>
      </c>
      <c r="M83" t="str">
        <f>CONCATENATE(INDEX(missionsDragonRelativeMetrics[Hard Mission Reward],MATCH($E$38,missionsDragonRelativeMetrics[Dragon],0)), " coins")</f>
        <v>45000 coins</v>
      </c>
      <c r="N83" s="120">
        <v>1</v>
      </c>
      <c r="O83" s="348">
        <v>3</v>
      </c>
      <c r="P83" s="120"/>
      <c r="Q83" t="b">
        <f t="shared" si="7"/>
        <v>0</v>
      </c>
    </row>
    <row r="84" spans="2:17">
      <c r="B84" s="102">
        <v>37</v>
      </c>
      <c r="C84" t="s">
        <v>503</v>
      </c>
      <c r="D84" t="s">
        <v>154</v>
      </c>
      <c r="E84" t="s">
        <v>132</v>
      </c>
      <c r="F84" s="345">
        <v>13</v>
      </c>
      <c r="G84" s="345">
        <v>15</v>
      </c>
      <c r="H84" s="344" t="str">
        <f t="shared" si="4"/>
        <v>111 to 128</v>
      </c>
      <c r="I84" t="str">
        <f>CONCATENATE(INDEX(missionsDragonRelativeMetrics[Easy Mission Reward],MATCH($E$38,missionsDragonRelativeMetrics[Dragon],0)), " coins")</f>
        <v>15000 coins</v>
      </c>
      <c r="J84" s="344" t="str">
        <f t="shared" si="5"/>
        <v>112 to 129</v>
      </c>
      <c r="K84" t="str">
        <f>CONCATENATE(INDEX(missionsDragonRelativeMetrics[Medium Mission Reward],MATCH($E$38,missionsDragonRelativeMetrics[Dragon],0)), " coins")</f>
        <v>22500 coins</v>
      </c>
      <c r="L84" s="344" t="str">
        <f t="shared" si="6"/>
        <v>113 to 131</v>
      </c>
      <c r="M84" t="str">
        <f>CONCATENATE(INDEX(missionsDragonRelativeMetrics[Hard Mission Reward],MATCH($E$38,missionsDragonRelativeMetrics[Dragon],0)), " coins")</f>
        <v>45000 coins</v>
      </c>
      <c r="N84" s="120">
        <v>1</v>
      </c>
      <c r="O84" s="348">
        <v>7</v>
      </c>
      <c r="P84" s="120"/>
      <c r="Q84" t="b">
        <f t="shared" si="7"/>
        <v>1</v>
      </c>
    </row>
    <row r="85" spans="2:17">
      <c r="B85" s="102">
        <v>38</v>
      </c>
      <c r="C85" t="s">
        <v>504</v>
      </c>
      <c r="D85" t="s">
        <v>169</v>
      </c>
      <c r="E85" t="s">
        <v>132</v>
      </c>
      <c r="F85" s="345">
        <v>5</v>
      </c>
      <c r="G85" s="345">
        <v>10</v>
      </c>
      <c r="H85" s="344" t="str">
        <f t="shared" si="4"/>
        <v>43 to 86</v>
      </c>
      <c r="I85" t="str">
        <f>CONCATENATE(INDEX(missionsDragonRelativeMetrics[Easy Mission Reward],MATCH($E$38,missionsDragonRelativeMetrics[Dragon],0)), " coins")</f>
        <v>15000 coins</v>
      </c>
      <c r="J85" s="344" t="str">
        <f t="shared" si="5"/>
        <v>43 to 86</v>
      </c>
      <c r="K85" t="str">
        <f>CONCATENATE(INDEX(missionsDragonRelativeMetrics[Medium Mission Reward],MATCH($E$38,missionsDragonRelativeMetrics[Dragon],0)), " coins")</f>
        <v>22500 coins</v>
      </c>
      <c r="L85" s="344" t="str">
        <f t="shared" si="6"/>
        <v>44 to 87</v>
      </c>
      <c r="M85" t="str">
        <f>CONCATENATE(INDEX(missionsDragonRelativeMetrics[Hard Mission Reward],MATCH($E$38,missionsDragonRelativeMetrics[Dragon],0)), " coins")</f>
        <v>45000 coins</v>
      </c>
      <c r="N85" s="120">
        <v>2</v>
      </c>
      <c r="O85" s="348">
        <v>7</v>
      </c>
      <c r="P85" s="120"/>
      <c r="Q85" t="b">
        <f t="shared" si="7"/>
        <v>1</v>
      </c>
    </row>
    <row r="86" spans="2:17">
      <c r="B86" s="102">
        <v>39</v>
      </c>
      <c r="C86" t="s">
        <v>505</v>
      </c>
      <c r="D86" t="s">
        <v>5</v>
      </c>
      <c r="E86" t="s">
        <v>149</v>
      </c>
      <c r="F86" s="345">
        <v>10</v>
      </c>
      <c r="G86" s="345">
        <v>15</v>
      </c>
      <c r="H86" s="344" t="str">
        <f t="shared" si="4"/>
        <v>86 to 128</v>
      </c>
      <c r="I86" t="str">
        <f>CONCATENATE(INDEX(missionsDragonRelativeMetrics[Easy Mission Reward],MATCH($E$38,missionsDragonRelativeMetrics[Dragon],0)), " coins")</f>
        <v>15000 coins</v>
      </c>
      <c r="J86" s="344" t="str">
        <f t="shared" si="5"/>
        <v>86 to 129</v>
      </c>
      <c r="K86" t="str">
        <f>CONCATENATE(INDEX(missionsDragonRelativeMetrics[Medium Mission Reward],MATCH($E$38,missionsDragonRelativeMetrics[Dragon],0)), " coins")</f>
        <v>22500 coins</v>
      </c>
      <c r="L86" s="344" t="str">
        <f t="shared" si="6"/>
        <v>87 to 131</v>
      </c>
      <c r="M86" t="str">
        <f>CONCATENATE(INDEX(missionsDragonRelativeMetrics[Hard Mission Reward],MATCH($E$38,missionsDragonRelativeMetrics[Dragon],0)), " coins")</f>
        <v>45000 coins</v>
      </c>
      <c r="N86" s="120">
        <v>2</v>
      </c>
      <c r="O86" s="348">
        <v>7</v>
      </c>
      <c r="P86" s="120"/>
      <c r="Q86" t="b">
        <f t="shared" si="7"/>
        <v>1</v>
      </c>
    </row>
    <row r="87" spans="2:17">
      <c r="B87" s="102">
        <v>40</v>
      </c>
      <c r="C87" t="s">
        <v>506</v>
      </c>
      <c r="D87" t="s">
        <v>161</v>
      </c>
      <c r="E87" t="s">
        <v>149</v>
      </c>
      <c r="F87" s="345">
        <v>10</v>
      </c>
      <c r="G87" s="345">
        <v>15</v>
      </c>
      <c r="H87" s="344" t="str">
        <f t="shared" si="4"/>
        <v>86 to 128</v>
      </c>
      <c r="I87" t="str">
        <f>CONCATENATE(INDEX(missionsDragonRelativeMetrics[Easy Mission Reward],MATCH($E$38,missionsDragonRelativeMetrics[Dragon],0)), " coins")</f>
        <v>15000 coins</v>
      </c>
      <c r="J87" s="344" t="str">
        <f t="shared" si="5"/>
        <v>86 to 129</v>
      </c>
      <c r="K87" t="str">
        <f>CONCATENATE(INDEX(missionsDragonRelativeMetrics[Medium Mission Reward],MATCH($E$38,missionsDragonRelativeMetrics[Dragon],0)), " coins")</f>
        <v>22500 coins</v>
      </c>
      <c r="L87" s="344" t="str">
        <f t="shared" si="6"/>
        <v>87 to 131</v>
      </c>
      <c r="M87" t="str">
        <f>CONCATENATE(INDEX(missionsDragonRelativeMetrics[Hard Mission Reward],MATCH($E$38,missionsDragonRelativeMetrics[Dragon],0)), " coins")</f>
        <v>45000 coins</v>
      </c>
      <c r="N87" s="120">
        <v>2</v>
      </c>
      <c r="O87" s="348">
        <v>7</v>
      </c>
      <c r="P87" s="120"/>
      <c r="Q87" t="b">
        <f t="shared" si="7"/>
        <v>1</v>
      </c>
    </row>
    <row r="88" spans="2:17">
      <c r="B88" s="102">
        <v>41</v>
      </c>
      <c r="C88" t="s">
        <v>507</v>
      </c>
      <c r="D88" t="s">
        <v>155</v>
      </c>
      <c r="E88" t="s">
        <v>132</v>
      </c>
      <c r="F88" s="345">
        <v>30</v>
      </c>
      <c r="G88" s="345">
        <v>40</v>
      </c>
      <c r="H88" s="344" t="str">
        <f t="shared" si="4"/>
        <v>257 to 342</v>
      </c>
      <c r="I88" t="str">
        <f>CONCATENATE(INDEX(missionsDragonRelativeMetrics[Easy Mission Reward],MATCH($E$38,missionsDragonRelativeMetrics[Dragon],0)), " coins")</f>
        <v>15000 coins</v>
      </c>
      <c r="J88" s="344" t="str">
        <f t="shared" si="5"/>
        <v>258 to 344</v>
      </c>
      <c r="K88" t="str">
        <f>CONCATENATE(INDEX(missionsDragonRelativeMetrics[Medium Mission Reward],MATCH($E$38,missionsDragonRelativeMetrics[Dragon],0)), " coins")</f>
        <v>22500 coins</v>
      </c>
      <c r="L88" s="344" t="str">
        <f t="shared" si="6"/>
        <v>261 to 348</v>
      </c>
      <c r="M88" t="str">
        <f>CONCATENATE(INDEX(missionsDragonRelativeMetrics[Hard Mission Reward],MATCH($E$38,missionsDragonRelativeMetrics[Dragon],0)), " coins")</f>
        <v>45000 coins</v>
      </c>
      <c r="N88" s="120">
        <v>3</v>
      </c>
      <c r="O88" s="348">
        <v>7</v>
      </c>
      <c r="P88" s="120"/>
      <c r="Q88" t="b">
        <f t="shared" si="7"/>
        <v>1</v>
      </c>
    </row>
    <row r="89" spans="2:17">
      <c r="B89" s="102">
        <v>42</v>
      </c>
      <c r="C89" t="s">
        <v>508</v>
      </c>
      <c r="D89" t="s">
        <v>168</v>
      </c>
      <c r="E89" t="s">
        <v>149</v>
      </c>
      <c r="F89" s="345">
        <v>15</v>
      </c>
      <c r="G89" s="345">
        <v>20</v>
      </c>
      <c r="H89" s="344" t="str">
        <f t="shared" si="4"/>
        <v>128 to 171</v>
      </c>
      <c r="I89" t="str">
        <f>CONCATENATE(INDEX(missionsDragonRelativeMetrics[Easy Mission Reward],MATCH($E$38,missionsDragonRelativeMetrics[Dragon],0)), " coins")</f>
        <v>15000 coins</v>
      </c>
      <c r="J89" s="344" t="str">
        <f t="shared" si="5"/>
        <v>129 to 172</v>
      </c>
      <c r="K89" t="str">
        <f>CONCATENATE(INDEX(missionsDragonRelativeMetrics[Medium Mission Reward],MATCH($E$38,missionsDragonRelativeMetrics[Dragon],0)), " coins")</f>
        <v>22500 coins</v>
      </c>
      <c r="L89" s="344" t="str">
        <f t="shared" si="6"/>
        <v>131 to 174</v>
      </c>
      <c r="M89" t="str">
        <f>CONCATENATE(INDEX(missionsDragonRelativeMetrics[Hard Mission Reward],MATCH($E$38,missionsDragonRelativeMetrics[Dragon],0)), " coins")</f>
        <v>45000 coins</v>
      </c>
      <c r="N89" s="120">
        <v>4</v>
      </c>
      <c r="O89" s="348">
        <v>7</v>
      </c>
      <c r="P89" s="120"/>
      <c r="Q89" t="b">
        <f t="shared" si="7"/>
        <v>1</v>
      </c>
    </row>
    <row r="90" spans="2:17">
      <c r="B90" s="102">
        <v>43</v>
      </c>
      <c r="C90" t="s">
        <v>509</v>
      </c>
      <c r="D90" t="s">
        <v>496</v>
      </c>
      <c r="E90" t="s">
        <v>149</v>
      </c>
      <c r="F90" s="345">
        <v>30</v>
      </c>
      <c r="G90" s="345">
        <v>40</v>
      </c>
      <c r="H90" s="344" t="str">
        <f t="shared" si="4"/>
        <v>257 to 342</v>
      </c>
      <c r="I90" t="str">
        <f>CONCATENATE(INDEX(missionsDragonRelativeMetrics[Easy Mission Reward],MATCH($E$38,missionsDragonRelativeMetrics[Dragon],0)), " coins")</f>
        <v>15000 coins</v>
      </c>
      <c r="J90" s="344" t="str">
        <f t="shared" si="5"/>
        <v>258 to 344</v>
      </c>
      <c r="K90" t="str">
        <f>CONCATENATE(INDEX(missionsDragonRelativeMetrics[Medium Mission Reward],MATCH($E$38,missionsDragonRelativeMetrics[Dragon],0)), " coins")</f>
        <v>22500 coins</v>
      </c>
      <c r="L90" s="344" t="str">
        <f t="shared" si="6"/>
        <v>261 to 348</v>
      </c>
      <c r="M90" t="str">
        <f>CONCATENATE(INDEX(missionsDragonRelativeMetrics[Hard Mission Reward],MATCH($E$38,missionsDragonRelativeMetrics[Dragon],0)), " coins")</f>
        <v>45000 coins</v>
      </c>
      <c r="N90" s="120">
        <v>5</v>
      </c>
      <c r="O90" s="348">
        <v>7</v>
      </c>
      <c r="P90" s="120"/>
      <c r="Q90" t="b">
        <f t="shared" si="7"/>
        <v>1</v>
      </c>
    </row>
    <row r="91" spans="2:17">
      <c r="B91" s="102">
        <v>44</v>
      </c>
      <c r="C91" t="s">
        <v>510</v>
      </c>
      <c r="D91" t="s">
        <v>155</v>
      </c>
      <c r="E91" t="s">
        <v>132</v>
      </c>
      <c r="F91" s="345">
        <v>25</v>
      </c>
      <c r="G91" s="345">
        <v>32</v>
      </c>
      <c r="H91" s="344" t="str">
        <f t="shared" si="4"/>
        <v>214 to 274</v>
      </c>
      <c r="I91" t="str">
        <f>CONCATENATE(INDEX(missionsDragonRelativeMetrics[Easy Mission Reward],MATCH($E$38,missionsDragonRelativeMetrics[Dragon],0)), " coins")</f>
        <v>15000 coins</v>
      </c>
      <c r="J91" s="344" t="str">
        <f t="shared" si="5"/>
        <v>215 to 275</v>
      </c>
      <c r="K91" t="str">
        <f>CONCATENATE(INDEX(missionsDragonRelativeMetrics[Medium Mission Reward],MATCH($E$38,missionsDragonRelativeMetrics[Dragon],0)), " coins")</f>
        <v>22500 coins</v>
      </c>
      <c r="L91" s="344" t="str">
        <f t="shared" si="6"/>
        <v>218 to 278</v>
      </c>
      <c r="M91" t="str">
        <f>CONCATENATE(INDEX(missionsDragonRelativeMetrics[Hard Mission Reward],MATCH($E$38,missionsDragonRelativeMetrics[Dragon],0)), " coins")</f>
        <v>45000 coins</v>
      </c>
      <c r="N91" s="120">
        <v>1</v>
      </c>
      <c r="O91" s="348">
        <v>7</v>
      </c>
      <c r="P91" s="120"/>
      <c r="Q91" t="b">
        <f t="shared" si="7"/>
        <v>1</v>
      </c>
    </row>
    <row r="92" spans="2:17">
      <c r="B92" s="102">
        <v>45</v>
      </c>
      <c r="C92" t="s">
        <v>503</v>
      </c>
      <c r="D92" t="s">
        <v>156</v>
      </c>
      <c r="E92" t="s">
        <v>132</v>
      </c>
      <c r="F92" s="345">
        <v>20</v>
      </c>
      <c r="G92" s="345">
        <v>30</v>
      </c>
      <c r="H92" s="344" t="str">
        <f t="shared" si="4"/>
        <v>171 to 257</v>
      </c>
      <c r="I92" t="str">
        <f>CONCATENATE(INDEX(missionsDragonRelativeMetrics[Easy Mission Reward],MATCH($E$38,missionsDragonRelativeMetrics[Dragon],0)), " coins")</f>
        <v>15000 coins</v>
      </c>
      <c r="J92" s="344" t="str">
        <f t="shared" si="5"/>
        <v>172 to 258</v>
      </c>
      <c r="K92" t="str">
        <f>CONCATENATE(INDEX(missionsDragonRelativeMetrics[Medium Mission Reward],MATCH($E$38,missionsDragonRelativeMetrics[Dragon],0)), " coins")</f>
        <v>22500 coins</v>
      </c>
      <c r="L92" s="344" t="str">
        <f t="shared" si="6"/>
        <v>174 to 261</v>
      </c>
      <c r="M92" t="str">
        <f>CONCATENATE(INDEX(missionsDragonRelativeMetrics[Hard Mission Reward],MATCH($E$38,missionsDragonRelativeMetrics[Dragon],0)), " coins")</f>
        <v>45000 coins</v>
      </c>
      <c r="N92" s="120">
        <v>2</v>
      </c>
      <c r="O92" s="348">
        <v>7</v>
      </c>
      <c r="P92" s="120"/>
      <c r="Q92" t="b">
        <f t="shared" si="7"/>
        <v>1</v>
      </c>
    </row>
    <row r="93" spans="2:17">
      <c r="B93" s="102">
        <v>46</v>
      </c>
      <c r="C93" t="s">
        <v>512</v>
      </c>
      <c r="D93" t="s">
        <v>511</v>
      </c>
      <c r="E93" t="s">
        <v>132</v>
      </c>
      <c r="F93" s="345">
        <v>2</v>
      </c>
      <c r="G93" s="345">
        <v>3</v>
      </c>
      <c r="H93" s="344" t="str">
        <f t="shared" si="4"/>
        <v>17 to 26</v>
      </c>
      <c r="I93" t="str">
        <f>CONCATENATE(INDEX(missionsDragonRelativeMetrics[Easy Mission Reward],MATCH($E$38,missionsDragonRelativeMetrics[Dragon],0)), " coins")</f>
        <v>15000 coins</v>
      </c>
      <c r="J93" s="344" t="str">
        <f t="shared" si="5"/>
        <v>17 to 26</v>
      </c>
      <c r="K93" t="str">
        <f>CONCATENATE(INDEX(missionsDragonRelativeMetrics[Medium Mission Reward],MATCH($E$38,missionsDragonRelativeMetrics[Dragon],0)), " coins")</f>
        <v>22500 coins</v>
      </c>
      <c r="L93" s="344" t="str">
        <f t="shared" si="6"/>
        <v>17 to 26</v>
      </c>
      <c r="M93" t="str">
        <f>CONCATENATE(INDEX(missionsDragonRelativeMetrics[Hard Mission Reward],MATCH($E$38,missionsDragonRelativeMetrics[Dragon],0)), " coins")</f>
        <v>45000 coins</v>
      </c>
      <c r="N93" s="120">
        <v>3</v>
      </c>
      <c r="O93" s="348">
        <v>7</v>
      </c>
      <c r="P93" s="120"/>
      <c r="Q93" t="b">
        <f t="shared" si="7"/>
        <v>1</v>
      </c>
    </row>
    <row r="94" spans="2:17">
      <c r="B94" s="102">
        <v>47</v>
      </c>
      <c r="C94" t="s">
        <v>513</v>
      </c>
      <c r="D94" t="s">
        <v>155</v>
      </c>
      <c r="E94" t="s">
        <v>149</v>
      </c>
      <c r="F94" s="345">
        <v>30</v>
      </c>
      <c r="G94" s="345">
        <v>40</v>
      </c>
      <c r="H94" s="344" t="str">
        <f t="shared" si="4"/>
        <v>257 to 342</v>
      </c>
      <c r="I94" t="str">
        <f>CONCATENATE(INDEX(missionsDragonRelativeMetrics[Easy Mission Reward],MATCH($E$38,missionsDragonRelativeMetrics[Dragon],0)), " coins")</f>
        <v>15000 coins</v>
      </c>
      <c r="J94" s="344" t="str">
        <f t="shared" si="5"/>
        <v>258 to 344</v>
      </c>
      <c r="K94" t="str">
        <f>CONCATENATE(INDEX(missionsDragonRelativeMetrics[Medium Mission Reward],MATCH($E$38,missionsDragonRelativeMetrics[Dragon],0)), " coins")</f>
        <v>22500 coins</v>
      </c>
      <c r="L94" s="344" t="str">
        <f t="shared" si="6"/>
        <v>261 to 348</v>
      </c>
      <c r="M94" t="str">
        <f>CONCATENATE(INDEX(missionsDragonRelativeMetrics[Hard Mission Reward],MATCH($E$38,missionsDragonRelativeMetrics[Dragon],0)), " coins")</f>
        <v>45000 coins</v>
      </c>
      <c r="N94" s="120">
        <v>4</v>
      </c>
      <c r="O94" s="348">
        <v>7</v>
      </c>
      <c r="P94" s="120"/>
      <c r="Q94" t="b">
        <f t="shared" si="7"/>
        <v>1</v>
      </c>
    </row>
    <row r="95" spans="2:17">
      <c r="B95" s="102">
        <v>48</v>
      </c>
      <c r="C95" t="s">
        <v>514</v>
      </c>
      <c r="D95" t="s">
        <v>515</v>
      </c>
      <c r="E95" t="s">
        <v>149</v>
      </c>
      <c r="F95" s="345">
        <v>1</v>
      </c>
      <c r="G95" s="345">
        <v>1</v>
      </c>
      <c r="H95" s="344" t="str">
        <f t="shared" si="4"/>
        <v>9 to 9</v>
      </c>
      <c r="I95" t="str">
        <f>CONCATENATE(INDEX(missionsDragonRelativeMetrics[Easy Mission Reward],MATCH($E$38,missionsDragonRelativeMetrics[Dragon],0)), " coins")</f>
        <v>15000 coins</v>
      </c>
      <c r="J95" s="344" t="str">
        <f t="shared" si="5"/>
        <v>9 to 9</v>
      </c>
      <c r="K95" t="str">
        <f>CONCATENATE(INDEX(missionsDragonRelativeMetrics[Medium Mission Reward],MATCH($E$38,missionsDragonRelativeMetrics[Dragon],0)), " coins")</f>
        <v>22500 coins</v>
      </c>
      <c r="L95" s="344" t="str">
        <f t="shared" si="6"/>
        <v>9 to 9</v>
      </c>
      <c r="M95" t="str">
        <f>CONCATENATE(INDEX(missionsDragonRelativeMetrics[Hard Mission Reward],MATCH($E$38,missionsDragonRelativeMetrics[Dragon],0)), " coins")</f>
        <v>45000 coins</v>
      </c>
      <c r="N95" s="120">
        <v>5</v>
      </c>
      <c r="O95" s="348">
        <v>7</v>
      </c>
      <c r="P95" s="120"/>
      <c r="Q95" t="b">
        <f t="shared" si="7"/>
        <v>1</v>
      </c>
    </row>
    <row r="96" spans="2:17">
      <c r="B96" s="102">
        <v>49</v>
      </c>
      <c r="C96" s="264" t="s">
        <v>504</v>
      </c>
      <c r="D96" s="264" t="s">
        <v>519</v>
      </c>
      <c r="E96" s="264" t="s">
        <v>149</v>
      </c>
      <c r="F96" s="109">
        <v>10</v>
      </c>
      <c r="G96" s="109">
        <v>15</v>
      </c>
      <c r="H96" s="111" t="str">
        <f t="shared" ref="H96:H128" si="8">CONCATENATE(ROUND((F96*$F$43)*(1-$I$40),0), " to ",ROUND((G96*$F$43)*(1-$I$40),0))</f>
        <v>86 to 128</v>
      </c>
      <c r="I96" s="264" t="str">
        <f>CONCATENATE(INDEX(missionsDragonRelativeMetrics[Easy Mission Reward],MATCH($E$38,missionsDragonRelativeMetrics[Dragon],0)), " coins")</f>
        <v>15000 coins</v>
      </c>
      <c r="J96" s="111" t="str">
        <f t="shared" ref="J96:J128" si="9">CONCATENATE(ROUND((F96*$G$43)*(1-$I$40),0), " to ",ROUND((G96*$G$43)*(1-$I$40),0))</f>
        <v>86 to 129</v>
      </c>
      <c r="K96" s="264" t="str">
        <f>CONCATENATE(INDEX(missionsDragonRelativeMetrics[Medium Mission Reward],MATCH($E$38,missionsDragonRelativeMetrics[Dragon],0)), " coins")</f>
        <v>22500 coins</v>
      </c>
      <c r="L96" s="111" t="str">
        <f t="shared" ref="L96:L128" si="10">CONCATENATE(ROUND((F96*$H$43)*(1-$I$40),0), " to ",ROUND((G96*$H$43)*(1-$I$40),0))</f>
        <v>87 to 131</v>
      </c>
      <c r="M96" s="264" t="str">
        <f>CONCATENATE(INDEX(missionsDragonRelativeMetrics[Hard Mission Reward],MATCH($E$38,missionsDragonRelativeMetrics[Dragon],0)), " coins")</f>
        <v>45000 coins</v>
      </c>
      <c r="N96" s="264">
        <v>1</v>
      </c>
      <c r="O96" s="347">
        <v>7</v>
      </c>
      <c r="P96" s="264"/>
      <c r="Q96" s="349" t="b">
        <f t="shared" si="7"/>
        <v>1</v>
      </c>
    </row>
    <row r="97" spans="2:17">
      <c r="B97" s="102">
        <v>50</v>
      </c>
      <c r="C97" s="264" t="s">
        <v>528</v>
      </c>
      <c r="D97" s="264" t="s">
        <v>146</v>
      </c>
      <c r="E97" s="264" t="s">
        <v>149</v>
      </c>
      <c r="F97" s="109">
        <v>3</v>
      </c>
      <c r="G97" s="109">
        <v>4</v>
      </c>
      <c r="H97" s="111" t="str">
        <f t="shared" si="8"/>
        <v>26 to 34</v>
      </c>
      <c r="I97" s="264" t="str">
        <f>CONCATENATE(INDEX(missionsDragonRelativeMetrics[Easy Mission Reward],MATCH($E$38,missionsDragonRelativeMetrics[Dragon],0)), " coins")</f>
        <v>15000 coins</v>
      </c>
      <c r="J97" s="111" t="str">
        <f t="shared" si="9"/>
        <v>26 to 34</v>
      </c>
      <c r="K97" s="264" t="str">
        <f>CONCATENATE(INDEX(missionsDragonRelativeMetrics[Medium Mission Reward],MATCH($E$38,missionsDragonRelativeMetrics[Dragon],0)), " coins")</f>
        <v>22500 coins</v>
      </c>
      <c r="L97" s="111" t="str">
        <f t="shared" si="10"/>
        <v>26 to 35</v>
      </c>
      <c r="M97" s="264" t="str">
        <f>CONCATENATE(INDEX(missionsDragonRelativeMetrics[Hard Mission Reward],MATCH($E$38,missionsDragonRelativeMetrics[Dragon],0)), " coins")</f>
        <v>45000 coins</v>
      </c>
      <c r="N97" s="264">
        <v>6</v>
      </c>
      <c r="O97" s="347">
        <v>6</v>
      </c>
      <c r="P97" s="264" t="s">
        <v>405</v>
      </c>
      <c r="Q97" s="349" t="b">
        <f t="shared" si="7"/>
        <v>0</v>
      </c>
    </row>
    <row r="98" spans="2:17">
      <c r="B98" s="102">
        <v>51</v>
      </c>
      <c r="C98" s="264" t="s">
        <v>529</v>
      </c>
      <c r="D98" s="264" t="s">
        <v>146</v>
      </c>
      <c r="E98" s="264" t="s">
        <v>132</v>
      </c>
      <c r="F98" s="109">
        <v>10</v>
      </c>
      <c r="G98" s="109">
        <v>20</v>
      </c>
      <c r="H98" s="111" t="str">
        <f t="shared" si="8"/>
        <v>86 to 171</v>
      </c>
      <c r="I98" s="264" t="str">
        <f>CONCATENATE(INDEX(missionsDragonRelativeMetrics[Easy Mission Reward],MATCH($E$38,missionsDragonRelativeMetrics[Dragon],0)), " coins")</f>
        <v>15000 coins</v>
      </c>
      <c r="J98" s="111" t="str">
        <f t="shared" si="9"/>
        <v>86 to 172</v>
      </c>
      <c r="K98" s="264" t="str">
        <f>CONCATENATE(INDEX(missionsDragonRelativeMetrics[Medium Mission Reward],MATCH($E$38,missionsDragonRelativeMetrics[Dragon],0)), " coins")</f>
        <v>22500 coins</v>
      </c>
      <c r="L98" s="111" t="str">
        <f t="shared" si="10"/>
        <v>87 to 174</v>
      </c>
      <c r="M98" s="264" t="str">
        <f>CONCATENATE(INDEX(missionsDragonRelativeMetrics[Hard Mission Reward],MATCH($E$38,missionsDragonRelativeMetrics[Dragon],0)), " coins")</f>
        <v>45000 coins</v>
      </c>
      <c r="N98" s="264">
        <v>6</v>
      </c>
      <c r="O98" s="347">
        <v>6</v>
      </c>
      <c r="P98" s="264" t="s">
        <v>403</v>
      </c>
      <c r="Q98" s="349" t="b">
        <f t="shared" si="7"/>
        <v>0</v>
      </c>
    </row>
    <row r="99" spans="2:17">
      <c r="B99" s="102">
        <v>52</v>
      </c>
      <c r="C99" s="264" t="s">
        <v>530</v>
      </c>
      <c r="D99" s="264" t="s">
        <v>146</v>
      </c>
      <c r="E99" s="264" t="s">
        <v>132</v>
      </c>
      <c r="F99" s="109">
        <v>10</v>
      </c>
      <c r="G99" s="109">
        <v>20</v>
      </c>
      <c r="H99" s="111" t="str">
        <f t="shared" si="8"/>
        <v>86 to 171</v>
      </c>
      <c r="I99" s="264" t="str">
        <f>CONCATENATE(INDEX(missionsDragonRelativeMetrics[Easy Mission Reward],MATCH($E$38,missionsDragonRelativeMetrics[Dragon],0)), " coins")</f>
        <v>15000 coins</v>
      </c>
      <c r="J99" s="111" t="str">
        <f t="shared" si="9"/>
        <v>86 to 172</v>
      </c>
      <c r="K99" s="264" t="str">
        <f>CONCATENATE(INDEX(missionsDragonRelativeMetrics[Medium Mission Reward],MATCH($E$38,missionsDragonRelativeMetrics[Dragon],0)), " coins")</f>
        <v>22500 coins</v>
      </c>
      <c r="L99" s="111" t="str">
        <f t="shared" si="10"/>
        <v>87 to 174</v>
      </c>
      <c r="M99" s="264" t="str">
        <f>CONCATENATE(INDEX(missionsDragonRelativeMetrics[Hard Mission Reward],MATCH($E$38,missionsDragonRelativeMetrics[Dragon],0)), " coins")</f>
        <v>45000 coins</v>
      </c>
      <c r="N99" s="264">
        <v>6</v>
      </c>
      <c r="O99" s="347">
        <v>6</v>
      </c>
      <c r="P99" s="264" t="s">
        <v>404</v>
      </c>
      <c r="Q99" s="349" t="b">
        <f t="shared" si="7"/>
        <v>0</v>
      </c>
    </row>
    <row r="100" spans="2:17">
      <c r="B100" s="102">
        <v>53</v>
      </c>
      <c r="C100" s="264" t="s">
        <v>531</v>
      </c>
      <c r="D100" s="264" t="s">
        <v>146</v>
      </c>
      <c r="E100" s="264" t="s">
        <v>132</v>
      </c>
      <c r="F100" s="109">
        <v>10</v>
      </c>
      <c r="G100" s="109">
        <v>20</v>
      </c>
      <c r="H100" s="111" t="str">
        <f t="shared" si="8"/>
        <v>86 to 171</v>
      </c>
      <c r="I100" s="264" t="str">
        <f>CONCATENATE(INDEX(missionsDragonRelativeMetrics[Easy Mission Reward],MATCH($E$38,missionsDragonRelativeMetrics[Dragon],0)), " coins")</f>
        <v>15000 coins</v>
      </c>
      <c r="J100" s="111" t="str">
        <f t="shared" si="9"/>
        <v>86 to 172</v>
      </c>
      <c r="K100" s="264" t="str">
        <f>CONCATENATE(INDEX(missionsDragonRelativeMetrics[Medium Mission Reward],MATCH($E$38,missionsDragonRelativeMetrics[Dragon],0)), " coins")</f>
        <v>22500 coins</v>
      </c>
      <c r="L100" s="111" t="str">
        <f t="shared" si="10"/>
        <v>87 to 174</v>
      </c>
      <c r="M100" s="264" t="str">
        <f>CONCATENATE(INDEX(missionsDragonRelativeMetrics[Hard Mission Reward],MATCH($E$38,missionsDragonRelativeMetrics[Dragon],0)), " coins")</f>
        <v>45000 coins</v>
      </c>
      <c r="N100" s="264">
        <v>6</v>
      </c>
      <c r="O100" s="347">
        <v>6</v>
      </c>
      <c r="P100" s="264" t="s">
        <v>402</v>
      </c>
      <c r="Q100" s="349" t="b">
        <f t="shared" si="7"/>
        <v>1</v>
      </c>
    </row>
    <row r="101" spans="2:17">
      <c r="B101" s="102">
        <v>54</v>
      </c>
      <c r="C101" s="264" t="s">
        <v>528</v>
      </c>
      <c r="D101" s="264" t="s">
        <v>5</v>
      </c>
      <c r="E101" s="264" t="s">
        <v>149</v>
      </c>
      <c r="F101" s="109">
        <v>3</v>
      </c>
      <c r="G101" s="109">
        <v>4</v>
      </c>
      <c r="H101" s="111" t="str">
        <f t="shared" si="8"/>
        <v>26 to 34</v>
      </c>
      <c r="I101" s="264" t="str">
        <f>CONCATENATE(INDEX(missionsDragonRelativeMetrics[Easy Mission Reward],MATCH($E$38,missionsDragonRelativeMetrics[Dragon],0)), " coins")</f>
        <v>15000 coins</v>
      </c>
      <c r="J101" s="111" t="str">
        <f t="shared" si="9"/>
        <v>26 to 34</v>
      </c>
      <c r="K101" s="264" t="str">
        <f>CONCATENATE(INDEX(missionsDragonRelativeMetrics[Medium Mission Reward],MATCH($E$38,missionsDragonRelativeMetrics[Dragon],0)), " coins")</f>
        <v>22500 coins</v>
      </c>
      <c r="L101" s="111" t="str">
        <f t="shared" si="10"/>
        <v>26 to 35</v>
      </c>
      <c r="M101" s="264" t="str">
        <f>CONCATENATE(INDEX(missionsDragonRelativeMetrics[Hard Mission Reward],MATCH($E$38,missionsDragonRelativeMetrics[Dragon],0)), " coins")</f>
        <v>45000 coins</v>
      </c>
      <c r="N101" s="264">
        <v>6</v>
      </c>
      <c r="O101" s="347">
        <v>6</v>
      </c>
      <c r="P101" s="264" t="s">
        <v>405</v>
      </c>
      <c r="Q101" s="349" t="b">
        <f t="shared" si="7"/>
        <v>0</v>
      </c>
    </row>
    <row r="102" spans="2:17">
      <c r="B102" s="102">
        <v>55</v>
      </c>
      <c r="C102" s="264" t="s">
        <v>529</v>
      </c>
      <c r="D102" s="264" t="s">
        <v>5</v>
      </c>
      <c r="E102" s="264" t="s">
        <v>132</v>
      </c>
      <c r="F102" s="109">
        <v>10</v>
      </c>
      <c r="G102" s="109">
        <v>12</v>
      </c>
      <c r="H102" s="111" t="str">
        <f t="shared" si="8"/>
        <v>86 to 103</v>
      </c>
      <c r="I102" s="264" t="str">
        <f>CONCATENATE(INDEX(missionsDragonRelativeMetrics[Easy Mission Reward],MATCH($E$38,missionsDragonRelativeMetrics[Dragon],0)), " coins")</f>
        <v>15000 coins</v>
      </c>
      <c r="J102" s="111" t="str">
        <f t="shared" si="9"/>
        <v>86 to 103</v>
      </c>
      <c r="K102" s="264" t="str">
        <f>CONCATENATE(INDEX(missionsDragonRelativeMetrics[Medium Mission Reward],MATCH($E$38,missionsDragonRelativeMetrics[Dragon],0)), " coins")</f>
        <v>22500 coins</v>
      </c>
      <c r="L102" s="111" t="str">
        <f t="shared" si="10"/>
        <v>87 to 104</v>
      </c>
      <c r="M102" s="264" t="str">
        <f>CONCATENATE(INDEX(missionsDragonRelativeMetrics[Hard Mission Reward],MATCH($E$38,missionsDragonRelativeMetrics[Dragon],0)), " coins")</f>
        <v>45000 coins</v>
      </c>
      <c r="N102" s="264">
        <v>6</v>
      </c>
      <c r="O102" s="347">
        <v>6</v>
      </c>
      <c r="P102" s="264" t="s">
        <v>403</v>
      </c>
      <c r="Q102" s="349" t="b">
        <f t="shared" si="7"/>
        <v>0</v>
      </c>
    </row>
    <row r="103" spans="2:17">
      <c r="B103" s="102">
        <v>56</v>
      </c>
      <c r="C103" s="264" t="s">
        <v>530</v>
      </c>
      <c r="D103" s="264" t="s">
        <v>5</v>
      </c>
      <c r="E103" s="264" t="s">
        <v>132</v>
      </c>
      <c r="F103" s="109">
        <v>10</v>
      </c>
      <c r="G103" s="109">
        <v>11</v>
      </c>
      <c r="H103" s="111" t="str">
        <f t="shared" si="8"/>
        <v>86 to 94</v>
      </c>
      <c r="I103" s="264" t="str">
        <f>CONCATENATE(INDEX(missionsDragonRelativeMetrics[Easy Mission Reward],MATCH($E$38,missionsDragonRelativeMetrics[Dragon],0)), " coins")</f>
        <v>15000 coins</v>
      </c>
      <c r="J103" s="111" t="str">
        <f t="shared" si="9"/>
        <v>86 to 95</v>
      </c>
      <c r="K103" s="264" t="str">
        <f>CONCATENATE(INDEX(missionsDragonRelativeMetrics[Medium Mission Reward],MATCH($E$38,missionsDragonRelativeMetrics[Dragon],0)), " coins")</f>
        <v>22500 coins</v>
      </c>
      <c r="L103" s="111" t="str">
        <f t="shared" si="10"/>
        <v>87 to 96</v>
      </c>
      <c r="M103" s="264" t="str">
        <f>CONCATENATE(INDEX(missionsDragonRelativeMetrics[Hard Mission Reward],MATCH($E$38,missionsDragonRelativeMetrics[Dragon],0)), " coins")</f>
        <v>45000 coins</v>
      </c>
      <c r="N103" s="264">
        <v>6</v>
      </c>
      <c r="O103" s="347">
        <v>6</v>
      </c>
      <c r="P103" s="264" t="s">
        <v>404</v>
      </c>
      <c r="Q103" s="349" t="b">
        <f t="shared" si="7"/>
        <v>0</v>
      </c>
    </row>
    <row r="104" spans="2:17">
      <c r="B104" s="102">
        <v>57</v>
      </c>
      <c r="C104" s="264" t="s">
        <v>531</v>
      </c>
      <c r="D104" s="264" t="s">
        <v>5</v>
      </c>
      <c r="E104" s="264" t="s">
        <v>132</v>
      </c>
      <c r="F104" s="109">
        <v>10</v>
      </c>
      <c r="G104" s="109">
        <v>11</v>
      </c>
      <c r="H104" s="111" t="str">
        <f t="shared" si="8"/>
        <v>86 to 94</v>
      </c>
      <c r="I104" s="264" t="str">
        <f>CONCATENATE(INDEX(missionsDragonRelativeMetrics[Easy Mission Reward],MATCH($E$38,missionsDragonRelativeMetrics[Dragon],0)), " coins")</f>
        <v>15000 coins</v>
      </c>
      <c r="J104" s="111" t="str">
        <f t="shared" si="9"/>
        <v>86 to 95</v>
      </c>
      <c r="K104" s="264" t="str">
        <f>CONCATENATE(INDEX(missionsDragonRelativeMetrics[Medium Mission Reward],MATCH($E$38,missionsDragonRelativeMetrics[Dragon],0)), " coins")</f>
        <v>22500 coins</v>
      </c>
      <c r="L104" s="111" t="str">
        <f t="shared" si="10"/>
        <v>87 to 96</v>
      </c>
      <c r="M104" s="264" t="str">
        <f>CONCATENATE(INDEX(missionsDragonRelativeMetrics[Hard Mission Reward],MATCH($E$38,missionsDragonRelativeMetrics[Dragon],0)), " coins")</f>
        <v>45000 coins</v>
      </c>
      <c r="N104" s="264">
        <v>6</v>
      </c>
      <c r="O104" s="347">
        <v>6</v>
      </c>
      <c r="P104" s="264" t="s">
        <v>402</v>
      </c>
      <c r="Q104" s="349" t="b">
        <f t="shared" si="7"/>
        <v>1</v>
      </c>
    </row>
    <row r="105" spans="2:17">
      <c r="B105" s="102">
        <v>58</v>
      </c>
      <c r="C105" s="264" t="s">
        <v>528</v>
      </c>
      <c r="D105" s="264" t="s">
        <v>154</v>
      </c>
      <c r="E105" s="264" t="s">
        <v>149</v>
      </c>
      <c r="F105" s="109">
        <v>4</v>
      </c>
      <c r="G105" s="109">
        <v>6</v>
      </c>
      <c r="H105" s="111" t="str">
        <f t="shared" si="8"/>
        <v>34 to 51</v>
      </c>
      <c r="I105" s="264" t="str">
        <f>CONCATENATE(INDEX(missionsDragonRelativeMetrics[Easy Mission Reward],MATCH($E$38,missionsDragonRelativeMetrics[Dragon],0)), " coins")</f>
        <v>15000 coins</v>
      </c>
      <c r="J105" s="111" t="str">
        <f t="shared" si="9"/>
        <v>34 to 52</v>
      </c>
      <c r="K105" s="264" t="str">
        <f>CONCATENATE(INDEX(missionsDragonRelativeMetrics[Medium Mission Reward],MATCH($E$38,missionsDragonRelativeMetrics[Dragon],0)), " coins")</f>
        <v>22500 coins</v>
      </c>
      <c r="L105" s="111" t="str">
        <f t="shared" si="10"/>
        <v>35 to 52</v>
      </c>
      <c r="M105" s="264" t="str">
        <f>CONCATENATE(INDEX(missionsDragonRelativeMetrics[Hard Mission Reward],MATCH($E$38,missionsDragonRelativeMetrics[Dragon],0)), " coins")</f>
        <v>45000 coins</v>
      </c>
      <c r="N105" s="264">
        <v>6</v>
      </c>
      <c r="O105" s="347">
        <v>6</v>
      </c>
      <c r="P105" s="264" t="s">
        <v>405</v>
      </c>
      <c r="Q105" s="349" t="b">
        <f t="shared" si="7"/>
        <v>0</v>
      </c>
    </row>
    <row r="106" spans="2:17">
      <c r="B106" s="102">
        <v>59</v>
      </c>
      <c r="C106" s="264" t="s">
        <v>529</v>
      </c>
      <c r="D106" s="264" t="s">
        <v>154</v>
      </c>
      <c r="E106" s="264" t="s">
        <v>132</v>
      </c>
      <c r="F106" s="109">
        <v>20</v>
      </c>
      <c r="G106" s="109">
        <v>30</v>
      </c>
      <c r="H106" s="111" t="str">
        <f t="shared" si="8"/>
        <v>171 to 257</v>
      </c>
      <c r="I106" s="264" t="str">
        <f>CONCATENATE(INDEX(missionsDragonRelativeMetrics[Easy Mission Reward],MATCH($E$38,missionsDragonRelativeMetrics[Dragon],0)), " coins")</f>
        <v>15000 coins</v>
      </c>
      <c r="J106" s="111" t="str">
        <f t="shared" si="9"/>
        <v>172 to 258</v>
      </c>
      <c r="K106" s="264" t="str">
        <f>CONCATENATE(INDEX(missionsDragonRelativeMetrics[Medium Mission Reward],MATCH($E$38,missionsDragonRelativeMetrics[Dragon],0)), " coins")</f>
        <v>22500 coins</v>
      </c>
      <c r="L106" s="111" t="str">
        <f t="shared" si="10"/>
        <v>174 to 261</v>
      </c>
      <c r="M106" s="264" t="str">
        <f>CONCATENATE(INDEX(missionsDragonRelativeMetrics[Hard Mission Reward],MATCH($E$38,missionsDragonRelativeMetrics[Dragon],0)), " coins")</f>
        <v>45000 coins</v>
      </c>
      <c r="N106" s="264">
        <v>6</v>
      </c>
      <c r="O106" s="347">
        <v>6</v>
      </c>
      <c r="P106" s="264" t="s">
        <v>403</v>
      </c>
      <c r="Q106" s="349" t="b">
        <f t="shared" si="7"/>
        <v>0</v>
      </c>
    </row>
    <row r="107" spans="2:17">
      <c r="B107" s="102">
        <v>60</v>
      </c>
      <c r="C107" s="264" t="s">
        <v>530</v>
      </c>
      <c r="D107" s="264" t="s">
        <v>154</v>
      </c>
      <c r="E107" s="264" t="s">
        <v>132</v>
      </c>
      <c r="F107" s="109">
        <v>45</v>
      </c>
      <c r="G107" s="109">
        <v>55</v>
      </c>
      <c r="H107" s="111" t="str">
        <f t="shared" si="8"/>
        <v>385 to 470</v>
      </c>
      <c r="I107" s="264" t="str">
        <f>CONCATENATE(INDEX(missionsDragonRelativeMetrics[Easy Mission Reward],MATCH($E$38,missionsDragonRelativeMetrics[Dragon],0)), " coins")</f>
        <v>15000 coins</v>
      </c>
      <c r="J107" s="111" t="str">
        <f t="shared" si="9"/>
        <v>387 to 473</v>
      </c>
      <c r="K107" s="264" t="str">
        <f>CONCATENATE(INDEX(missionsDragonRelativeMetrics[Medium Mission Reward],MATCH($E$38,missionsDragonRelativeMetrics[Dragon],0)), " coins")</f>
        <v>22500 coins</v>
      </c>
      <c r="L107" s="111" t="str">
        <f t="shared" si="10"/>
        <v>392 to 479</v>
      </c>
      <c r="M107" s="264" t="str">
        <f>CONCATENATE(INDEX(missionsDragonRelativeMetrics[Hard Mission Reward],MATCH($E$38,missionsDragonRelativeMetrics[Dragon],0)), " coins")</f>
        <v>45000 coins</v>
      </c>
      <c r="N107" s="264">
        <v>6</v>
      </c>
      <c r="O107" s="347">
        <v>6</v>
      </c>
      <c r="P107" s="264" t="s">
        <v>404</v>
      </c>
      <c r="Q107" s="349" t="b">
        <f t="shared" si="7"/>
        <v>0</v>
      </c>
    </row>
    <row r="108" spans="2:17">
      <c r="B108" s="102">
        <v>61</v>
      </c>
      <c r="C108" s="264" t="s">
        <v>531</v>
      </c>
      <c r="D108" s="264" t="s">
        <v>154</v>
      </c>
      <c r="E108" s="264" t="s">
        <v>132</v>
      </c>
      <c r="F108" s="109">
        <v>45</v>
      </c>
      <c r="G108" s="109">
        <v>55</v>
      </c>
      <c r="H108" s="111" t="str">
        <f t="shared" si="8"/>
        <v>385 to 470</v>
      </c>
      <c r="I108" s="264" t="str">
        <f>CONCATENATE(INDEX(missionsDragonRelativeMetrics[Easy Mission Reward],MATCH($E$38,missionsDragonRelativeMetrics[Dragon],0)), " coins")</f>
        <v>15000 coins</v>
      </c>
      <c r="J108" s="111" t="str">
        <f t="shared" si="9"/>
        <v>387 to 473</v>
      </c>
      <c r="K108" s="264" t="str">
        <f>CONCATENATE(INDEX(missionsDragonRelativeMetrics[Medium Mission Reward],MATCH($E$38,missionsDragonRelativeMetrics[Dragon],0)), " coins")</f>
        <v>22500 coins</v>
      </c>
      <c r="L108" s="111" t="str">
        <f t="shared" si="10"/>
        <v>392 to 479</v>
      </c>
      <c r="M108" s="264" t="str">
        <f>CONCATENATE(INDEX(missionsDragonRelativeMetrics[Hard Mission Reward],MATCH($E$38,missionsDragonRelativeMetrics[Dragon],0)), " coins")</f>
        <v>45000 coins</v>
      </c>
      <c r="N108" s="264">
        <v>6</v>
      </c>
      <c r="O108" s="347">
        <v>6</v>
      </c>
      <c r="P108" s="264" t="s">
        <v>402</v>
      </c>
      <c r="Q108" s="349" t="b">
        <f t="shared" si="7"/>
        <v>1</v>
      </c>
    </row>
    <row r="109" spans="2:17">
      <c r="B109" s="102">
        <v>62</v>
      </c>
      <c r="C109" s="264" t="s">
        <v>528</v>
      </c>
      <c r="D109" s="264" t="s">
        <v>155</v>
      </c>
      <c r="E109" s="264" t="s">
        <v>149</v>
      </c>
      <c r="F109" s="109">
        <v>4</v>
      </c>
      <c r="G109" s="109">
        <v>6</v>
      </c>
      <c r="H109" s="111" t="str">
        <f t="shared" si="8"/>
        <v>34 to 51</v>
      </c>
      <c r="I109" s="264" t="str">
        <f>CONCATENATE(INDEX(missionsDragonRelativeMetrics[Easy Mission Reward],MATCH($E$38,missionsDragonRelativeMetrics[Dragon],0)), " coins")</f>
        <v>15000 coins</v>
      </c>
      <c r="J109" s="111" t="str">
        <f t="shared" si="9"/>
        <v>34 to 52</v>
      </c>
      <c r="K109" s="264" t="str">
        <f>CONCATENATE(INDEX(missionsDragonRelativeMetrics[Medium Mission Reward],MATCH($E$38,missionsDragonRelativeMetrics[Dragon],0)), " coins")</f>
        <v>22500 coins</v>
      </c>
      <c r="L109" s="111" t="str">
        <f t="shared" si="10"/>
        <v>35 to 52</v>
      </c>
      <c r="M109" s="264" t="str">
        <f>CONCATENATE(INDEX(missionsDragonRelativeMetrics[Hard Mission Reward],MATCH($E$38,missionsDragonRelativeMetrics[Dragon],0)), " coins")</f>
        <v>45000 coins</v>
      </c>
      <c r="N109" s="264">
        <v>6</v>
      </c>
      <c r="O109" s="347">
        <v>6</v>
      </c>
      <c r="P109" s="264" t="s">
        <v>405</v>
      </c>
      <c r="Q109" s="349" t="b">
        <f t="shared" si="7"/>
        <v>0</v>
      </c>
    </row>
    <row r="110" spans="2:17">
      <c r="B110" s="102">
        <v>63</v>
      </c>
      <c r="C110" s="264" t="s">
        <v>529</v>
      </c>
      <c r="D110" s="264" t="s">
        <v>155</v>
      </c>
      <c r="E110" s="264" t="s">
        <v>132</v>
      </c>
      <c r="F110" s="109">
        <v>25</v>
      </c>
      <c r="G110" s="109">
        <v>35</v>
      </c>
      <c r="H110" s="111" t="str">
        <f t="shared" si="8"/>
        <v>214 to 299</v>
      </c>
      <c r="I110" s="264" t="str">
        <f>CONCATENATE(INDEX(missionsDragonRelativeMetrics[Easy Mission Reward],MATCH($E$38,missionsDragonRelativeMetrics[Dragon],0)), " coins")</f>
        <v>15000 coins</v>
      </c>
      <c r="J110" s="111" t="str">
        <f t="shared" si="9"/>
        <v>215 to 301</v>
      </c>
      <c r="K110" s="264" t="str">
        <f>CONCATENATE(INDEX(missionsDragonRelativeMetrics[Medium Mission Reward],MATCH($E$38,missionsDragonRelativeMetrics[Dragon],0)), " coins")</f>
        <v>22500 coins</v>
      </c>
      <c r="L110" s="111" t="str">
        <f t="shared" si="10"/>
        <v>218 to 305</v>
      </c>
      <c r="M110" s="264" t="str">
        <f>CONCATENATE(INDEX(missionsDragonRelativeMetrics[Hard Mission Reward],MATCH($E$38,missionsDragonRelativeMetrics[Dragon],0)), " coins")</f>
        <v>45000 coins</v>
      </c>
      <c r="N110" s="264">
        <v>6</v>
      </c>
      <c r="O110" s="347">
        <v>6</v>
      </c>
      <c r="P110" s="264" t="s">
        <v>403</v>
      </c>
      <c r="Q110" s="349" t="b">
        <f t="shared" si="7"/>
        <v>0</v>
      </c>
    </row>
    <row r="111" spans="2:17">
      <c r="B111" s="102">
        <v>64</v>
      </c>
      <c r="C111" s="264" t="s">
        <v>530</v>
      </c>
      <c r="D111" s="264" t="s">
        <v>155</v>
      </c>
      <c r="E111" s="264" t="s">
        <v>132</v>
      </c>
      <c r="F111" s="109">
        <v>40</v>
      </c>
      <c r="G111" s="109">
        <v>45</v>
      </c>
      <c r="H111" s="111" t="str">
        <f t="shared" si="8"/>
        <v>342 to 385</v>
      </c>
      <c r="I111" s="264" t="str">
        <f>CONCATENATE(INDEX(missionsDragonRelativeMetrics[Easy Mission Reward],MATCH($E$38,missionsDragonRelativeMetrics[Dragon],0)), " coins")</f>
        <v>15000 coins</v>
      </c>
      <c r="J111" s="111" t="str">
        <f t="shared" si="9"/>
        <v>344 to 387</v>
      </c>
      <c r="K111" s="264" t="str">
        <f>CONCATENATE(INDEX(missionsDragonRelativeMetrics[Medium Mission Reward],MATCH($E$38,missionsDragonRelativeMetrics[Dragon],0)), " coins")</f>
        <v>22500 coins</v>
      </c>
      <c r="L111" s="111" t="str">
        <f t="shared" si="10"/>
        <v>348 to 392</v>
      </c>
      <c r="M111" s="264" t="str">
        <f>CONCATENATE(INDEX(missionsDragonRelativeMetrics[Hard Mission Reward],MATCH($E$38,missionsDragonRelativeMetrics[Dragon],0)), " coins")</f>
        <v>45000 coins</v>
      </c>
      <c r="N111" s="264">
        <v>6</v>
      </c>
      <c r="O111" s="347">
        <v>6</v>
      </c>
      <c r="P111" s="264" t="s">
        <v>404</v>
      </c>
      <c r="Q111" s="349" t="b">
        <f t="shared" si="7"/>
        <v>0</v>
      </c>
    </row>
    <row r="112" spans="2:17">
      <c r="B112" s="102">
        <v>65</v>
      </c>
      <c r="C112" s="264" t="s">
        <v>531</v>
      </c>
      <c r="D112" s="264" t="s">
        <v>155</v>
      </c>
      <c r="E112" s="264" t="s">
        <v>132</v>
      </c>
      <c r="F112" s="109">
        <v>40</v>
      </c>
      <c r="G112" s="109">
        <v>45</v>
      </c>
      <c r="H112" s="111" t="str">
        <f t="shared" si="8"/>
        <v>342 to 385</v>
      </c>
      <c r="I112" s="264" t="str">
        <f>CONCATENATE(INDEX(missionsDragonRelativeMetrics[Easy Mission Reward],MATCH($E$38,missionsDragonRelativeMetrics[Dragon],0)), " coins")</f>
        <v>15000 coins</v>
      </c>
      <c r="J112" s="111" t="str">
        <f t="shared" si="9"/>
        <v>344 to 387</v>
      </c>
      <c r="K112" s="264" t="str">
        <f>CONCATENATE(INDEX(missionsDragonRelativeMetrics[Medium Mission Reward],MATCH($E$38,missionsDragonRelativeMetrics[Dragon],0)), " coins")</f>
        <v>22500 coins</v>
      </c>
      <c r="L112" s="111" t="str">
        <f t="shared" si="10"/>
        <v>348 to 392</v>
      </c>
      <c r="M112" s="264" t="str">
        <f>CONCATENATE(INDEX(missionsDragonRelativeMetrics[Hard Mission Reward],MATCH($E$38,missionsDragonRelativeMetrics[Dragon],0)), " coins")</f>
        <v>45000 coins</v>
      </c>
      <c r="N112" s="264">
        <v>6</v>
      </c>
      <c r="O112" s="347">
        <v>6</v>
      </c>
      <c r="P112" s="264" t="s">
        <v>402</v>
      </c>
      <c r="Q112" s="349" t="b">
        <f t="shared" ref="Q112:Q128" si="11">IF(P112="",NOT(OR(N112&gt;$D$40,O112&lt;$D$40)),AND(NOT(OR(N112&gt;$D$40,O112&lt;$D$40)),P112=$E$38))</f>
        <v>1</v>
      </c>
    </row>
    <row r="113" spans="2:17">
      <c r="B113" s="102">
        <v>66</v>
      </c>
      <c r="C113" s="264" t="s">
        <v>528</v>
      </c>
      <c r="D113" s="264" t="s">
        <v>156</v>
      </c>
      <c r="E113" s="264" t="s">
        <v>149</v>
      </c>
      <c r="F113" s="109">
        <v>4</v>
      </c>
      <c r="G113" s="109">
        <v>6</v>
      </c>
      <c r="H113" s="111" t="str">
        <f t="shared" si="8"/>
        <v>34 to 51</v>
      </c>
      <c r="I113" s="264" t="str">
        <f>CONCATENATE(INDEX(missionsDragonRelativeMetrics[Easy Mission Reward],MATCH($E$38,missionsDragonRelativeMetrics[Dragon],0)), " coins")</f>
        <v>15000 coins</v>
      </c>
      <c r="J113" s="111" t="str">
        <f t="shared" si="9"/>
        <v>34 to 52</v>
      </c>
      <c r="K113" s="264" t="str">
        <f>CONCATENATE(INDEX(missionsDragonRelativeMetrics[Medium Mission Reward],MATCH($E$38,missionsDragonRelativeMetrics[Dragon],0)), " coins")</f>
        <v>22500 coins</v>
      </c>
      <c r="L113" s="111" t="str">
        <f t="shared" si="10"/>
        <v>35 to 52</v>
      </c>
      <c r="M113" s="264" t="str">
        <f>CONCATENATE(INDEX(missionsDragonRelativeMetrics[Hard Mission Reward],MATCH($E$38,missionsDragonRelativeMetrics[Dragon],0)), " coins")</f>
        <v>45000 coins</v>
      </c>
      <c r="N113" s="264">
        <v>6</v>
      </c>
      <c r="O113" s="347">
        <v>6</v>
      </c>
      <c r="P113" s="264" t="s">
        <v>405</v>
      </c>
      <c r="Q113" s="349" t="b">
        <f t="shared" si="11"/>
        <v>0</v>
      </c>
    </row>
    <row r="114" spans="2:17">
      <c r="B114" s="102">
        <v>67</v>
      </c>
      <c r="C114" s="264" t="s">
        <v>529</v>
      </c>
      <c r="D114" s="264" t="s">
        <v>156</v>
      </c>
      <c r="E114" s="264" t="s">
        <v>132</v>
      </c>
      <c r="F114" s="109">
        <v>35</v>
      </c>
      <c r="G114" s="109">
        <v>45</v>
      </c>
      <c r="H114" s="111" t="str">
        <f t="shared" si="8"/>
        <v>299 to 385</v>
      </c>
      <c r="I114" s="264" t="str">
        <f>CONCATENATE(INDEX(missionsDragonRelativeMetrics[Easy Mission Reward],MATCH($E$38,missionsDragonRelativeMetrics[Dragon],0)), " coins")</f>
        <v>15000 coins</v>
      </c>
      <c r="J114" s="111" t="str">
        <f t="shared" si="9"/>
        <v>301 to 387</v>
      </c>
      <c r="K114" s="264" t="str">
        <f>CONCATENATE(INDEX(missionsDragonRelativeMetrics[Medium Mission Reward],MATCH($E$38,missionsDragonRelativeMetrics[Dragon],0)), " coins")</f>
        <v>22500 coins</v>
      </c>
      <c r="L114" s="111" t="str">
        <f t="shared" si="10"/>
        <v>305 to 392</v>
      </c>
      <c r="M114" s="264" t="str">
        <f>CONCATENATE(INDEX(missionsDragonRelativeMetrics[Hard Mission Reward],MATCH($E$38,missionsDragonRelativeMetrics[Dragon],0)), " coins")</f>
        <v>45000 coins</v>
      </c>
      <c r="N114" s="264">
        <v>6</v>
      </c>
      <c r="O114" s="347">
        <v>6</v>
      </c>
      <c r="P114" s="264" t="s">
        <v>403</v>
      </c>
      <c r="Q114" s="349" t="b">
        <f t="shared" si="11"/>
        <v>0</v>
      </c>
    </row>
    <row r="115" spans="2:17">
      <c r="B115" s="102">
        <v>68</v>
      </c>
      <c r="C115" s="264" t="s">
        <v>530</v>
      </c>
      <c r="D115" s="264" t="s">
        <v>156</v>
      </c>
      <c r="E115" s="264" t="s">
        <v>132</v>
      </c>
      <c r="F115" s="109">
        <v>150</v>
      </c>
      <c r="G115" s="109">
        <v>200</v>
      </c>
      <c r="H115" s="111" t="str">
        <f t="shared" si="8"/>
        <v>1283 to 1710</v>
      </c>
      <c r="I115" s="264" t="str">
        <f>CONCATENATE(INDEX(missionsDragonRelativeMetrics[Easy Mission Reward],MATCH($E$38,missionsDragonRelativeMetrics[Dragon],0)), " coins")</f>
        <v>15000 coins</v>
      </c>
      <c r="J115" s="111" t="str">
        <f t="shared" si="9"/>
        <v>1290 to 1720</v>
      </c>
      <c r="K115" s="264" t="str">
        <f>CONCATENATE(INDEX(missionsDragonRelativeMetrics[Medium Mission Reward],MATCH($E$38,missionsDragonRelativeMetrics[Dragon],0)), " coins")</f>
        <v>22500 coins</v>
      </c>
      <c r="L115" s="111" t="str">
        <f t="shared" si="10"/>
        <v>1305 to 1740</v>
      </c>
      <c r="M115" s="264" t="str">
        <f>CONCATENATE(INDEX(missionsDragonRelativeMetrics[Hard Mission Reward],MATCH($E$38,missionsDragonRelativeMetrics[Dragon],0)), " coins")</f>
        <v>45000 coins</v>
      </c>
      <c r="N115" s="264">
        <v>6</v>
      </c>
      <c r="O115" s="347">
        <v>6</v>
      </c>
      <c r="P115" s="264" t="s">
        <v>404</v>
      </c>
      <c r="Q115" s="349" t="b">
        <f t="shared" si="11"/>
        <v>0</v>
      </c>
    </row>
    <row r="116" spans="2:17">
      <c r="B116" s="102">
        <v>69</v>
      </c>
      <c r="C116" s="264" t="s">
        <v>531</v>
      </c>
      <c r="D116" s="264" t="s">
        <v>156</v>
      </c>
      <c r="E116" s="264" t="s">
        <v>132</v>
      </c>
      <c r="F116" s="109">
        <v>150</v>
      </c>
      <c r="G116" s="109">
        <v>200</v>
      </c>
      <c r="H116" s="111" t="str">
        <f t="shared" si="8"/>
        <v>1283 to 1710</v>
      </c>
      <c r="I116" s="264" t="str">
        <f>CONCATENATE(INDEX(missionsDragonRelativeMetrics[Easy Mission Reward],MATCH($E$38,missionsDragonRelativeMetrics[Dragon],0)), " coins")</f>
        <v>15000 coins</v>
      </c>
      <c r="J116" s="111" t="str">
        <f t="shared" si="9"/>
        <v>1290 to 1720</v>
      </c>
      <c r="K116" s="264" t="str">
        <f>CONCATENATE(INDEX(missionsDragonRelativeMetrics[Medium Mission Reward],MATCH($E$38,missionsDragonRelativeMetrics[Dragon],0)), " coins")</f>
        <v>22500 coins</v>
      </c>
      <c r="L116" s="111" t="str">
        <f t="shared" si="10"/>
        <v>1305 to 1740</v>
      </c>
      <c r="M116" s="264" t="str">
        <f>CONCATENATE(INDEX(missionsDragonRelativeMetrics[Hard Mission Reward],MATCH($E$38,missionsDragonRelativeMetrics[Dragon],0)), " coins")</f>
        <v>45000 coins</v>
      </c>
      <c r="N116" s="264">
        <v>6</v>
      </c>
      <c r="O116" s="347">
        <v>6</v>
      </c>
      <c r="P116" s="264" t="s">
        <v>402</v>
      </c>
      <c r="Q116" s="349" t="b">
        <f t="shared" si="11"/>
        <v>1</v>
      </c>
    </row>
    <row r="117" spans="2:17">
      <c r="B117" s="102">
        <v>70</v>
      </c>
      <c r="C117" s="264" t="s">
        <v>528</v>
      </c>
      <c r="D117" s="264" t="s">
        <v>162</v>
      </c>
      <c r="E117" s="264" t="s">
        <v>149</v>
      </c>
      <c r="F117" s="109">
        <v>3</v>
      </c>
      <c r="G117" s="109">
        <v>4</v>
      </c>
      <c r="H117" s="111" t="str">
        <f t="shared" si="8"/>
        <v>26 to 34</v>
      </c>
      <c r="I117" s="264" t="str">
        <f>CONCATENATE(INDEX(missionsDragonRelativeMetrics[Easy Mission Reward],MATCH($E$38,missionsDragonRelativeMetrics[Dragon],0)), " coins")</f>
        <v>15000 coins</v>
      </c>
      <c r="J117" s="111" t="str">
        <f t="shared" si="9"/>
        <v>26 to 34</v>
      </c>
      <c r="K117" s="264" t="str">
        <f>CONCATENATE(INDEX(missionsDragonRelativeMetrics[Medium Mission Reward],MATCH($E$38,missionsDragonRelativeMetrics[Dragon],0)), " coins")</f>
        <v>22500 coins</v>
      </c>
      <c r="L117" s="111" t="str">
        <f t="shared" si="10"/>
        <v>26 to 35</v>
      </c>
      <c r="M117" s="264" t="str">
        <f>CONCATENATE(INDEX(missionsDragonRelativeMetrics[Hard Mission Reward],MATCH($E$38,missionsDragonRelativeMetrics[Dragon],0)), " coins")</f>
        <v>45000 coins</v>
      </c>
      <c r="N117" s="264">
        <v>6</v>
      </c>
      <c r="O117" s="347">
        <v>6</v>
      </c>
      <c r="P117" s="264" t="s">
        <v>405</v>
      </c>
      <c r="Q117" s="349" t="b">
        <f t="shared" si="11"/>
        <v>0</v>
      </c>
    </row>
    <row r="118" spans="2:17">
      <c r="B118" s="102">
        <v>71</v>
      </c>
      <c r="C118" s="264" t="s">
        <v>529</v>
      </c>
      <c r="D118" s="264" t="s">
        <v>162</v>
      </c>
      <c r="E118" s="264" t="s">
        <v>132</v>
      </c>
      <c r="F118" s="109">
        <v>12</v>
      </c>
      <c r="G118" s="109">
        <v>15</v>
      </c>
      <c r="H118" s="111" t="str">
        <f t="shared" si="8"/>
        <v>103 to 128</v>
      </c>
      <c r="I118" s="264" t="str">
        <f>CONCATENATE(INDEX(missionsDragonRelativeMetrics[Easy Mission Reward],MATCH($E$38,missionsDragonRelativeMetrics[Dragon],0)), " coins")</f>
        <v>15000 coins</v>
      </c>
      <c r="J118" s="111" t="str">
        <f t="shared" si="9"/>
        <v>103 to 129</v>
      </c>
      <c r="K118" s="264" t="str">
        <f>CONCATENATE(INDEX(missionsDragonRelativeMetrics[Medium Mission Reward],MATCH($E$38,missionsDragonRelativeMetrics[Dragon],0)), " coins")</f>
        <v>22500 coins</v>
      </c>
      <c r="L118" s="111" t="str">
        <f t="shared" si="10"/>
        <v>104 to 131</v>
      </c>
      <c r="M118" s="264" t="str">
        <f>CONCATENATE(INDEX(missionsDragonRelativeMetrics[Hard Mission Reward],MATCH($E$38,missionsDragonRelativeMetrics[Dragon],0)), " coins")</f>
        <v>45000 coins</v>
      </c>
      <c r="N118" s="264">
        <v>6</v>
      </c>
      <c r="O118" s="347">
        <v>6</v>
      </c>
      <c r="P118" s="264" t="s">
        <v>403</v>
      </c>
      <c r="Q118" s="349" t="b">
        <f t="shared" si="11"/>
        <v>0</v>
      </c>
    </row>
    <row r="119" spans="2:17">
      <c r="B119" s="102">
        <v>72</v>
      </c>
      <c r="C119" s="264" t="s">
        <v>530</v>
      </c>
      <c r="D119" s="264" t="s">
        <v>162</v>
      </c>
      <c r="E119" s="264" t="s">
        <v>132</v>
      </c>
      <c r="F119" s="109">
        <v>12</v>
      </c>
      <c r="G119" s="109">
        <v>15</v>
      </c>
      <c r="H119" s="111" t="str">
        <f t="shared" si="8"/>
        <v>103 to 128</v>
      </c>
      <c r="I119" s="264" t="str">
        <f>CONCATENATE(INDEX(missionsDragonRelativeMetrics[Easy Mission Reward],MATCH($E$38,missionsDragonRelativeMetrics[Dragon],0)), " coins")</f>
        <v>15000 coins</v>
      </c>
      <c r="J119" s="111" t="str">
        <f t="shared" si="9"/>
        <v>103 to 129</v>
      </c>
      <c r="K119" s="264" t="str">
        <f>CONCATENATE(INDEX(missionsDragonRelativeMetrics[Medium Mission Reward],MATCH($E$38,missionsDragonRelativeMetrics[Dragon],0)), " coins")</f>
        <v>22500 coins</v>
      </c>
      <c r="L119" s="111" t="str">
        <f t="shared" si="10"/>
        <v>104 to 131</v>
      </c>
      <c r="M119" s="264" t="str">
        <f>CONCATENATE(INDEX(missionsDragonRelativeMetrics[Hard Mission Reward],MATCH($E$38,missionsDragonRelativeMetrics[Dragon],0)), " coins")</f>
        <v>45000 coins</v>
      </c>
      <c r="N119" s="264">
        <v>6</v>
      </c>
      <c r="O119" s="347">
        <v>6</v>
      </c>
      <c r="P119" s="264" t="s">
        <v>404</v>
      </c>
      <c r="Q119" s="349" t="b">
        <f t="shared" si="11"/>
        <v>0</v>
      </c>
    </row>
    <row r="120" spans="2:17">
      <c r="B120" s="102">
        <v>73</v>
      </c>
      <c r="C120" s="264" t="s">
        <v>531</v>
      </c>
      <c r="D120" s="264" t="s">
        <v>162</v>
      </c>
      <c r="E120" s="264" t="s">
        <v>132</v>
      </c>
      <c r="F120" s="109">
        <v>12</v>
      </c>
      <c r="G120" s="109">
        <v>15</v>
      </c>
      <c r="H120" s="111" t="str">
        <f t="shared" si="8"/>
        <v>103 to 128</v>
      </c>
      <c r="I120" s="264" t="str">
        <f>CONCATENATE(INDEX(missionsDragonRelativeMetrics[Easy Mission Reward],MATCH($E$38,missionsDragonRelativeMetrics[Dragon],0)), " coins")</f>
        <v>15000 coins</v>
      </c>
      <c r="J120" s="111" t="str">
        <f t="shared" si="9"/>
        <v>103 to 129</v>
      </c>
      <c r="K120" s="264" t="str">
        <f>CONCATENATE(INDEX(missionsDragonRelativeMetrics[Medium Mission Reward],MATCH($E$38,missionsDragonRelativeMetrics[Dragon],0)), " coins")</f>
        <v>22500 coins</v>
      </c>
      <c r="L120" s="111" t="str">
        <f t="shared" si="10"/>
        <v>104 to 131</v>
      </c>
      <c r="M120" s="264" t="str">
        <f>CONCATENATE(INDEX(missionsDragonRelativeMetrics[Hard Mission Reward],MATCH($E$38,missionsDragonRelativeMetrics[Dragon],0)), " coins")</f>
        <v>45000 coins</v>
      </c>
      <c r="N120" s="264">
        <v>6</v>
      </c>
      <c r="O120" s="347">
        <v>6</v>
      </c>
      <c r="P120" s="264" t="s">
        <v>402</v>
      </c>
      <c r="Q120" s="349" t="b">
        <f t="shared" si="11"/>
        <v>1</v>
      </c>
    </row>
    <row r="121" spans="2:17">
      <c r="B121" s="102">
        <v>74</v>
      </c>
      <c r="C121" s="264" t="s">
        <v>528</v>
      </c>
      <c r="D121" s="264" t="s">
        <v>498</v>
      </c>
      <c r="E121" s="264" t="s">
        <v>149</v>
      </c>
      <c r="F121" s="109">
        <v>4</v>
      </c>
      <c r="G121" s="109">
        <v>6</v>
      </c>
      <c r="H121" s="111" t="str">
        <f t="shared" si="8"/>
        <v>34 to 51</v>
      </c>
      <c r="I121" s="264" t="str">
        <f>CONCATENATE(INDEX(missionsDragonRelativeMetrics[Easy Mission Reward],MATCH($E$38,missionsDragonRelativeMetrics[Dragon],0)), " coins")</f>
        <v>15000 coins</v>
      </c>
      <c r="J121" s="111" t="str">
        <f t="shared" si="9"/>
        <v>34 to 52</v>
      </c>
      <c r="K121" s="264" t="str">
        <f>CONCATENATE(INDEX(missionsDragonRelativeMetrics[Medium Mission Reward],MATCH($E$38,missionsDragonRelativeMetrics[Dragon],0)), " coins")</f>
        <v>22500 coins</v>
      </c>
      <c r="L121" s="111" t="str">
        <f t="shared" si="10"/>
        <v>35 to 52</v>
      </c>
      <c r="M121" s="264" t="str">
        <f>CONCATENATE(INDEX(missionsDragonRelativeMetrics[Hard Mission Reward],MATCH($E$38,missionsDragonRelativeMetrics[Dragon],0)), " coins")</f>
        <v>45000 coins</v>
      </c>
      <c r="N121" s="264">
        <v>6</v>
      </c>
      <c r="O121" s="347">
        <v>6</v>
      </c>
      <c r="P121" s="264" t="s">
        <v>405</v>
      </c>
      <c r="Q121" s="349" t="b">
        <f t="shared" si="11"/>
        <v>0</v>
      </c>
    </row>
    <row r="122" spans="2:17">
      <c r="B122" s="102">
        <v>75</v>
      </c>
      <c r="C122" s="264" t="s">
        <v>529</v>
      </c>
      <c r="D122" s="264" t="s">
        <v>498</v>
      </c>
      <c r="E122" s="264" t="s">
        <v>132</v>
      </c>
      <c r="F122" s="109">
        <v>25</v>
      </c>
      <c r="G122" s="109">
        <v>30</v>
      </c>
      <c r="H122" s="111" t="str">
        <f t="shared" si="8"/>
        <v>214 to 257</v>
      </c>
      <c r="I122" s="264" t="str">
        <f>CONCATENATE(INDEX(missionsDragonRelativeMetrics[Easy Mission Reward],MATCH($E$38,missionsDragonRelativeMetrics[Dragon],0)), " coins")</f>
        <v>15000 coins</v>
      </c>
      <c r="J122" s="111" t="str">
        <f t="shared" si="9"/>
        <v>215 to 258</v>
      </c>
      <c r="K122" s="264" t="str">
        <f>CONCATENATE(INDEX(missionsDragonRelativeMetrics[Medium Mission Reward],MATCH($E$38,missionsDragonRelativeMetrics[Dragon],0)), " coins")</f>
        <v>22500 coins</v>
      </c>
      <c r="L122" s="111" t="str">
        <f t="shared" si="10"/>
        <v>218 to 261</v>
      </c>
      <c r="M122" s="264" t="str">
        <f>CONCATENATE(INDEX(missionsDragonRelativeMetrics[Hard Mission Reward],MATCH($E$38,missionsDragonRelativeMetrics[Dragon],0)), " coins")</f>
        <v>45000 coins</v>
      </c>
      <c r="N122" s="264">
        <v>6</v>
      </c>
      <c r="O122" s="347">
        <v>6</v>
      </c>
      <c r="P122" s="264" t="s">
        <v>403</v>
      </c>
      <c r="Q122" s="349" t="b">
        <f t="shared" si="11"/>
        <v>0</v>
      </c>
    </row>
    <row r="123" spans="2:17">
      <c r="B123" s="102">
        <v>76</v>
      </c>
      <c r="C123" s="264" t="s">
        <v>530</v>
      </c>
      <c r="D123" s="264" t="s">
        <v>498</v>
      </c>
      <c r="E123" s="264" t="s">
        <v>132</v>
      </c>
      <c r="F123" s="109">
        <v>25</v>
      </c>
      <c r="G123" s="109">
        <v>30</v>
      </c>
      <c r="H123" s="111" t="str">
        <f t="shared" si="8"/>
        <v>214 to 257</v>
      </c>
      <c r="I123" s="264" t="str">
        <f>CONCATENATE(INDEX(missionsDragonRelativeMetrics[Easy Mission Reward],MATCH($E$38,missionsDragonRelativeMetrics[Dragon],0)), " coins")</f>
        <v>15000 coins</v>
      </c>
      <c r="J123" s="111" t="str">
        <f t="shared" si="9"/>
        <v>215 to 258</v>
      </c>
      <c r="K123" s="264" t="str">
        <f>CONCATENATE(INDEX(missionsDragonRelativeMetrics[Medium Mission Reward],MATCH($E$38,missionsDragonRelativeMetrics[Dragon],0)), " coins")</f>
        <v>22500 coins</v>
      </c>
      <c r="L123" s="111" t="str">
        <f t="shared" si="10"/>
        <v>218 to 261</v>
      </c>
      <c r="M123" s="264" t="str">
        <f>CONCATENATE(INDEX(missionsDragonRelativeMetrics[Hard Mission Reward],MATCH($E$38,missionsDragonRelativeMetrics[Dragon],0)), " coins")</f>
        <v>45000 coins</v>
      </c>
      <c r="N123" s="264">
        <v>6</v>
      </c>
      <c r="O123" s="347">
        <v>6</v>
      </c>
      <c r="P123" s="264" t="s">
        <v>404</v>
      </c>
      <c r="Q123" s="349" t="b">
        <f t="shared" si="11"/>
        <v>0</v>
      </c>
    </row>
    <row r="124" spans="2:17">
      <c r="B124" s="102">
        <v>77</v>
      </c>
      <c r="C124" s="264" t="s">
        <v>531</v>
      </c>
      <c r="D124" s="264" t="s">
        <v>498</v>
      </c>
      <c r="E124" s="264" t="s">
        <v>132</v>
      </c>
      <c r="F124" s="109">
        <v>25</v>
      </c>
      <c r="G124" s="109">
        <v>30</v>
      </c>
      <c r="H124" s="111" t="str">
        <f t="shared" si="8"/>
        <v>214 to 257</v>
      </c>
      <c r="I124" s="264" t="str">
        <f>CONCATENATE(INDEX(missionsDragonRelativeMetrics[Easy Mission Reward],MATCH($E$38,missionsDragonRelativeMetrics[Dragon],0)), " coins")</f>
        <v>15000 coins</v>
      </c>
      <c r="J124" s="111" t="str">
        <f t="shared" si="9"/>
        <v>215 to 258</v>
      </c>
      <c r="K124" s="264" t="str">
        <f>CONCATENATE(INDEX(missionsDragonRelativeMetrics[Medium Mission Reward],MATCH($E$38,missionsDragonRelativeMetrics[Dragon],0)), " coins")</f>
        <v>22500 coins</v>
      </c>
      <c r="L124" s="111" t="str">
        <f t="shared" si="10"/>
        <v>218 to 261</v>
      </c>
      <c r="M124" s="264" t="str">
        <f>CONCATENATE(INDEX(missionsDragonRelativeMetrics[Hard Mission Reward],MATCH($E$38,missionsDragonRelativeMetrics[Dragon],0)), " coins")</f>
        <v>45000 coins</v>
      </c>
      <c r="N124" s="264">
        <v>6</v>
      </c>
      <c r="O124" s="347">
        <v>6</v>
      </c>
      <c r="P124" s="264" t="s">
        <v>402</v>
      </c>
      <c r="Q124" s="349" t="b">
        <f t="shared" si="11"/>
        <v>1</v>
      </c>
    </row>
    <row r="125" spans="2:17">
      <c r="B125" s="102">
        <v>78</v>
      </c>
      <c r="C125" s="264" t="s">
        <v>528</v>
      </c>
      <c r="D125" s="264" t="s">
        <v>168</v>
      </c>
      <c r="E125" s="264" t="s">
        <v>149</v>
      </c>
      <c r="F125" s="109">
        <v>3</v>
      </c>
      <c r="G125" s="109">
        <v>4</v>
      </c>
      <c r="H125" s="111" t="str">
        <f t="shared" si="8"/>
        <v>26 to 34</v>
      </c>
      <c r="I125" s="264" t="str">
        <f>CONCATENATE(INDEX(missionsDragonRelativeMetrics[Easy Mission Reward],MATCH($E$38,missionsDragonRelativeMetrics[Dragon],0)), " coins")</f>
        <v>15000 coins</v>
      </c>
      <c r="J125" s="111" t="str">
        <f t="shared" si="9"/>
        <v>26 to 34</v>
      </c>
      <c r="K125" s="264" t="str">
        <f>CONCATENATE(INDEX(missionsDragonRelativeMetrics[Medium Mission Reward],MATCH($E$38,missionsDragonRelativeMetrics[Dragon],0)), " coins")</f>
        <v>22500 coins</v>
      </c>
      <c r="L125" s="111" t="str">
        <f t="shared" si="10"/>
        <v>26 to 35</v>
      </c>
      <c r="M125" s="264" t="str">
        <f>CONCATENATE(INDEX(missionsDragonRelativeMetrics[Hard Mission Reward],MATCH($E$38,missionsDragonRelativeMetrics[Dragon],0)), " coins")</f>
        <v>45000 coins</v>
      </c>
      <c r="N125" s="264">
        <v>6</v>
      </c>
      <c r="O125" s="347">
        <v>6</v>
      </c>
      <c r="P125" s="264" t="s">
        <v>405</v>
      </c>
      <c r="Q125" s="349" t="b">
        <f t="shared" si="11"/>
        <v>0</v>
      </c>
    </row>
    <row r="126" spans="2:17">
      <c r="B126" s="102">
        <v>79</v>
      </c>
      <c r="C126" s="264" t="s">
        <v>529</v>
      </c>
      <c r="D126" s="264" t="s">
        <v>168</v>
      </c>
      <c r="E126" s="264" t="s">
        <v>149</v>
      </c>
      <c r="F126" s="109">
        <v>15</v>
      </c>
      <c r="G126" s="109">
        <v>20</v>
      </c>
      <c r="H126" s="111" t="str">
        <f t="shared" si="8"/>
        <v>128 to 171</v>
      </c>
      <c r="I126" s="264" t="str">
        <f>CONCATENATE(INDEX(missionsDragonRelativeMetrics[Easy Mission Reward],MATCH($E$38,missionsDragonRelativeMetrics[Dragon],0)), " coins")</f>
        <v>15000 coins</v>
      </c>
      <c r="J126" s="111" t="str">
        <f t="shared" si="9"/>
        <v>129 to 172</v>
      </c>
      <c r="K126" s="264" t="str">
        <f>CONCATENATE(INDEX(missionsDragonRelativeMetrics[Medium Mission Reward],MATCH($E$38,missionsDragonRelativeMetrics[Dragon],0)), " coins")</f>
        <v>22500 coins</v>
      </c>
      <c r="L126" s="111" t="str">
        <f t="shared" si="10"/>
        <v>131 to 174</v>
      </c>
      <c r="M126" s="264" t="str">
        <f>CONCATENATE(INDEX(missionsDragonRelativeMetrics[Hard Mission Reward],MATCH($E$38,missionsDragonRelativeMetrics[Dragon],0)), " coins")</f>
        <v>45000 coins</v>
      </c>
      <c r="N126" s="264">
        <v>6</v>
      </c>
      <c r="O126" s="347">
        <v>6</v>
      </c>
      <c r="P126" s="264" t="s">
        <v>403</v>
      </c>
      <c r="Q126" s="349" t="b">
        <f t="shared" si="11"/>
        <v>0</v>
      </c>
    </row>
    <row r="127" spans="2:17">
      <c r="B127" s="102">
        <v>80</v>
      </c>
      <c r="C127" s="264" t="s">
        <v>530</v>
      </c>
      <c r="D127" s="264" t="s">
        <v>168</v>
      </c>
      <c r="E127" s="264" t="s">
        <v>149</v>
      </c>
      <c r="F127" s="109">
        <v>15</v>
      </c>
      <c r="G127" s="109">
        <v>20</v>
      </c>
      <c r="H127" s="111" t="str">
        <f t="shared" si="8"/>
        <v>128 to 171</v>
      </c>
      <c r="I127" s="264" t="str">
        <f>CONCATENATE(INDEX(missionsDragonRelativeMetrics[Easy Mission Reward],MATCH($E$38,missionsDragonRelativeMetrics[Dragon],0)), " coins")</f>
        <v>15000 coins</v>
      </c>
      <c r="J127" s="111" t="str">
        <f t="shared" si="9"/>
        <v>129 to 172</v>
      </c>
      <c r="K127" s="264" t="str">
        <f>CONCATENATE(INDEX(missionsDragonRelativeMetrics[Medium Mission Reward],MATCH($E$38,missionsDragonRelativeMetrics[Dragon],0)), " coins")</f>
        <v>22500 coins</v>
      </c>
      <c r="L127" s="111" t="str">
        <f t="shared" si="10"/>
        <v>131 to 174</v>
      </c>
      <c r="M127" s="264" t="str">
        <f>CONCATENATE(INDEX(missionsDragonRelativeMetrics[Hard Mission Reward],MATCH($E$38,missionsDragonRelativeMetrics[Dragon],0)), " coins")</f>
        <v>45000 coins</v>
      </c>
      <c r="N127" s="264">
        <v>6</v>
      </c>
      <c r="O127" s="347">
        <v>6</v>
      </c>
      <c r="P127" s="264" t="s">
        <v>404</v>
      </c>
      <c r="Q127" s="349" t="b">
        <f t="shared" si="11"/>
        <v>0</v>
      </c>
    </row>
    <row r="128" spans="2:17">
      <c r="B128" s="102">
        <v>81</v>
      </c>
      <c r="C128" s="264" t="s">
        <v>531</v>
      </c>
      <c r="D128" s="264" t="s">
        <v>168</v>
      </c>
      <c r="E128" s="264" t="s">
        <v>149</v>
      </c>
      <c r="F128" s="109">
        <v>15</v>
      </c>
      <c r="G128" s="109">
        <v>20</v>
      </c>
      <c r="H128" s="111" t="str">
        <f t="shared" si="8"/>
        <v>128 to 171</v>
      </c>
      <c r="I128" s="264" t="str">
        <f>CONCATENATE(INDEX(missionsDragonRelativeMetrics[Easy Mission Reward],MATCH($E$38,missionsDragonRelativeMetrics[Dragon],0)), " coins")</f>
        <v>15000 coins</v>
      </c>
      <c r="J128" s="111" t="str">
        <f t="shared" si="9"/>
        <v>129 to 172</v>
      </c>
      <c r="K128" s="264" t="str">
        <f>CONCATENATE(INDEX(missionsDragonRelativeMetrics[Medium Mission Reward],MATCH($E$38,missionsDragonRelativeMetrics[Dragon],0)), " coins")</f>
        <v>22500 coins</v>
      </c>
      <c r="L128" s="111" t="str">
        <f t="shared" si="10"/>
        <v>131 to 174</v>
      </c>
      <c r="M128" s="264" t="str">
        <f>CONCATENATE(INDEX(missionsDragonRelativeMetrics[Hard Mission Reward],MATCH($E$38,missionsDragonRelativeMetrics[Dragon],0)), " coins")</f>
        <v>45000 coins</v>
      </c>
      <c r="N128" s="264">
        <v>6</v>
      </c>
      <c r="O128" s="347">
        <v>6</v>
      </c>
      <c r="P128" s="264" t="s">
        <v>402</v>
      </c>
      <c r="Q128" s="349" t="b">
        <f t="shared" si="11"/>
        <v>1</v>
      </c>
    </row>
  </sheetData>
  <mergeCells count="3">
    <mergeCell ref="G46:H46"/>
    <mergeCell ref="I46:J46"/>
    <mergeCell ref="K46:L46"/>
  </mergeCells>
  <dataValidations count="2">
    <dataValidation type="list" allowBlank="1" showInputMessage="1" showErrorMessage="1" sqref="I38 K38">
      <formula1>"TRUE,FALSE"</formula1>
    </dataValidation>
    <dataValidation type="list" allowBlank="1" showInputMessage="1" showErrorMessage="1" sqref="E38">
      <formula1>$A$13:$A$33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7"/>
  <sheetViews>
    <sheetView topLeftCell="R13" workbookViewId="0">
      <selection activeCell="AN51" sqref="AN51"/>
    </sheetView>
  </sheetViews>
  <sheetFormatPr defaultRowHeight="14.5"/>
  <cols>
    <col min="2" max="2" width="15.26953125" customWidth="1"/>
    <col min="3" max="3" width="17.7265625" customWidth="1"/>
    <col min="4" max="4" width="16.1796875" customWidth="1"/>
    <col min="5" max="5" width="21.1796875" customWidth="1"/>
    <col min="6" max="6" width="25.7265625" customWidth="1"/>
    <col min="7" max="7" width="18.1796875" customWidth="1"/>
    <col min="8" max="8" width="16.54296875" customWidth="1"/>
    <col min="9" max="9" width="14.54296875" customWidth="1"/>
    <col min="10" max="10" width="15.453125" customWidth="1"/>
    <col min="11" max="11" width="15.26953125" customWidth="1"/>
    <col min="12" max="12" width="20.453125" customWidth="1"/>
    <col min="13" max="13" width="20.7265625" customWidth="1"/>
    <col min="14" max="14" width="25.54296875" customWidth="1"/>
    <col min="15" max="15" width="21.1796875" customWidth="1"/>
    <col min="16" max="16" width="19.81640625" customWidth="1"/>
    <col min="17" max="17" width="25" customWidth="1"/>
    <col min="18" max="18" width="25.453125" customWidth="1"/>
    <col min="19" max="19" width="11.453125" customWidth="1"/>
    <col min="20" max="20" width="14.1796875" customWidth="1"/>
    <col min="21" max="21" width="14" customWidth="1"/>
    <col min="22" max="22" width="16.54296875" customWidth="1"/>
    <col min="23" max="23" width="15.7265625" customWidth="1"/>
    <col min="24" max="24" width="17" customWidth="1"/>
    <col min="25" max="26" width="17.7265625" customWidth="1"/>
    <col min="27" max="27" width="21.26953125" customWidth="1"/>
    <col min="28" max="28" width="20.54296875" customWidth="1"/>
    <col min="29" max="29" width="20" customWidth="1"/>
    <col min="30" max="30" width="24.1796875" customWidth="1"/>
    <col min="31" max="31" width="20" customWidth="1"/>
    <col min="32" max="32" width="24.54296875" customWidth="1"/>
    <col min="33" max="33" width="22" customWidth="1"/>
    <col min="34" max="34" width="23.54296875" customWidth="1"/>
    <col min="35" max="35" width="21.81640625" customWidth="1"/>
    <col min="36" max="36" width="25.1796875" customWidth="1"/>
    <col min="37" max="37" width="18" customWidth="1"/>
    <col min="38" max="38" width="17.1796875" customWidth="1"/>
  </cols>
  <sheetData>
    <row r="1" spans="2:38">
      <c r="B1" s="247" t="s">
        <v>455</v>
      </c>
      <c r="C1" s="289"/>
      <c r="D1" s="289"/>
      <c r="E1" s="289"/>
      <c r="F1" s="289"/>
      <c r="G1" s="289"/>
      <c r="H1" s="249"/>
    </row>
    <row r="2" spans="2:38">
      <c r="B2" s="247"/>
      <c r="C2" s="289"/>
      <c r="D2" s="289"/>
      <c r="E2" s="289"/>
      <c r="F2" s="289"/>
      <c r="G2" s="289"/>
      <c r="H2" s="249"/>
    </row>
    <row r="3" spans="2:38">
      <c r="B3" s="247" t="s">
        <v>443</v>
      </c>
      <c r="C3" s="289"/>
      <c r="D3" s="289"/>
      <c r="E3" s="289"/>
      <c r="F3" s="289"/>
      <c r="G3" s="289"/>
      <c r="H3" s="249"/>
    </row>
    <row r="4" spans="2:38">
      <c r="B4" s="247" t="s">
        <v>457</v>
      </c>
      <c r="C4" s="289"/>
      <c r="D4" s="289"/>
      <c r="E4" s="289"/>
      <c r="F4" s="289"/>
      <c r="G4" s="289"/>
      <c r="H4" s="249"/>
    </row>
    <row r="5" spans="2:38">
      <c r="B5" s="250"/>
      <c r="C5" s="251"/>
      <c r="D5" s="251"/>
      <c r="E5" s="251"/>
      <c r="F5" s="251"/>
      <c r="G5" s="251"/>
      <c r="H5" s="252"/>
    </row>
    <row r="7" spans="2:38">
      <c r="F7" s="281" t="s">
        <v>440</v>
      </c>
    </row>
    <row r="8" spans="2:38">
      <c r="F8" s="104" t="s">
        <v>441</v>
      </c>
    </row>
    <row r="9" spans="2:38">
      <c r="F9" s="288" t="s">
        <v>442</v>
      </c>
    </row>
    <row r="10" spans="2:38">
      <c r="F10" s="326" t="s">
        <v>483</v>
      </c>
    </row>
    <row r="11" spans="2:38">
      <c r="Z11" s="120"/>
    </row>
    <row r="12" spans="2:38">
      <c r="B12" s="495" t="s">
        <v>424</v>
      </c>
      <c r="C12" s="496"/>
      <c r="D12" s="497"/>
      <c r="J12" s="492" t="s">
        <v>479</v>
      </c>
      <c r="K12" s="493"/>
      <c r="L12" s="492" t="s">
        <v>480</v>
      </c>
      <c r="M12" s="493"/>
      <c r="N12" s="264"/>
      <c r="O12" s="264" t="s">
        <v>487</v>
      </c>
      <c r="P12" s="264"/>
      <c r="Q12" s="269"/>
      <c r="T12" s="498" t="s">
        <v>438</v>
      </c>
      <c r="U12" s="499"/>
      <c r="V12" s="500"/>
      <c r="W12" s="492" t="s">
        <v>444</v>
      </c>
      <c r="X12" s="493"/>
      <c r="Y12" s="492" t="s">
        <v>446</v>
      </c>
      <c r="Z12" s="493"/>
      <c r="AA12" s="492" t="s">
        <v>449</v>
      </c>
      <c r="AB12" s="493"/>
      <c r="AD12" s="492" t="s">
        <v>444</v>
      </c>
      <c r="AE12" s="493"/>
      <c r="AF12" s="492" t="s">
        <v>446</v>
      </c>
      <c r="AG12" s="493"/>
      <c r="AH12" s="492" t="s">
        <v>449</v>
      </c>
      <c r="AI12" s="493"/>
      <c r="AK12" s="492" t="s">
        <v>486</v>
      </c>
      <c r="AL12" s="493"/>
    </row>
    <row r="13" spans="2:38">
      <c r="B13" s="272" t="s">
        <v>410</v>
      </c>
      <c r="C13" s="273" t="s">
        <v>414</v>
      </c>
      <c r="D13" s="299" t="s">
        <v>415</v>
      </c>
      <c r="E13" s="302" t="s">
        <v>456</v>
      </c>
      <c r="G13" s="307" t="s">
        <v>416</v>
      </c>
      <c r="H13" s="280" t="s">
        <v>445</v>
      </c>
      <c r="I13" s="321" t="s">
        <v>485</v>
      </c>
      <c r="J13" s="280" t="s">
        <v>453</v>
      </c>
      <c r="K13" s="307" t="s">
        <v>454</v>
      </c>
      <c r="L13" s="331" t="s">
        <v>475</v>
      </c>
      <c r="M13" s="321" t="s">
        <v>476</v>
      </c>
      <c r="N13" s="316" t="s">
        <v>484</v>
      </c>
      <c r="O13" s="280" t="s">
        <v>427</v>
      </c>
      <c r="P13" s="278" t="s">
        <v>426</v>
      </c>
      <c r="Q13" s="278" t="s">
        <v>467</v>
      </c>
      <c r="R13" s="307" t="s">
        <v>466</v>
      </c>
      <c r="S13" s="316" t="s">
        <v>429</v>
      </c>
      <c r="T13" s="280" t="s">
        <v>435</v>
      </c>
      <c r="U13" s="278" t="s">
        <v>436</v>
      </c>
      <c r="V13" s="307" t="s">
        <v>437</v>
      </c>
      <c r="W13" s="280" t="s">
        <v>447</v>
      </c>
      <c r="X13" s="278" t="s">
        <v>448</v>
      </c>
      <c r="Y13" s="278" t="s">
        <v>417</v>
      </c>
      <c r="Z13" s="278" t="s">
        <v>418</v>
      </c>
      <c r="AA13" s="294" t="s">
        <v>450</v>
      </c>
      <c r="AB13" s="294" t="s">
        <v>451</v>
      </c>
      <c r="AC13" s="307" t="s">
        <v>452</v>
      </c>
      <c r="AD13" s="294" t="s">
        <v>468</v>
      </c>
      <c r="AE13" s="294" t="s">
        <v>469</v>
      </c>
      <c r="AF13" s="294" t="s">
        <v>470</v>
      </c>
      <c r="AG13" s="294" t="s">
        <v>471</v>
      </c>
      <c r="AH13" s="294" t="s">
        <v>472</v>
      </c>
      <c r="AI13" s="278" t="s">
        <v>473</v>
      </c>
      <c r="AJ13" s="297" t="s">
        <v>474</v>
      </c>
      <c r="AK13" s="278" t="s">
        <v>481</v>
      </c>
      <c r="AL13" s="278" t="s">
        <v>482</v>
      </c>
    </row>
    <row r="14" spans="2:38">
      <c r="B14" s="263">
        <v>1</v>
      </c>
      <c r="C14" s="283" t="s">
        <v>412</v>
      </c>
      <c r="D14" s="300">
        <v>100</v>
      </c>
      <c r="E14" s="303">
        <v>100</v>
      </c>
      <c r="G14" s="329" t="s">
        <v>92</v>
      </c>
      <c r="H14" s="333">
        <f>Table6[[#This Row],[TOTAL COINS]] +Table6[[#This Row],[COINS IN RUNS PER DAY]]</f>
        <v>29465</v>
      </c>
      <c r="I14" s="322">
        <f>Table6[[#This Row],[TOTAL COINS NEW]] + Table6[[#This Row],[COINS IN RUNS PER DAY]]</f>
        <v>29465</v>
      </c>
      <c r="J14" s="320">
        <f>Table6[[#This Row],[CHESTS COINS]] + Table6[[#This Row],[DAILY COINS]]+Table6[[#This Row],[LEAGUES COINS]]+Table6[[#This Row],[MISSIONS COINS]]</f>
        <v>4465</v>
      </c>
      <c r="K14" s="315">
        <f>Table6[[#This Row],[CHESTS GEMS]]+Table6[[#This Row],[DAILY GEMS]]+Table6[[#This Row],[LEAGUES GEMS]]</f>
        <v>3.9</v>
      </c>
      <c r="L14" s="332">
        <f>Table6[[#This Row],[CHESTS COINS NEW]] +Table6[[#This Row],[DAILY COINS NEW]] +Table6[[#This Row],[LEAGUES COINS NEW]] +Table6[[#This Row],[MISSIONS COINS NEW]]</f>
        <v>4465</v>
      </c>
      <c r="M14" s="322">
        <f>Table6[[#This Row],[CHESTS GEMS NEW]] +Table6[[#This Row],[DAILY GEMS NEW]] +Table6[[#This Row],[LEAGUES GEMS NEW]]</f>
        <v>3.9</v>
      </c>
      <c r="N14" s="327">
        <f>Table6[[#This Row],[COINS PER RUN]] *Table6[[#This Row],[RUNS PER DAY]]</f>
        <v>25000</v>
      </c>
      <c r="O14" s="313">
        <v>2</v>
      </c>
      <c r="P14" s="313">
        <v>2</v>
      </c>
      <c r="Q14" s="270">
        <v>2</v>
      </c>
      <c r="R14" s="311">
        <v>2</v>
      </c>
      <c r="S14" s="317">
        <v>1</v>
      </c>
      <c r="T14" s="337">
        <v>1.1000000000000001</v>
      </c>
      <c r="U14" s="325">
        <v>1.06</v>
      </c>
      <c r="V14" s="335">
        <v>1.03</v>
      </c>
      <c r="W14" s="295">
        <f>Table6[[#This Row],[CHEST REW. MOD.]]*($D$14+$D$15+$D$16)</f>
        <v>900</v>
      </c>
      <c r="X14" s="291">
        <f t="shared" ref="X14:X34" si="0">$D$17+$D$18</f>
        <v>3</v>
      </c>
      <c r="Y14" s="291">
        <f>ROUND((Table6[[#This Row],[DAILY REW. MOD.]]*($D$24+$D$26+$D$28))/7,0)</f>
        <v>500</v>
      </c>
      <c r="Z14" s="291">
        <f t="shared" ref="Z14:Z34" si="1">ROUND(($D$25+$D$27+$D$29)/7,1)</f>
        <v>0.9</v>
      </c>
      <c r="AA14" s="354">
        <f>ROUND((INDEX(Table12[AVG COINS],MATCH(Table6[[#This Row],[LEAGUE]],Table12[LEAGUE],0))) /$C$38,0)</f>
        <v>753</v>
      </c>
      <c r="AB14" s="354">
        <f>ROUND((INDEX(Table12[AVG GEMS],MATCH(Table6[[#This Row],[LEAGUE]],Table12[LEAGUE],0))) /$C$37,2)</f>
        <v>0</v>
      </c>
      <c r="AC1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2312</v>
      </c>
      <c r="AD14" s="296">
        <f>Table6[[#This Row],[CHEST REW. MOD. NEW]]*($D$14+$D$15+$D$16)</f>
        <v>900</v>
      </c>
      <c r="AE14" s="296">
        <f>$E$17+$E$18</f>
        <v>3</v>
      </c>
      <c r="AF14" s="296">
        <f>ROUND((Table6[[#This Row],[DAILY REW. MOD. NEW]]*($E$24+$E$26+$E$28))/7,0)</f>
        <v>500</v>
      </c>
      <c r="AG14" s="296">
        <f>ROUND(($E$25+$E$27+$E$29)/7,1)</f>
        <v>0.9</v>
      </c>
      <c r="AH14" s="296">
        <f>ROUND((INDEX(Table12[AVG COINS NEW],MATCH(Table6[[#This Row],[LEAGUE]],Table12[LEAGUE],0))) /$C$38,0)</f>
        <v>753</v>
      </c>
      <c r="AI14" s="296">
        <f>ROUND((INDEX(Table12[AVG GEMS NEW],MATCH(Table6[[#This Row],[LEAGUE]],Table12[LEAGUE],0))) / $C$38,2)</f>
        <v>0</v>
      </c>
      <c r="AJ1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2312</v>
      </c>
      <c r="AK14" s="324">
        <v>25000</v>
      </c>
      <c r="AL14" s="325">
        <v>1</v>
      </c>
    </row>
    <row r="15" spans="2:38">
      <c r="B15" s="261">
        <v>2</v>
      </c>
      <c r="C15" s="283" t="s">
        <v>412</v>
      </c>
      <c r="D15" s="301">
        <v>150</v>
      </c>
      <c r="E15" s="304">
        <v>150</v>
      </c>
      <c r="G15" s="328" t="s">
        <v>93</v>
      </c>
      <c r="H15" s="332">
        <f>Table6[[#This Row],[TOTAL COINS]] +Table6[[#This Row],[COINS IN RUNS PER DAY]]</f>
        <v>32734</v>
      </c>
      <c r="I15" s="322">
        <f>Table6[[#This Row],[TOTAL COINS NEW]] + Table6[[#This Row],[COINS IN RUNS PER DAY]]</f>
        <v>32734</v>
      </c>
      <c r="J15" s="320">
        <f>Table6[[#This Row],[CHESTS COINS]] + Table6[[#This Row],[DAILY COINS]]+Table6[[#This Row],[LEAGUES COINS]]+Table6[[#This Row],[MISSIONS COINS]]</f>
        <v>13734</v>
      </c>
      <c r="K15" s="315">
        <f>Table6[[#This Row],[CHESTS GEMS]]+Table6[[#This Row],[DAILY GEMS]]+Table6[[#This Row],[LEAGUES GEMS]]</f>
        <v>3.9</v>
      </c>
      <c r="L15" s="332">
        <f>Table6[[#This Row],[CHESTS COINS NEW]] +Table6[[#This Row],[DAILY COINS NEW]] +Table6[[#This Row],[LEAGUES COINS NEW]] +Table6[[#This Row],[MISSIONS COINS NEW]]</f>
        <v>13734</v>
      </c>
      <c r="M15" s="322">
        <f>Table6[[#This Row],[CHESTS GEMS NEW]] +Table6[[#This Row],[DAILY GEMS NEW]] +Table6[[#This Row],[LEAGUES GEMS NEW]]</f>
        <v>3.9</v>
      </c>
      <c r="N15" s="327">
        <f>Table6[[#This Row],[COINS PER RUN]] *Table6[[#This Row],[RUNS PER DAY]]</f>
        <v>19000</v>
      </c>
      <c r="O15" s="314">
        <v>6</v>
      </c>
      <c r="P15" s="314">
        <v>6</v>
      </c>
      <c r="Q15" s="271">
        <v>6</v>
      </c>
      <c r="R15" s="312">
        <v>6</v>
      </c>
      <c r="S15" s="318">
        <v>2</v>
      </c>
      <c r="T15" s="337">
        <v>1.54</v>
      </c>
      <c r="U15" s="325">
        <v>1.29</v>
      </c>
      <c r="V15" s="336">
        <v>1.1399999999999999</v>
      </c>
      <c r="W15" s="295">
        <f>Table6[[#This Row],[CHEST REW. MOD.]]*($D$14+$D$15+$D$16)</f>
        <v>2700</v>
      </c>
      <c r="X15" s="291">
        <f t="shared" si="0"/>
        <v>3</v>
      </c>
      <c r="Y15" s="291">
        <f>ROUND((Table6[[#This Row],[DAILY REW. MOD.]]*($D$24+$D$26+$D$28))/7,0)</f>
        <v>1500</v>
      </c>
      <c r="Z15" s="291">
        <f t="shared" si="1"/>
        <v>0.9</v>
      </c>
      <c r="AA15" s="354">
        <f>ROUND((INDEX(Table12[AVG COINS],MATCH(Table6[[#This Row],[LEAGUE]],Table12[LEAGUE],0))) /$C$38,0)</f>
        <v>1260</v>
      </c>
      <c r="AB15" s="354">
        <f>ROUND((INDEX(Table12[AVG GEMS],MATCH(Table6[[#This Row],[LEAGUE]],Table12[LEAGUE],0))) /$C$37,2)</f>
        <v>0</v>
      </c>
      <c r="AC1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8274</v>
      </c>
      <c r="AD15" s="296">
        <f>Table6[[#This Row],[CHEST REW. MOD. NEW]]*($D$14+$D$15+$D$16)</f>
        <v>2700</v>
      </c>
      <c r="AE15" s="296">
        <f t="shared" ref="AE15:AE34" si="2">$E$17+$E$18</f>
        <v>3</v>
      </c>
      <c r="AF15" s="296">
        <f>ROUND((Table6[[#This Row],[DAILY REW. MOD. NEW]]*($E$24+$E$26+$E$28))/7,0)</f>
        <v>1500</v>
      </c>
      <c r="AG15" s="296">
        <f t="shared" ref="AG15:AG34" si="3">ROUND(($E$25+$E$27+$E$29)/7,1)</f>
        <v>0.9</v>
      </c>
      <c r="AH15" s="296">
        <f>ROUND((INDEX(Table12[AVG COINS NEW],MATCH(Table6[[#This Row],[LEAGUE]],Table12[LEAGUE],0))) /$C$38,0)</f>
        <v>1260</v>
      </c>
      <c r="AI15" s="296">
        <f>ROUND((INDEX(Table12[AVG GEMS NEW],MATCH(Table6[[#This Row],[LEAGUE]],Table12[LEAGUE],0))) / $C$38,2)</f>
        <v>0</v>
      </c>
      <c r="AJ1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8274</v>
      </c>
      <c r="AK15" s="324">
        <v>19000</v>
      </c>
      <c r="AL15" s="325">
        <v>1</v>
      </c>
    </row>
    <row r="16" spans="2:38">
      <c r="B16" s="261">
        <v>3</v>
      </c>
      <c r="C16" s="283" t="s">
        <v>412</v>
      </c>
      <c r="D16" s="301">
        <v>200</v>
      </c>
      <c r="E16" s="304">
        <v>200</v>
      </c>
      <c r="G16" s="328" t="s">
        <v>94</v>
      </c>
      <c r="H16" s="332">
        <f>Table6[[#This Row],[TOTAL COINS]] +Table6[[#This Row],[COINS IN RUNS PER DAY]]</f>
        <v>49109</v>
      </c>
      <c r="I16" s="322">
        <f>Table6[[#This Row],[TOTAL COINS NEW]] + Table6[[#This Row],[COINS IN RUNS PER DAY]]</f>
        <v>49109</v>
      </c>
      <c r="J16" s="320">
        <f>Table6[[#This Row],[CHESTS COINS]] + Table6[[#This Row],[DAILY COINS]]+Table6[[#This Row],[LEAGUES COINS]]+Table6[[#This Row],[MISSIONS COINS]]</f>
        <v>30109</v>
      </c>
      <c r="K16" s="315">
        <f>Table6[[#This Row],[CHESTS GEMS]]+Table6[[#This Row],[DAILY GEMS]]+Table6[[#This Row],[LEAGUES GEMS]]</f>
        <v>3.9</v>
      </c>
      <c r="L16" s="332">
        <f>Table6[[#This Row],[CHESTS COINS NEW]] +Table6[[#This Row],[DAILY COINS NEW]] +Table6[[#This Row],[LEAGUES COINS NEW]] +Table6[[#This Row],[MISSIONS COINS NEW]]</f>
        <v>30109</v>
      </c>
      <c r="M16" s="322">
        <f>Table6[[#This Row],[CHESTS GEMS NEW]] +Table6[[#This Row],[DAILY GEMS NEW]] +Table6[[#This Row],[LEAGUES GEMS NEW]]</f>
        <v>3.9</v>
      </c>
      <c r="N16" s="327">
        <f>Table6[[#This Row],[COINS PER RUN]] *Table6[[#This Row],[RUNS PER DAY]]</f>
        <v>19000</v>
      </c>
      <c r="O16" s="314">
        <v>12</v>
      </c>
      <c r="P16" s="314">
        <v>10</v>
      </c>
      <c r="Q16" s="271">
        <v>12</v>
      </c>
      <c r="R16" s="312">
        <v>10</v>
      </c>
      <c r="S16" s="318">
        <v>3</v>
      </c>
      <c r="T16" s="337">
        <v>1.86</v>
      </c>
      <c r="U16" s="325">
        <v>1.54</v>
      </c>
      <c r="V16" s="336">
        <v>1.28</v>
      </c>
      <c r="W16" s="295">
        <f>Table6[[#This Row],[CHEST REW. MOD.]]*($D$14+$D$15+$D$16)</f>
        <v>5400</v>
      </c>
      <c r="X16" s="291">
        <f t="shared" si="0"/>
        <v>3</v>
      </c>
      <c r="Y16" s="291">
        <f>ROUND((Table6[[#This Row],[DAILY REW. MOD.]]*($D$24+$D$26+$D$28))/7,0)</f>
        <v>2500</v>
      </c>
      <c r="Z16" s="291">
        <f t="shared" si="1"/>
        <v>0.9</v>
      </c>
      <c r="AA16" s="354">
        <f>ROUND((INDEX(Table12[AVG COINS],MATCH(Table6[[#This Row],[LEAGUE]],Table12[LEAGUE],0))) /$C$38,0)</f>
        <v>2985</v>
      </c>
      <c r="AB16" s="354">
        <f>ROUND((INDEX(Table12[AVG GEMS],MATCH(Table6[[#This Row],[LEAGUE]],Table12[LEAGUE],0))) /$C$37,2)</f>
        <v>0</v>
      </c>
      <c r="AC1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19224</v>
      </c>
      <c r="AD16" s="296">
        <f>Table6[[#This Row],[CHEST REW. MOD. NEW]]*($D$14+$D$15+$D$16)</f>
        <v>5400</v>
      </c>
      <c r="AE16" s="296">
        <f t="shared" si="2"/>
        <v>3</v>
      </c>
      <c r="AF16" s="296">
        <f>ROUND((Table6[[#This Row],[DAILY REW. MOD. NEW]]*($E$24+$E$26+$E$28))/7,0)</f>
        <v>2500</v>
      </c>
      <c r="AG16" s="296">
        <f>ROUND(($E$25+$E$27+$E$29)/7,1)</f>
        <v>0.9</v>
      </c>
      <c r="AH16" s="296">
        <f>ROUND((INDEX(Table12[AVG COINS NEW],MATCH(Table6[[#This Row],[LEAGUE]],Table12[LEAGUE],0))) /$C$38,0)</f>
        <v>2985</v>
      </c>
      <c r="AI16" s="296">
        <f>ROUND((INDEX(Table12[AVG GEMS NEW],MATCH(Table6[[#This Row],[LEAGUE]],Table12[LEAGUE],0))) / $C$38,2)</f>
        <v>0</v>
      </c>
      <c r="AJ1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19224</v>
      </c>
      <c r="AK16" s="324">
        <v>19000</v>
      </c>
      <c r="AL16" s="325">
        <v>1</v>
      </c>
    </row>
    <row r="17" spans="2:38">
      <c r="B17" s="261">
        <v>4</v>
      </c>
      <c r="C17" s="283" t="s">
        <v>413</v>
      </c>
      <c r="D17" s="301">
        <v>1</v>
      </c>
      <c r="E17" s="304">
        <v>1</v>
      </c>
      <c r="G17" s="328" t="s">
        <v>95</v>
      </c>
      <c r="H17" s="332">
        <f>Table6[[#This Row],[TOTAL COINS]] +Table6[[#This Row],[COINS IN RUNS PER DAY]]</f>
        <v>77922</v>
      </c>
      <c r="I17" s="322">
        <f>Table6[[#This Row],[TOTAL COINS NEW]] + Table6[[#This Row],[COINS IN RUNS PER DAY]]</f>
        <v>77922</v>
      </c>
      <c r="J17" s="320">
        <f>Table6[[#This Row],[CHESTS COINS]] + Table6[[#This Row],[DAILY COINS]]+Table6[[#This Row],[LEAGUES COINS]]+Table6[[#This Row],[MISSIONS COINS]]</f>
        <v>44922</v>
      </c>
      <c r="K17" s="315">
        <f>Table6[[#This Row],[CHESTS GEMS]]+Table6[[#This Row],[DAILY GEMS]]+Table6[[#This Row],[LEAGUES GEMS]]</f>
        <v>3.9</v>
      </c>
      <c r="L17" s="332">
        <f>Table6[[#This Row],[CHESTS COINS NEW]] +Table6[[#This Row],[DAILY COINS NEW]] +Table6[[#This Row],[LEAGUES COINS NEW]] +Table6[[#This Row],[MISSIONS COINS NEW]]</f>
        <v>44922</v>
      </c>
      <c r="M17" s="322">
        <f>Table6[[#This Row],[CHESTS GEMS NEW]] +Table6[[#This Row],[DAILY GEMS NEW]] +Table6[[#This Row],[LEAGUES GEMS NEW]]</f>
        <v>3.9</v>
      </c>
      <c r="N17" s="327">
        <f>Table6[[#This Row],[COINS PER RUN]] *Table6[[#This Row],[RUNS PER DAY]]</f>
        <v>33000</v>
      </c>
      <c r="O17" s="314">
        <v>18</v>
      </c>
      <c r="P17" s="314">
        <v>15</v>
      </c>
      <c r="Q17" s="271">
        <v>18</v>
      </c>
      <c r="R17" s="312">
        <v>15</v>
      </c>
      <c r="S17" s="318">
        <v>4</v>
      </c>
      <c r="T17" s="337">
        <v>1.78</v>
      </c>
      <c r="U17" s="325">
        <v>1.53</v>
      </c>
      <c r="V17" s="336">
        <v>1.29</v>
      </c>
      <c r="W17" s="295">
        <f>Table6[[#This Row],[CHEST REW. MOD.]]*($D$14+$D$15+$D$16)</f>
        <v>8100</v>
      </c>
      <c r="X17" s="291">
        <f t="shared" si="0"/>
        <v>3</v>
      </c>
      <c r="Y17" s="291">
        <f>ROUND((Table6[[#This Row],[DAILY REW. MOD.]]*($D$24+$D$26+$D$28))/7,0)</f>
        <v>3750</v>
      </c>
      <c r="Z17" s="291">
        <f t="shared" si="1"/>
        <v>0.9</v>
      </c>
      <c r="AA17" s="354">
        <f>ROUND((INDEX(Table12[AVG COINS],MATCH(Table6[[#This Row],[LEAGUE]],Table12[LEAGUE],0))) /$C$38,0)</f>
        <v>4470</v>
      </c>
      <c r="AB17" s="354">
        <f>ROUND((INDEX(Table12[AVG GEMS],MATCH(Table6[[#This Row],[LEAGUE]],Table12[LEAGUE],0))) /$C$37,2)</f>
        <v>0</v>
      </c>
      <c r="AC1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28602</v>
      </c>
      <c r="AD17" s="296">
        <f>Table6[[#This Row],[CHEST REW. MOD. NEW]]*($D$14+$D$15+$D$16)</f>
        <v>8100</v>
      </c>
      <c r="AE17" s="296">
        <f t="shared" si="2"/>
        <v>3</v>
      </c>
      <c r="AF17" s="296">
        <f>ROUND((Table6[[#This Row],[DAILY REW. MOD. NEW]]*($E$24+$E$26+$E$28))/7,0)</f>
        <v>3750</v>
      </c>
      <c r="AG17" s="296">
        <f t="shared" si="3"/>
        <v>0.9</v>
      </c>
      <c r="AH17" s="296">
        <f>ROUND((INDEX(Table12[AVG COINS NEW],MATCH(Table6[[#This Row],[LEAGUE]],Table12[LEAGUE],0))) /$C$38,0)</f>
        <v>4470</v>
      </c>
      <c r="AI17" s="296">
        <f>ROUND((INDEX(Table12[AVG GEMS NEW],MATCH(Table6[[#This Row],[LEAGUE]],Table12[LEAGUE],0))) / $C$38,2)</f>
        <v>0</v>
      </c>
      <c r="AJ1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28602</v>
      </c>
      <c r="AK17" s="324">
        <v>33000</v>
      </c>
      <c r="AL17" s="325">
        <v>1</v>
      </c>
    </row>
    <row r="18" spans="2:38">
      <c r="B18" s="261">
        <v>5</v>
      </c>
      <c r="C18" s="283" t="s">
        <v>413</v>
      </c>
      <c r="D18" s="301">
        <v>2</v>
      </c>
      <c r="E18" s="304">
        <v>2</v>
      </c>
      <c r="G18" s="328" t="s">
        <v>96</v>
      </c>
      <c r="H18" s="332">
        <f>Table6[[#This Row],[TOTAL COINS]] +Table6[[#This Row],[COINS IN RUNS PER DAY]]</f>
        <v>112111</v>
      </c>
      <c r="I18" s="322">
        <f>Table6[[#This Row],[TOTAL COINS NEW]] + Table6[[#This Row],[COINS IN RUNS PER DAY]]</f>
        <v>112111</v>
      </c>
      <c r="J18" s="320">
        <f>Table6[[#This Row],[CHESTS COINS]] + Table6[[#This Row],[DAILY COINS]]+Table6[[#This Row],[LEAGUES COINS]]+Table6[[#This Row],[MISSIONS COINS]]</f>
        <v>63111</v>
      </c>
      <c r="K18" s="315">
        <f>Table6[[#This Row],[CHESTS GEMS]]+Table6[[#This Row],[DAILY GEMS]]+Table6[[#This Row],[LEAGUES GEMS]]</f>
        <v>3.9</v>
      </c>
      <c r="L18" s="332">
        <f>Table6[[#This Row],[CHESTS COINS NEW]] +Table6[[#This Row],[DAILY COINS NEW]] +Table6[[#This Row],[LEAGUES COINS NEW]] +Table6[[#This Row],[MISSIONS COINS NEW]]</f>
        <v>63111</v>
      </c>
      <c r="M18" s="322">
        <f>Table6[[#This Row],[CHESTS GEMS NEW]] +Table6[[#This Row],[DAILY GEMS NEW]] +Table6[[#This Row],[LEAGUES GEMS NEW]]</f>
        <v>3.9</v>
      </c>
      <c r="N18" s="327">
        <f>Table6[[#This Row],[COINS PER RUN]] *Table6[[#This Row],[RUNS PER DAY]]</f>
        <v>49000</v>
      </c>
      <c r="O18" s="314">
        <v>26</v>
      </c>
      <c r="P18" s="314">
        <v>20</v>
      </c>
      <c r="Q18" s="271">
        <v>26</v>
      </c>
      <c r="R18" s="312">
        <v>20</v>
      </c>
      <c r="S18" s="318">
        <v>5</v>
      </c>
      <c r="T18" s="337">
        <v>1.72</v>
      </c>
      <c r="U18" s="325">
        <v>1.5</v>
      </c>
      <c r="V18" s="336">
        <v>1.27</v>
      </c>
      <c r="W18" s="295">
        <f>Table6[[#This Row],[CHEST REW. MOD.]]*($D$14+$D$15+$D$16)</f>
        <v>11700</v>
      </c>
      <c r="X18" s="291">
        <f t="shared" si="0"/>
        <v>3</v>
      </c>
      <c r="Y18" s="291">
        <f>ROUND((Table6[[#This Row],[DAILY REW. MOD.]]*($D$24+$D$26+$D$28))/7,0)</f>
        <v>5000</v>
      </c>
      <c r="Z18" s="291">
        <f t="shared" si="1"/>
        <v>0.9</v>
      </c>
      <c r="AA18" s="354">
        <f>ROUND((INDEX(Table12[AVG COINS],MATCH(Table6[[#This Row],[LEAGUE]],Table12[LEAGUE],0))) /$C$38,0)</f>
        <v>5955</v>
      </c>
      <c r="AB18" s="354">
        <f>ROUND((INDEX(Table12[AVG GEMS],MATCH(Table6[[#This Row],[LEAGUE]],Table12[LEAGUE],0))) /$C$37,2)</f>
        <v>0</v>
      </c>
      <c r="AC1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40456</v>
      </c>
      <c r="AD18" s="296">
        <f>Table6[[#This Row],[CHEST REW. MOD. NEW]]*($D$14+$D$15+$D$16)</f>
        <v>11700</v>
      </c>
      <c r="AE18" s="296">
        <f t="shared" si="2"/>
        <v>3</v>
      </c>
      <c r="AF18" s="296">
        <f>ROUND((Table6[[#This Row],[DAILY REW. MOD. NEW]]*($E$24+$E$26+$E$28))/7,0)</f>
        <v>5000</v>
      </c>
      <c r="AG18" s="296">
        <f t="shared" si="3"/>
        <v>0.9</v>
      </c>
      <c r="AH18" s="296">
        <f>ROUND((INDEX(Table12[AVG COINS NEW],MATCH(Table6[[#This Row],[LEAGUE]],Table12[LEAGUE],0))) /$C$38,0)</f>
        <v>5955</v>
      </c>
      <c r="AI18" s="296">
        <f>ROUND((INDEX(Table12[AVG GEMS NEW],MATCH(Table6[[#This Row],[LEAGUE]],Table12[LEAGUE],0))) / $C$38,2)</f>
        <v>0</v>
      </c>
      <c r="AJ1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40456</v>
      </c>
      <c r="AK18" s="324">
        <v>49000</v>
      </c>
      <c r="AL18" s="325">
        <v>1</v>
      </c>
    </row>
    <row r="19" spans="2:38">
      <c r="G19" s="328" t="s">
        <v>97</v>
      </c>
      <c r="H19" s="332">
        <f>Table6[[#This Row],[TOTAL COINS]] +Table6[[#This Row],[COINS IN RUNS PER DAY]]</f>
        <v>140210</v>
      </c>
      <c r="I19" s="322">
        <f>Table6[[#This Row],[TOTAL COINS NEW]] + Table6[[#This Row],[COINS IN RUNS PER DAY]]</f>
        <v>140210</v>
      </c>
      <c r="J19" s="320">
        <f>Table6[[#This Row],[CHESTS COINS]] + Table6[[#This Row],[DAILY COINS]]+Table6[[#This Row],[LEAGUES COINS]]+Table6[[#This Row],[MISSIONS COINS]]</f>
        <v>83210</v>
      </c>
      <c r="K19" s="315">
        <f>Table6[[#This Row],[CHESTS GEMS]]+Table6[[#This Row],[DAILY GEMS]]+Table6[[#This Row],[LEAGUES GEMS]]</f>
        <v>3.9</v>
      </c>
      <c r="L19" s="332">
        <f>Table6[[#This Row],[CHESTS COINS NEW]] +Table6[[#This Row],[DAILY COINS NEW]] +Table6[[#This Row],[LEAGUES COINS NEW]] +Table6[[#This Row],[MISSIONS COINS NEW]]</f>
        <v>83210</v>
      </c>
      <c r="M19" s="322">
        <f>Table6[[#This Row],[CHESTS GEMS NEW]] +Table6[[#This Row],[DAILY GEMS NEW]] +Table6[[#This Row],[LEAGUES GEMS NEW]]</f>
        <v>3.9</v>
      </c>
      <c r="N19" s="327">
        <f>Table6[[#This Row],[COINS PER RUN]] *Table6[[#This Row],[RUNS PER DAY]]</f>
        <v>57000</v>
      </c>
      <c r="O19" s="314">
        <v>35</v>
      </c>
      <c r="P19" s="314">
        <v>20</v>
      </c>
      <c r="Q19" s="271">
        <v>35</v>
      </c>
      <c r="R19" s="312">
        <v>20</v>
      </c>
      <c r="S19" s="318">
        <v>6</v>
      </c>
      <c r="T19" s="337">
        <v>1.74</v>
      </c>
      <c r="U19" s="325">
        <v>1.52</v>
      </c>
      <c r="V19" s="336">
        <v>1.28</v>
      </c>
      <c r="W19" s="295">
        <f>Table6[[#This Row],[CHEST REW. MOD.]]*($D$14+$D$15+$D$16)</f>
        <v>15750</v>
      </c>
      <c r="X19" s="291">
        <f t="shared" si="0"/>
        <v>3</v>
      </c>
      <c r="Y19" s="291">
        <f>ROUND((Table6[[#This Row],[DAILY REW. MOD.]]*($D$24+$D$26+$D$28))/7,0)</f>
        <v>5000</v>
      </c>
      <c r="Z19" s="291">
        <f t="shared" si="1"/>
        <v>0.9</v>
      </c>
      <c r="AA19" s="354">
        <f>ROUND((INDEX(Table12[AVG COINS],MATCH(Table6[[#This Row],[LEAGUE]],Table12[LEAGUE],0))) /$C$38,0)</f>
        <v>7440</v>
      </c>
      <c r="AB19" s="354">
        <f>ROUND((INDEX(Table12[AVG GEMS],MATCH(Table6[[#This Row],[LEAGUE]],Table12[LEAGUE],0))) /$C$37,2)</f>
        <v>0</v>
      </c>
      <c r="AC1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55020</v>
      </c>
      <c r="AD19" s="296">
        <f>Table6[[#This Row],[CHEST REW. MOD. NEW]]*($D$14+$D$15+$D$16)</f>
        <v>15750</v>
      </c>
      <c r="AE19" s="296">
        <f t="shared" si="2"/>
        <v>3</v>
      </c>
      <c r="AF19" s="296">
        <f>ROUND((Table6[[#This Row],[DAILY REW. MOD. NEW]]*($E$24+$E$26+$E$28))/7,0)</f>
        <v>5000</v>
      </c>
      <c r="AG19" s="296">
        <f t="shared" si="3"/>
        <v>0.9</v>
      </c>
      <c r="AH19" s="296">
        <f>ROUND((INDEX(Table12[AVG COINS NEW],MATCH(Table6[[#This Row],[LEAGUE]],Table12[LEAGUE],0))) /$C$38,0)</f>
        <v>7440</v>
      </c>
      <c r="AI19" s="296">
        <f>ROUND((INDEX(Table12[AVG GEMS NEW],MATCH(Table6[[#This Row],[LEAGUE]],Table12[LEAGUE],0))) / $C$38,2)</f>
        <v>0</v>
      </c>
      <c r="AJ1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55020</v>
      </c>
      <c r="AK19" s="324">
        <v>57000</v>
      </c>
      <c r="AL19" s="325">
        <v>1</v>
      </c>
    </row>
    <row r="20" spans="2:38">
      <c r="G20" s="328" t="s">
        <v>98</v>
      </c>
      <c r="H20" s="332">
        <f>Table6[[#This Row],[TOTAL COINS]] +Table6[[#This Row],[COINS IN RUNS PER DAY]]</f>
        <v>179470</v>
      </c>
      <c r="I20" s="322">
        <f>Table6[[#This Row],[TOTAL COINS NEW]] + Table6[[#This Row],[COINS IN RUNS PER DAY]]</f>
        <v>179470</v>
      </c>
      <c r="J20" s="320">
        <f>Table6[[#This Row],[CHESTS COINS]] + Table6[[#This Row],[DAILY COINS]]+Table6[[#This Row],[LEAGUES COINS]]+Table6[[#This Row],[MISSIONS COINS]]</f>
        <v>107470</v>
      </c>
      <c r="K20" s="315">
        <f>Table6[[#This Row],[CHESTS GEMS]]+Table6[[#This Row],[DAILY GEMS]]+Table6[[#This Row],[LEAGUES GEMS]]</f>
        <v>3.9</v>
      </c>
      <c r="L20" s="332">
        <f>Table6[[#This Row],[CHESTS COINS NEW]] +Table6[[#This Row],[DAILY COINS NEW]] +Table6[[#This Row],[LEAGUES COINS NEW]] +Table6[[#This Row],[MISSIONS COINS NEW]]</f>
        <v>107470</v>
      </c>
      <c r="M20" s="322">
        <f>Table6[[#This Row],[CHESTS GEMS NEW]] +Table6[[#This Row],[DAILY GEMS NEW]] +Table6[[#This Row],[LEAGUES GEMS NEW]]</f>
        <v>3.9</v>
      </c>
      <c r="N20" s="327">
        <f>Table6[[#This Row],[COINS PER RUN]] *Table6[[#This Row],[RUNS PER DAY]]</f>
        <v>72000</v>
      </c>
      <c r="O20" s="314">
        <v>45</v>
      </c>
      <c r="P20" s="314">
        <v>25</v>
      </c>
      <c r="Q20" s="271">
        <v>45</v>
      </c>
      <c r="R20" s="312">
        <v>25</v>
      </c>
      <c r="S20" s="318">
        <v>7</v>
      </c>
      <c r="T20" s="337">
        <v>1.78</v>
      </c>
      <c r="U20" s="325">
        <v>1.55</v>
      </c>
      <c r="V20" s="336">
        <v>1.3</v>
      </c>
      <c r="W20" s="295">
        <f>Table6[[#This Row],[CHEST REW. MOD.]]*($D$14+$D$15+$D$16)</f>
        <v>20250</v>
      </c>
      <c r="X20" s="291">
        <f t="shared" si="0"/>
        <v>3</v>
      </c>
      <c r="Y20" s="291">
        <f>ROUND((Table6[[#This Row],[DAILY REW. MOD.]]*($D$24+$D$26+$D$28))/7,0)</f>
        <v>6250</v>
      </c>
      <c r="Z20" s="291">
        <f t="shared" si="1"/>
        <v>0.9</v>
      </c>
      <c r="AA20" s="354">
        <f>ROUND((INDEX(Table12[AVG COINS],MATCH(Table6[[#This Row],[LEAGUE]],Table12[LEAGUE],0))) /$C$38,0)</f>
        <v>8925</v>
      </c>
      <c r="AB20" s="354">
        <f>ROUND((INDEX(Table12[AVG GEMS],MATCH(Table6[[#This Row],[LEAGUE]],Table12[LEAGUE],0))) /$C$37,2)</f>
        <v>0</v>
      </c>
      <c r="AC2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72045</v>
      </c>
      <c r="AD20" s="296">
        <f>Table6[[#This Row],[CHEST REW. MOD. NEW]]*($D$14+$D$15+$D$16)</f>
        <v>20250</v>
      </c>
      <c r="AE20" s="296">
        <f t="shared" si="2"/>
        <v>3</v>
      </c>
      <c r="AF20" s="296">
        <f>ROUND((Table6[[#This Row],[DAILY REW. MOD. NEW]]*($E$24+$E$26+$E$28))/7,0)</f>
        <v>6250</v>
      </c>
      <c r="AG20" s="296">
        <f t="shared" si="3"/>
        <v>0.9</v>
      </c>
      <c r="AH20" s="296">
        <f>ROUND((INDEX(Table12[AVG COINS NEW],MATCH(Table6[[#This Row],[LEAGUE]],Table12[LEAGUE],0))) /$C$38,0)</f>
        <v>8925</v>
      </c>
      <c r="AI20" s="296">
        <f>ROUND((INDEX(Table12[AVG GEMS NEW],MATCH(Table6[[#This Row],[LEAGUE]],Table12[LEAGUE],0))) / $C$38,2)</f>
        <v>0</v>
      </c>
      <c r="AJ2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72045</v>
      </c>
      <c r="AK20" s="324">
        <v>72000</v>
      </c>
      <c r="AL20" s="325">
        <v>1</v>
      </c>
    </row>
    <row r="21" spans="2:38">
      <c r="G21" s="328" t="s">
        <v>99</v>
      </c>
      <c r="H21" s="332">
        <f>Table6[[#This Row],[TOTAL COINS]] +Table6[[#This Row],[COINS IN RUNS PER DAY]]</f>
        <v>187954</v>
      </c>
      <c r="I21" s="322">
        <f>Table6[[#This Row],[TOTAL COINS NEW]] + Table6[[#This Row],[COINS IN RUNS PER DAY]]</f>
        <v>187954</v>
      </c>
      <c r="J21" s="320">
        <f>Table6[[#This Row],[CHESTS COINS]] + Table6[[#This Row],[DAILY COINS]]+Table6[[#This Row],[LEAGUES COINS]]+Table6[[#This Row],[MISSIONS COINS]]</f>
        <v>122954</v>
      </c>
      <c r="K21" s="315">
        <f>Table6[[#This Row],[CHESTS GEMS]]+Table6[[#This Row],[DAILY GEMS]]+Table6[[#This Row],[LEAGUES GEMS]]</f>
        <v>3.9299999999999997</v>
      </c>
      <c r="L21" s="332">
        <f>Table6[[#This Row],[CHESTS COINS NEW]] +Table6[[#This Row],[DAILY COINS NEW]] +Table6[[#This Row],[LEAGUES COINS NEW]] +Table6[[#This Row],[MISSIONS COINS NEW]]</f>
        <v>122954</v>
      </c>
      <c r="M21" s="322">
        <f>Table6[[#This Row],[CHESTS GEMS NEW]] +Table6[[#This Row],[DAILY GEMS NEW]] +Table6[[#This Row],[LEAGUES GEMS NEW]]</f>
        <v>4.0999999999999996</v>
      </c>
      <c r="N21" s="327">
        <f>Table6[[#This Row],[COINS PER RUN]] *Table6[[#This Row],[RUNS PER DAY]]</f>
        <v>65000</v>
      </c>
      <c r="O21" s="314">
        <v>56</v>
      </c>
      <c r="P21" s="314">
        <v>30</v>
      </c>
      <c r="Q21" s="271">
        <v>56</v>
      </c>
      <c r="R21" s="312">
        <v>30</v>
      </c>
      <c r="S21" s="318">
        <v>8</v>
      </c>
      <c r="T21" s="337">
        <v>1.5</v>
      </c>
      <c r="U21" s="325">
        <v>1.36</v>
      </c>
      <c r="V21" s="336">
        <v>1.21</v>
      </c>
      <c r="W21" s="295">
        <f>Table6[[#This Row],[CHEST REW. MOD.]]*($D$14+$D$15+$D$16)</f>
        <v>25200</v>
      </c>
      <c r="X21" s="291">
        <f t="shared" si="0"/>
        <v>3</v>
      </c>
      <c r="Y21" s="291">
        <f>ROUND((Table6[[#This Row],[DAILY REW. MOD.]]*($D$24+$D$26+$D$28))/7,0)</f>
        <v>7500</v>
      </c>
      <c r="Z21" s="291">
        <f t="shared" si="1"/>
        <v>0.9</v>
      </c>
      <c r="AA21" s="354">
        <f>ROUND((INDEX(Table12[AVG COINS],MATCH(Table6[[#This Row],[LEAGUE]],Table12[LEAGUE],0))) /$C$38,0)</f>
        <v>9950</v>
      </c>
      <c r="AB21" s="354">
        <f>ROUND((INDEX(Table12[AVG GEMS],MATCH(Table6[[#This Row],[LEAGUE]],Table12[LEAGUE],0))) /$C$37,2)</f>
        <v>0.03</v>
      </c>
      <c r="AC2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80304</v>
      </c>
      <c r="AD21" s="296">
        <f>Table6[[#This Row],[CHEST REW. MOD. NEW]]*($D$14+$D$15+$D$16)</f>
        <v>25200</v>
      </c>
      <c r="AE21" s="296">
        <f t="shared" si="2"/>
        <v>3</v>
      </c>
      <c r="AF21" s="296">
        <f>ROUND((Table6[[#This Row],[DAILY REW. MOD. NEW]]*($E$24+$E$26+$E$28))/7,0)</f>
        <v>7500</v>
      </c>
      <c r="AG21" s="296">
        <f t="shared" si="3"/>
        <v>0.9</v>
      </c>
      <c r="AH21" s="296">
        <f>ROUND((INDEX(Table12[AVG COINS NEW],MATCH(Table6[[#This Row],[LEAGUE]],Table12[LEAGUE],0))) /$C$38,0)</f>
        <v>9950</v>
      </c>
      <c r="AI21" s="296">
        <f>ROUND((INDEX(Table12[AVG GEMS NEW],MATCH(Table6[[#This Row],[LEAGUE]],Table12[LEAGUE],0))) / $C$38,2)</f>
        <v>0.2</v>
      </c>
      <c r="AJ2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80304</v>
      </c>
      <c r="AK21" s="324">
        <v>65000</v>
      </c>
      <c r="AL21" s="325">
        <v>1</v>
      </c>
    </row>
    <row r="22" spans="2:38">
      <c r="B22" s="494" t="s">
        <v>425</v>
      </c>
      <c r="C22" s="494"/>
      <c r="D22" s="494"/>
      <c r="G22" s="328" t="s">
        <v>143</v>
      </c>
      <c r="H22" s="332">
        <f>Table6[[#This Row],[TOTAL COINS]] +Table6[[#This Row],[COINS IN RUNS PER DAY]]</f>
        <v>221829</v>
      </c>
      <c r="I22" s="322">
        <f>Table6[[#This Row],[TOTAL COINS NEW]] + Table6[[#This Row],[COINS IN RUNS PER DAY]]</f>
        <v>221829</v>
      </c>
      <c r="J22" s="320">
        <f>Table6[[#This Row],[CHESTS COINS]] + Table6[[#This Row],[DAILY COINS]]+Table6[[#This Row],[LEAGUES COINS]]+Table6[[#This Row],[MISSIONS COINS]]</f>
        <v>140829</v>
      </c>
      <c r="K22" s="315">
        <f>Table6[[#This Row],[CHESTS GEMS]]+Table6[[#This Row],[DAILY GEMS]]+Table6[[#This Row],[LEAGUES GEMS]]</f>
        <v>3.9299999999999997</v>
      </c>
      <c r="L22" s="332">
        <f>Table6[[#This Row],[CHESTS COINS NEW]] +Table6[[#This Row],[DAILY COINS NEW]] +Table6[[#This Row],[LEAGUES COINS NEW]] +Table6[[#This Row],[MISSIONS COINS NEW]]</f>
        <v>140829</v>
      </c>
      <c r="M22" s="322">
        <f>Table6[[#This Row],[CHESTS GEMS NEW]] +Table6[[#This Row],[DAILY GEMS NEW]] +Table6[[#This Row],[LEAGUES GEMS NEW]]</f>
        <v>4.0999999999999996</v>
      </c>
      <c r="N22" s="327">
        <f>Table6[[#This Row],[COINS PER RUN]] *Table6[[#This Row],[RUNS PER DAY]]</f>
        <v>81000</v>
      </c>
      <c r="O22" s="314">
        <v>62</v>
      </c>
      <c r="P22" s="314">
        <v>30</v>
      </c>
      <c r="Q22" s="271">
        <v>62</v>
      </c>
      <c r="R22" s="312">
        <v>30</v>
      </c>
      <c r="S22" s="318">
        <v>9</v>
      </c>
      <c r="T22" s="337">
        <v>1.63</v>
      </c>
      <c r="U22" s="325">
        <v>1.45</v>
      </c>
      <c r="V22" s="336">
        <v>1.26</v>
      </c>
      <c r="W22" s="295">
        <f>Table6[[#This Row],[CHEST REW. MOD.]]*($D$14+$D$15+$D$16)</f>
        <v>27900</v>
      </c>
      <c r="X22" s="291">
        <f t="shared" si="0"/>
        <v>3</v>
      </c>
      <c r="Y22" s="291">
        <f>ROUND((Table6[[#This Row],[DAILY REW. MOD.]]*($D$24+$D$26+$D$28))/7,0)</f>
        <v>7500</v>
      </c>
      <c r="Z22" s="291">
        <f t="shared" si="1"/>
        <v>0.9</v>
      </c>
      <c r="AA22" s="354">
        <f>ROUND((INDEX(Table12[AVG COINS],MATCH(Table6[[#This Row],[LEAGUE]],Table12[LEAGUE],0))) /$C$38,0)</f>
        <v>11375</v>
      </c>
      <c r="AB22" s="354">
        <f>ROUND((INDEX(Table12[AVG GEMS],MATCH(Table6[[#This Row],[LEAGUE]],Table12[LEAGUE],0))) /$C$37,2)</f>
        <v>0.03</v>
      </c>
      <c r="AC2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94054</v>
      </c>
      <c r="AD22" s="296">
        <f>Table6[[#This Row],[CHEST REW. MOD. NEW]]*($D$14+$D$15+$D$16)</f>
        <v>27900</v>
      </c>
      <c r="AE22" s="296">
        <f t="shared" si="2"/>
        <v>3</v>
      </c>
      <c r="AF22" s="296">
        <f>ROUND((Table6[[#This Row],[DAILY REW. MOD. NEW]]*($E$24+$E$26+$E$28))/7,0)</f>
        <v>7500</v>
      </c>
      <c r="AG22" s="296">
        <f t="shared" si="3"/>
        <v>0.9</v>
      </c>
      <c r="AH22" s="296">
        <f>ROUND((INDEX(Table12[AVG COINS NEW],MATCH(Table6[[#This Row],[LEAGUE]],Table12[LEAGUE],0))) /$C$38,0)</f>
        <v>11375</v>
      </c>
      <c r="AI22" s="296">
        <f>ROUND((INDEX(Table12[AVG GEMS NEW],MATCH(Table6[[#This Row],[LEAGUE]],Table12[LEAGUE],0))) / $C$38,2)</f>
        <v>0.2</v>
      </c>
      <c r="AJ2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94054</v>
      </c>
      <c r="AK22" s="324">
        <v>81000</v>
      </c>
      <c r="AL22" s="325">
        <v>1</v>
      </c>
    </row>
    <row r="23" spans="2:38">
      <c r="B23" s="274" t="s">
        <v>423</v>
      </c>
      <c r="C23" s="274" t="s">
        <v>414</v>
      </c>
      <c r="D23" s="305" t="s">
        <v>415</v>
      </c>
      <c r="E23" s="352" t="s">
        <v>456</v>
      </c>
      <c r="G23" s="328" t="s">
        <v>100</v>
      </c>
      <c r="H23" s="332">
        <f>Table6[[#This Row],[TOTAL COINS]] +Table6[[#This Row],[COINS IN RUNS PER DAY]]</f>
        <v>226760</v>
      </c>
      <c r="I23" s="322">
        <f>Table6[[#This Row],[TOTAL COINS NEW]] + Table6[[#This Row],[COINS IN RUNS PER DAY]]</f>
        <v>226760</v>
      </c>
      <c r="J23" s="320">
        <f>Table6[[#This Row],[CHESTS COINS]] + Table6[[#This Row],[DAILY COINS]]+Table6[[#This Row],[LEAGUES COINS]]+Table6[[#This Row],[MISSIONS COINS]]</f>
        <v>148760</v>
      </c>
      <c r="K23" s="315">
        <f>Table6[[#This Row],[CHESTS GEMS]]+Table6[[#This Row],[DAILY GEMS]]+Table6[[#This Row],[LEAGUES GEMS]]</f>
        <v>3.9299999999999997</v>
      </c>
      <c r="L23" s="332">
        <f>Table6[[#This Row],[CHESTS COINS NEW]] +Table6[[#This Row],[DAILY COINS NEW]] +Table6[[#This Row],[LEAGUES COINS NEW]] +Table6[[#This Row],[MISSIONS COINS NEW]]</f>
        <v>148760</v>
      </c>
      <c r="M23" s="322">
        <f>Table6[[#This Row],[CHESTS GEMS NEW]] +Table6[[#This Row],[DAILY GEMS NEW]] +Table6[[#This Row],[LEAGUES GEMS NEW]]</f>
        <v>4.0999999999999996</v>
      </c>
      <c r="N23" s="327">
        <f>Table6[[#This Row],[COINS PER RUN]] *Table6[[#This Row],[RUNS PER DAY]]</f>
        <v>78000</v>
      </c>
      <c r="O23" s="314">
        <v>65</v>
      </c>
      <c r="P23" s="314">
        <v>35</v>
      </c>
      <c r="Q23" s="271">
        <v>65</v>
      </c>
      <c r="R23" s="312">
        <v>35</v>
      </c>
      <c r="S23" s="318">
        <v>9</v>
      </c>
      <c r="T23" s="337">
        <v>1.66</v>
      </c>
      <c r="U23" s="325">
        <v>1.47</v>
      </c>
      <c r="V23" s="336">
        <v>1.26</v>
      </c>
      <c r="W23" s="295">
        <f>Table6[[#This Row],[CHEST REW. MOD.]]*($D$14+$D$15+$D$16)</f>
        <v>29250</v>
      </c>
      <c r="X23" s="291">
        <f t="shared" si="0"/>
        <v>3</v>
      </c>
      <c r="Y23" s="291">
        <f>ROUND((Table6[[#This Row],[DAILY REW. MOD.]]*($D$24+$D$26+$D$28))/7,0)</f>
        <v>8750</v>
      </c>
      <c r="Z23" s="291">
        <f t="shared" si="1"/>
        <v>0.9</v>
      </c>
      <c r="AA23" s="354">
        <f>ROUND((INDEX(Table12[AVG COINS],MATCH(Table6[[#This Row],[LEAGUE]],Table12[LEAGUE],0))) /$C$38,0)</f>
        <v>11375</v>
      </c>
      <c r="AB23" s="354">
        <f>ROUND((INDEX(Table12[AVG GEMS],MATCH(Table6[[#This Row],[LEAGUE]],Table12[LEAGUE],0))) /$C$37,2)</f>
        <v>0.03</v>
      </c>
      <c r="AC2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99385</v>
      </c>
      <c r="AD23" s="296">
        <f>Table6[[#This Row],[CHEST REW. MOD. NEW]]*($D$14+$D$15+$D$16)</f>
        <v>29250</v>
      </c>
      <c r="AE23" s="296">
        <f t="shared" si="2"/>
        <v>3</v>
      </c>
      <c r="AF23" s="296">
        <f>ROUND((Table6[[#This Row],[DAILY REW. MOD. NEW]]*($E$24+$E$26+$E$28))/7,0)</f>
        <v>8750</v>
      </c>
      <c r="AG23" s="296">
        <f t="shared" si="3"/>
        <v>0.9</v>
      </c>
      <c r="AH23" s="296">
        <f>ROUND((INDEX(Table12[AVG COINS NEW],MATCH(Table6[[#This Row],[LEAGUE]],Table12[LEAGUE],0))) /$C$38,0)</f>
        <v>11375</v>
      </c>
      <c r="AI23" s="296">
        <f>ROUND((INDEX(Table12[AVG GEMS NEW],MATCH(Table6[[#This Row],[LEAGUE]],Table12[LEAGUE],0))) / $C$38,2)</f>
        <v>0.2</v>
      </c>
      <c r="AJ2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99385</v>
      </c>
      <c r="AK23" s="324">
        <v>78000</v>
      </c>
      <c r="AL23" s="325">
        <v>1</v>
      </c>
    </row>
    <row r="24" spans="2:38">
      <c r="B24" s="263">
        <v>1</v>
      </c>
      <c r="C24" s="282" t="s">
        <v>419</v>
      </c>
      <c r="D24" s="301">
        <v>250</v>
      </c>
      <c r="E24" s="356">
        <v>250</v>
      </c>
      <c r="G24" s="328" t="s">
        <v>101</v>
      </c>
      <c r="H24" s="332">
        <f>Table6[[#This Row],[TOTAL COINS]] +Table6[[#This Row],[COINS IN RUNS PER DAY]]</f>
        <v>243035</v>
      </c>
      <c r="I24" s="322">
        <f>Table6[[#This Row],[TOTAL COINS NEW]] + Table6[[#This Row],[COINS IN RUNS PER DAY]]</f>
        <v>243035</v>
      </c>
      <c r="J24" s="320">
        <f>Table6[[#This Row],[CHESTS COINS]] + Table6[[#This Row],[DAILY COINS]]+Table6[[#This Row],[LEAGUES COINS]]+Table6[[#This Row],[MISSIONS COINS]]</f>
        <v>156035</v>
      </c>
      <c r="K24" s="315">
        <f>Table6[[#This Row],[CHESTS GEMS]]+Table6[[#This Row],[DAILY GEMS]]+Table6[[#This Row],[LEAGUES GEMS]]</f>
        <v>3.96</v>
      </c>
      <c r="L24" s="332">
        <f>Table6[[#This Row],[CHESTS COINS NEW]] +Table6[[#This Row],[DAILY COINS NEW]] +Table6[[#This Row],[LEAGUES COINS NEW]] +Table6[[#This Row],[MISSIONS COINS NEW]]</f>
        <v>156035</v>
      </c>
      <c r="M24" s="322">
        <f>Table6[[#This Row],[CHESTS GEMS NEW]] +Table6[[#This Row],[DAILY GEMS NEW]] +Table6[[#This Row],[LEAGUES GEMS NEW]]</f>
        <v>4.3</v>
      </c>
      <c r="N24" s="327">
        <f>Table6[[#This Row],[COINS PER RUN]] *Table6[[#This Row],[RUNS PER DAY]]</f>
        <v>87000</v>
      </c>
      <c r="O24" s="314">
        <v>70</v>
      </c>
      <c r="P24" s="314">
        <v>35</v>
      </c>
      <c r="Q24" s="271">
        <v>70</v>
      </c>
      <c r="R24" s="312">
        <v>35</v>
      </c>
      <c r="S24" s="318">
        <v>10</v>
      </c>
      <c r="T24" s="337">
        <v>1.57</v>
      </c>
      <c r="U24" s="325">
        <v>1.4</v>
      </c>
      <c r="V24" s="336">
        <v>1.24</v>
      </c>
      <c r="W24" s="295">
        <f>Table6[[#This Row],[CHEST REW. MOD.]]*($D$14+$D$15+$D$16)</f>
        <v>31500</v>
      </c>
      <c r="X24" s="291">
        <f t="shared" si="0"/>
        <v>3</v>
      </c>
      <c r="Y24" s="291">
        <f>ROUND((Table6[[#This Row],[DAILY REW. MOD.]]*($D$24+$D$26+$D$28))/7,0)</f>
        <v>8750</v>
      </c>
      <c r="Z24" s="291">
        <f t="shared" si="1"/>
        <v>0.9</v>
      </c>
      <c r="AA24" s="354">
        <f>ROUND((INDEX(Table12[AVG COINS],MATCH(Table6[[#This Row],[LEAGUE]],Table12[LEAGUE],0))) /$C$38,0)</f>
        <v>12325</v>
      </c>
      <c r="AB24" s="354">
        <f>ROUND((INDEX(Table12[AVG GEMS],MATCH(Table6[[#This Row],[LEAGUE]],Table12[LEAGUE],0))) /$C$37,2)</f>
        <v>0.06</v>
      </c>
      <c r="AC2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103460</v>
      </c>
      <c r="AD24" s="296">
        <f>Table6[[#This Row],[CHEST REW. MOD. NEW]]*($D$14+$D$15+$D$16)</f>
        <v>31500</v>
      </c>
      <c r="AE24" s="296">
        <f t="shared" si="2"/>
        <v>3</v>
      </c>
      <c r="AF24" s="296">
        <f>ROUND((Table6[[#This Row],[DAILY REW. MOD. NEW]]*($E$24+$E$26+$E$28))/7,0)</f>
        <v>8750</v>
      </c>
      <c r="AG24" s="296">
        <f t="shared" si="3"/>
        <v>0.9</v>
      </c>
      <c r="AH24" s="296">
        <f>ROUND((INDEX(Table12[AVG COINS NEW],MATCH(Table6[[#This Row],[LEAGUE]],Table12[LEAGUE],0))) /$C$38,0)</f>
        <v>12325</v>
      </c>
      <c r="AI24" s="296">
        <f>ROUND((INDEX(Table12[AVG GEMS NEW],MATCH(Table6[[#This Row],[LEAGUE]],Table12[LEAGUE],0))) / $C$38,2)</f>
        <v>0.4</v>
      </c>
      <c r="AJ2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103460</v>
      </c>
      <c r="AK24" s="324">
        <v>87000</v>
      </c>
      <c r="AL24" s="325">
        <v>1</v>
      </c>
    </row>
    <row r="25" spans="2:38">
      <c r="B25" s="261">
        <v>2</v>
      </c>
      <c r="C25" s="282" t="s">
        <v>420</v>
      </c>
      <c r="D25" s="301">
        <v>1</v>
      </c>
      <c r="E25" s="357">
        <v>1</v>
      </c>
      <c r="G25" s="328" t="s">
        <v>144</v>
      </c>
      <c r="H25" s="332">
        <f>Table6[[#This Row],[TOTAL COINS]] +Table6[[#This Row],[COINS IN RUNS PER DAY]]</f>
        <v>233315</v>
      </c>
      <c r="I25" s="322">
        <f>Table6[[#This Row],[TOTAL COINS NEW]] + Table6[[#This Row],[COINS IN RUNS PER DAY]]</f>
        <v>233315</v>
      </c>
      <c r="J25" s="320">
        <f>Table6[[#This Row],[CHESTS COINS]] + Table6[[#This Row],[DAILY COINS]]+Table6[[#This Row],[LEAGUES COINS]]+Table6[[#This Row],[MISSIONS COINS]]</f>
        <v>148315</v>
      </c>
      <c r="K25" s="315">
        <f>Table6[[#This Row],[CHESTS GEMS]]+Table6[[#This Row],[DAILY GEMS]]+Table6[[#This Row],[LEAGUES GEMS]]</f>
        <v>3.96</v>
      </c>
      <c r="L25" s="332">
        <f>Table6[[#This Row],[CHESTS COINS NEW]] +Table6[[#This Row],[DAILY COINS NEW]] +Table6[[#This Row],[LEAGUES COINS NEW]] +Table6[[#This Row],[MISSIONS COINS NEW]]</f>
        <v>148315</v>
      </c>
      <c r="M25" s="322">
        <f>Table6[[#This Row],[CHESTS GEMS NEW]] +Table6[[#This Row],[DAILY GEMS NEW]] +Table6[[#This Row],[LEAGUES GEMS NEW]]</f>
        <v>4.3</v>
      </c>
      <c r="N25" s="327">
        <f>Table6[[#This Row],[COINS PER RUN]] *Table6[[#This Row],[RUNS PER DAY]]</f>
        <v>85000</v>
      </c>
      <c r="O25" s="314">
        <v>70</v>
      </c>
      <c r="P25" s="314">
        <v>38</v>
      </c>
      <c r="Q25" s="271">
        <v>70</v>
      </c>
      <c r="R25" s="312">
        <v>38</v>
      </c>
      <c r="S25" s="318">
        <v>10</v>
      </c>
      <c r="T25" s="337">
        <v>1.37</v>
      </c>
      <c r="U25" s="325">
        <v>1.27</v>
      </c>
      <c r="V25" s="336">
        <v>1.17</v>
      </c>
      <c r="W25" s="295">
        <f>Table6[[#This Row],[CHEST REW. MOD.]]*($D$14+$D$15+$D$16)</f>
        <v>31500</v>
      </c>
      <c r="X25" s="291">
        <f t="shared" si="0"/>
        <v>3</v>
      </c>
      <c r="Y25" s="291">
        <f>ROUND((Table6[[#This Row],[DAILY REW. MOD.]]*($D$24+$D$26+$D$28))/7,0)</f>
        <v>9500</v>
      </c>
      <c r="Z25" s="291">
        <f t="shared" si="1"/>
        <v>0.9</v>
      </c>
      <c r="AA25" s="354">
        <f>ROUND((INDEX(Table12[AVG COINS],MATCH(Table6[[#This Row],[LEAGUE]],Table12[LEAGUE],0))) /$C$38,0)</f>
        <v>12325</v>
      </c>
      <c r="AB25" s="354">
        <f>ROUND((INDEX(Table12[AVG GEMS],MATCH(Table6[[#This Row],[LEAGUE]],Table12[LEAGUE],0))) /$C$37,2)</f>
        <v>0.06</v>
      </c>
      <c r="AC2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94990</v>
      </c>
      <c r="AD25" s="296">
        <f>Table6[[#This Row],[CHEST REW. MOD. NEW]]*($D$14+$D$15+$D$16)</f>
        <v>31500</v>
      </c>
      <c r="AE25" s="296">
        <f t="shared" si="2"/>
        <v>3</v>
      </c>
      <c r="AF25" s="296">
        <f>ROUND((Table6[[#This Row],[DAILY REW. MOD. NEW]]*($E$24+$E$26+$E$28))/7,0)</f>
        <v>9500</v>
      </c>
      <c r="AG25" s="296">
        <f t="shared" si="3"/>
        <v>0.9</v>
      </c>
      <c r="AH25" s="296">
        <f>ROUND((INDEX(Table12[AVG COINS NEW],MATCH(Table6[[#This Row],[LEAGUE]],Table12[LEAGUE],0))) /$C$38,0)</f>
        <v>12325</v>
      </c>
      <c r="AI25" s="296">
        <f>ROUND((INDEX(Table12[AVG GEMS NEW],MATCH(Table6[[#This Row],[LEAGUE]],Table12[LEAGUE],0))) / $C$38,2)</f>
        <v>0.4</v>
      </c>
      <c r="AJ2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94990</v>
      </c>
      <c r="AK25" s="324">
        <v>85000</v>
      </c>
      <c r="AL25" s="325">
        <v>1</v>
      </c>
    </row>
    <row r="26" spans="2:38">
      <c r="B26" s="261">
        <v>3</v>
      </c>
      <c r="C26" s="282" t="s">
        <v>419</v>
      </c>
      <c r="D26" s="301">
        <v>500</v>
      </c>
      <c r="E26" s="357">
        <v>500</v>
      </c>
      <c r="G26" s="330" t="s">
        <v>217</v>
      </c>
      <c r="H26" s="332">
        <f>Table6[[#This Row],[TOTAL COINS]] +Table6[[#This Row],[COINS IN RUNS PER DAY]]</f>
        <v>277865</v>
      </c>
      <c r="I26" s="322">
        <f>Table6[[#This Row],[TOTAL COINS NEW]] + Table6[[#This Row],[COINS IN RUNS PER DAY]]</f>
        <v>277865</v>
      </c>
      <c r="J26" s="320">
        <f>Table6[[#This Row],[CHESTS COINS]] + Table6[[#This Row],[DAILY COINS]]+Table6[[#This Row],[LEAGUES COINS]]+Table6[[#This Row],[MISSIONS COINS]]</f>
        <v>152865</v>
      </c>
      <c r="K26" s="315">
        <f>Table6[[#This Row],[CHESTS GEMS]]+Table6[[#This Row],[DAILY GEMS]]+Table6[[#This Row],[LEAGUES GEMS]]</f>
        <v>3.96</v>
      </c>
      <c r="L26" s="332">
        <f>Table6[[#This Row],[CHESTS COINS NEW]] +Table6[[#This Row],[DAILY COINS NEW]] +Table6[[#This Row],[LEAGUES COINS NEW]] +Table6[[#This Row],[MISSIONS COINS NEW]]</f>
        <v>152865</v>
      </c>
      <c r="M26" s="322">
        <f>Table6[[#This Row],[CHESTS GEMS NEW]] +Table6[[#This Row],[DAILY GEMS NEW]] +Table6[[#This Row],[LEAGUES GEMS NEW]]</f>
        <v>4.3</v>
      </c>
      <c r="N26" s="327">
        <f>Table6[[#This Row],[COINS PER RUN]] *Table6[[#This Row],[RUNS PER DAY]]</f>
        <v>125000</v>
      </c>
      <c r="O26" s="314">
        <v>70</v>
      </c>
      <c r="P26" s="314">
        <v>38</v>
      </c>
      <c r="Q26" s="271">
        <v>70</v>
      </c>
      <c r="R26" s="312">
        <v>38</v>
      </c>
      <c r="S26" s="318">
        <v>10</v>
      </c>
      <c r="T26" s="337">
        <v>1.47</v>
      </c>
      <c r="U26" s="325">
        <v>1.34</v>
      </c>
      <c r="V26" s="336">
        <v>1.21</v>
      </c>
      <c r="W26" s="295">
        <f>Table6[[#This Row],[CHEST REW. MOD.]]*($D$14+$D$15+$D$16)</f>
        <v>31500</v>
      </c>
      <c r="X26" s="291">
        <f t="shared" si="0"/>
        <v>3</v>
      </c>
      <c r="Y26" s="291">
        <f>ROUND((Table6[[#This Row],[DAILY REW. MOD.]]*($D$24+$D$26+$D$28))/7,0)</f>
        <v>9500</v>
      </c>
      <c r="Z26" s="291">
        <f t="shared" si="1"/>
        <v>0.9</v>
      </c>
      <c r="AA26" s="354">
        <f>ROUND((INDEX(Table12[AVG COINS],MATCH(Table6[[#This Row],[LEAGUE]],Table12[LEAGUE],0))) /$C$38,0)</f>
        <v>12325</v>
      </c>
      <c r="AB26" s="354">
        <f>ROUND((INDEX(Table12[AVG GEMS],MATCH(Table6[[#This Row],[LEAGUE]],Table12[LEAGUE],0))) /$C$37,2)</f>
        <v>0.06</v>
      </c>
      <c r="AC2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99540</v>
      </c>
      <c r="AD26" s="296">
        <f>Table6[[#This Row],[CHEST REW. MOD. NEW]]*($D$14+$D$15+$D$16)</f>
        <v>31500</v>
      </c>
      <c r="AE26" s="296">
        <f t="shared" si="2"/>
        <v>3</v>
      </c>
      <c r="AF26" s="296">
        <f>ROUND((Table6[[#This Row],[DAILY REW. MOD. NEW]]*($E$24+$E$26+$E$28))/7,0)</f>
        <v>9500</v>
      </c>
      <c r="AG26" s="296">
        <f t="shared" si="3"/>
        <v>0.9</v>
      </c>
      <c r="AH26" s="296">
        <f>ROUND((INDEX(Table12[AVG COINS NEW],MATCH(Table6[[#This Row],[LEAGUE]],Table12[LEAGUE],0))) /$C$38,0)</f>
        <v>12325</v>
      </c>
      <c r="AI26" s="296">
        <f>ROUND((INDEX(Table12[AVG GEMS NEW],MATCH(Table6[[#This Row],[LEAGUE]],Table12[LEAGUE],0))) / $C$38,2)</f>
        <v>0.4</v>
      </c>
      <c r="AJ2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99540</v>
      </c>
      <c r="AK26" s="324">
        <v>125000</v>
      </c>
      <c r="AL26" s="325">
        <v>1</v>
      </c>
    </row>
    <row r="27" spans="2:38">
      <c r="B27" s="261">
        <v>4</v>
      </c>
      <c r="C27" s="282" t="s">
        <v>420</v>
      </c>
      <c r="D27" s="301">
        <v>2</v>
      </c>
      <c r="E27" s="357">
        <v>2</v>
      </c>
      <c r="G27" s="328" t="s">
        <v>521</v>
      </c>
      <c r="H27" s="332">
        <f>Table6[[#This Row],[TOTAL COINS]] +Table6[[#This Row],[COINS IN RUNS PER DAY]]</f>
        <v>260325</v>
      </c>
      <c r="I27" s="322">
        <f>Table6[[#This Row],[TOTAL COINS NEW]] + Table6[[#This Row],[COINS IN RUNS PER DAY]]</f>
        <v>260325</v>
      </c>
      <c r="J27" s="320">
        <f>Table6[[#This Row],[CHESTS COINS]] + Table6[[#This Row],[DAILY COINS]]+Table6[[#This Row],[LEAGUES COINS]]+Table6[[#This Row],[MISSIONS COINS]]</f>
        <v>130325</v>
      </c>
      <c r="K27" s="315">
        <f>Table6[[#This Row],[CHESTS GEMS]]+Table6[[#This Row],[DAILY GEMS]]+Table6[[#This Row],[LEAGUES GEMS]]</f>
        <v>3.96</v>
      </c>
      <c r="L27" s="332">
        <f>Table6[[#This Row],[CHESTS COINS NEW]] +Table6[[#This Row],[DAILY COINS NEW]] +Table6[[#This Row],[LEAGUES COINS NEW]] +Table6[[#This Row],[MISSIONS COINS NEW]]</f>
        <v>130325</v>
      </c>
      <c r="M27" s="322">
        <f>Table6[[#This Row],[CHESTS GEMS NEW]] +Table6[[#This Row],[DAILY GEMS NEW]] +Table6[[#This Row],[LEAGUES GEMS NEW]]</f>
        <v>4.3</v>
      </c>
      <c r="N27" s="327">
        <f>Table6[[#This Row],[COINS PER RUN]] *Table6[[#This Row],[RUNS PER DAY]]</f>
        <v>130000</v>
      </c>
      <c r="O27" s="314">
        <v>70</v>
      </c>
      <c r="P27" s="314">
        <v>38</v>
      </c>
      <c r="Q27" s="271">
        <v>70</v>
      </c>
      <c r="R27" s="312">
        <v>38</v>
      </c>
      <c r="S27" s="318">
        <v>10</v>
      </c>
      <c r="T27" s="337">
        <v>1</v>
      </c>
      <c r="U27" s="325">
        <v>1</v>
      </c>
      <c r="V27" s="336">
        <v>1</v>
      </c>
      <c r="W27" s="295">
        <f>Table6[[#This Row],[CHEST REW. MOD.]]*($D$14+$D$15+$D$16)</f>
        <v>31500</v>
      </c>
      <c r="X27" s="291">
        <f t="shared" si="0"/>
        <v>3</v>
      </c>
      <c r="Y27" s="291">
        <f>ROUND((Table6[[#This Row],[DAILY REW. MOD.]]*($D$24+$D$26+$D$28))/7,0)</f>
        <v>9500</v>
      </c>
      <c r="Z27" s="291">
        <f t="shared" si="1"/>
        <v>0.9</v>
      </c>
      <c r="AA27" s="354">
        <f>ROUND((INDEX(Table12[AVG COINS],MATCH(Table6[[#This Row],[LEAGUE]],Table12[LEAGUE],0))) /$C$38,0)</f>
        <v>12325</v>
      </c>
      <c r="AB27" s="354">
        <f>ROUND((INDEX(Table12[AVG GEMS],MATCH(Table6[[#This Row],[LEAGUE]],Table12[LEAGUE],0))) /$C$37,2)</f>
        <v>0.06</v>
      </c>
      <c r="AC2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7" s="296">
        <f>Table6[[#This Row],[CHEST REW. MOD. NEW]]*($D$14+$D$15+$D$16)</f>
        <v>31500</v>
      </c>
      <c r="AE27" s="296">
        <f t="shared" si="2"/>
        <v>3</v>
      </c>
      <c r="AF27" s="296">
        <f>ROUND((Table6[[#This Row],[DAILY REW. MOD. NEW]]*($E$24+$E$26+$E$28))/7,0)</f>
        <v>9500</v>
      </c>
      <c r="AG27" s="296">
        <f t="shared" si="3"/>
        <v>0.9</v>
      </c>
      <c r="AH27" s="296">
        <f>ROUND((INDEX(Table12[AVG COINS NEW],MATCH(Table6[[#This Row],[LEAGUE]],Table12[LEAGUE],0))) /$C$38,0)</f>
        <v>12325</v>
      </c>
      <c r="AI27" s="296">
        <f>ROUND((INDEX(Table12[AVG GEMS NEW],MATCH(Table6[[#This Row],[LEAGUE]],Table12[LEAGUE],0))) / $C$38,2)</f>
        <v>0.4</v>
      </c>
      <c r="AJ2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7" s="324">
        <v>130000</v>
      </c>
      <c r="AL27" s="325">
        <v>1</v>
      </c>
    </row>
    <row r="28" spans="2:38">
      <c r="B28" s="261">
        <v>5</v>
      </c>
      <c r="C28" s="282" t="s">
        <v>419</v>
      </c>
      <c r="D28" s="301">
        <v>1000</v>
      </c>
      <c r="E28" s="357">
        <v>1000</v>
      </c>
      <c r="G28" s="328" t="s">
        <v>777</v>
      </c>
      <c r="H28" s="332">
        <f>Table6[[#This Row],[TOTAL COINS]] +Table6[[#This Row],[COINS IN RUNS PER DAY]]</f>
        <v>260325</v>
      </c>
      <c r="I28" s="322">
        <f>Table6[[#This Row],[TOTAL COINS NEW]] + Table6[[#This Row],[COINS IN RUNS PER DAY]]</f>
        <v>260325</v>
      </c>
      <c r="J28" s="320">
        <f>Table6[[#This Row],[CHESTS COINS]] + Table6[[#This Row],[DAILY COINS]]+Table6[[#This Row],[LEAGUES COINS]]+Table6[[#This Row],[MISSIONS COINS]]</f>
        <v>130325</v>
      </c>
      <c r="K28" s="315">
        <f>Table6[[#This Row],[CHESTS GEMS]]+Table6[[#This Row],[DAILY GEMS]]+Table6[[#This Row],[LEAGUES GEMS]]</f>
        <v>3.96</v>
      </c>
      <c r="L28" s="332">
        <f>Table6[[#This Row],[CHESTS COINS NEW]] +Table6[[#This Row],[DAILY COINS NEW]] +Table6[[#This Row],[LEAGUES COINS NEW]] +Table6[[#This Row],[MISSIONS COINS NEW]]</f>
        <v>130325</v>
      </c>
      <c r="M28" s="322">
        <f>Table6[[#This Row],[CHESTS GEMS NEW]] +Table6[[#This Row],[DAILY GEMS NEW]] +Table6[[#This Row],[LEAGUES GEMS NEW]]</f>
        <v>4.3</v>
      </c>
      <c r="N28" s="327">
        <f>Table6[[#This Row],[COINS PER RUN]] *Table6[[#This Row],[RUNS PER DAY]]</f>
        <v>130000</v>
      </c>
      <c r="O28" s="314">
        <v>70</v>
      </c>
      <c r="P28" s="314">
        <v>38</v>
      </c>
      <c r="Q28" s="271">
        <v>70</v>
      </c>
      <c r="R28" s="312">
        <v>38</v>
      </c>
      <c r="S28" s="318">
        <v>10</v>
      </c>
      <c r="T28" s="337">
        <v>1</v>
      </c>
      <c r="U28" s="325">
        <v>1</v>
      </c>
      <c r="V28" s="336">
        <v>1</v>
      </c>
      <c r="W28" s="295">
        <f>Table6[[#This Row],[CHEST REW. MOD.]]*($D$14+$D$15+$D$16)</f>
        <v>31500</v>
      </c>
      <c r="X28" s="291">
        <f t="shared" si="0"/>
        <v>3</v>
      </c>
      <c r="Y28" s="291">
        <f>ROUND((Table6[[#This Row],[DAILY REW. MOD.]]*($D$24+$D$26+$D$28))/7,0)</f>
        <v>9500</v>
      </c>
      <c r="Z28" s="291">
        <f t="shared" si="1"/>
        <v>0.9</v>
      </c>
      <c r="AA28" s="354">
        <f>ROUND((INDEX(Table12[AVG COINS],MATCH(Table6[[#This Row],[LEAGUE]],Table12[LEAGUE],0))) /$C$38,0)</f>
        <v>12325</v>
      </c>
      <c r="AB28" s="354">
        <f>ROUND((INDEX(Table12[AVG GEMS],MATCH(Table6[[#This Row],[LEAGUE]],Table12[LEAGUE],0))) /$C$37,2)</f>
        <v>0.06</v>
      </c>
      <c r="AC2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8" s="296">
        <f>Table6[[#This Row],[CHEST REW. MOD. NEW]]*($D$14+$D$15+$D$16)</f>
        <v>31500</v>
      </c>
      <c r="AE28" s="296">
        <f t="shared" si="2"/>
        <v>3</v>
      </c>
      <c r="AF28" s="296">
        <f>ROUND((Table6[[#This Row],[DAILY REW. MOD. NEW]]*($E$24+$E$26+$E$28))/7,0)</f>
        <v>9500</v>
      </c>
      <c r="AG28" s="296">
        <f t="shared" si="3"/>
        <v>0.9</v>
      </c>
      <c r="AH28" s="296">
        <f>ROUND((INDEX(Table12[AVG COINS NEW],MATCH(Table6[[#This Row],[LEAGUE]],Table12[LEAGUE],0))) /$C$38,0)</f>
        <v>12325</v>
      </c>
      <c r="AI28" s="296">
        <f>ROUND((INDEX(Table12[AVG GEMS NEW],MATCH(Table6[[#This Row],[LEAGUE]],Table12[LEAGUE],0))) / $C$38,2)</f>
        <v>0.4</v>
      </c>
      <c r="AJ2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8" s="324">
        <v>130000</v>
      </c>
      <c r="AL28" s="325">
        <v>1</v>
      </c>
    </row>
    <row r="29" spans="2:38">
      <c r="B29" s="261">
        <v>6</v>
      </c>
      <c r="C29" s="282" t="s">
        <v>420</v>
      </c>
      <c r="D29" s="301">
        <v>3</v>
      </c>
      <c r="E29" s="357">
        <v>3</v>
      </c>
      <c r="G29" s="328" t="s">
        <v>778</v>
      </c>
      <c r="H29" s="332">
        <f>Table6[[#This Row],[TOTAL COINS]] +Table6[[#This Row],[COINS IN RUNS PER DAY]]</f>
        <v>260325</v>
      </c>
      <c r="I29" s="322">
        <f>Table6[[#This Row],[TOTAL COINS NEW]] + Table6[[#This Row],[COINS IN RUNS PER DAY]]</f>
        <v>260325</v>
      </c>
      <c r="J29" s="320">
        <f>Table6[[#This Row],[CHESTS COINS]] + Table6[[#This Row],[DAILY COINS]]+Table6[[#This Row],[LEAGUES COINS]]+Table6[[#This Row],[MISSIONS COINS]]</f>
        <v>130325</v>
      </c>
      <c r="K29" s="315">
        <f>Table6[[#This Row],[CHESTS GEMS]]+Table6[[#This Row],[DAILY GEMS]]+Table6[[#This Row],[LEAGUES GEMS]]</f>
        <v>3.96</v>
      </c>
      <c r="L29" s="332">
        <f>Table6[[#This Row],[CHESTS COINS NEW]] +Table6[[#This Row],[DAILY COINS NEW]] +Table6[[#This Row],[LEAGUES COINS NEW]] +Table6[[#This Row],[MISSIONS COINS NEW]]</f>
        <v>130325</v>
      </c>
      <c r="M29" s="322">
        <f>Table6[[#This Row],[CHESTS GEMS NEW]] +Table6[[#This Row],[DAILY GEMS NEW]] +Table6[[#This Row],[LEAGUES GEMS NEW]]</f>
        <v>4.3</v>
      </c>
      <c r="N29" s="327">
        <f>Table6[[#This Row],[COINS PER RUN]] *Table6[[#This Row],[RUNS PER DAY]]</f>
        <v>130000</v>
      </c>
      <c r="O29" s="314">
        <v>70</v>
      </c>
      <c r="P29" s="465">
        <v>38</v>
      </c>
      <c r="Q29" s="271">
        <v>70</v>
      </c>
      <c r="R29" s="312">
        <v>38</v>
      </c>
      <c r="S29" s="318">
        <v>10</v>
      </c>
      <c r="T29" s="466">
        <v>1</v>
      </c>
      <c r="U29" s="325">
        <v>1</v>
      </c>
      <c r="V29" s="336">
        <v>1</v>
      </c>
      <c r="W29" s="295">
        <f>Table6[[#This Row],[CHEST REW. MOD.]]*($D$14+$D$15+$D$16)</f>
        <v>31500</v>
      </c>
      <c r="X29" s="291">
        <f t="shared" si="0"/>
        <v>3</v>
      </c>
      <c r="Y29" s="291">
        <f>ROUND((Table6[[#This Row],[DAILY REW. MOD.]]*($D$24+$D$26+$D$28))/7,0)</f>
        <v>9500</v>
      </c>
      <c r="Z29" s="291">
        <f t="shared" si="1"/>
        <v>0.9</v>
      </c>
      <c r="AA29" s="354">
        <f>ROUND((INDEX(Table12[AVG COINS],MATCH(Table6[[#This Row],[LEAGUE]],Table12[LEAGUE],0))) /$C$38,0)</f>
        <v>12325</v>
      </c>
      <c r="AB29" s="354">
        <f>ROUND((INDEX(Table12[AVG GEMS],MATCH(Table6[[#This Row],[LEAGUE]],Table12[LEAGUE],0))) /$C$37,2)</f>
        <v>0.06</v>
      </c>
      <c r="AC2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9" s="296">
        <f>Table6[[#This Row],[CHEST REW. MOD. NEW]]*($D$14+$D$15+$D$16)</f>
        <v>31500</v>
      </c>
      <c r="AE29" s="296">
        <f t="shared" si="2"/>
        <v>3</v>
      </c>
      <c r="AF29" s="296">
        <f>ROUND((Table6[[#This Row],[DAILY REW. MOD. NEW]]*($E$24+$E$26+$E$28))/7,0)</f>
        <v>9500</v>
      </c>
      <c r="AG29" s="296">
        <f t="shared" si="3"/>
        <v>0.9</v>
      </c>
      <c r="AH29" s="296">
        <f>ROUND((INDEX(Table12[AVG COINS NEW],MATCH(Table6[[#This Row],[LEAGUE]],Table12[LEAGUE],0))) /$C$38,0)</f>
        <v>12325</v>
      </c>
      <c r="AI29" s="296">
        <f>ROUND((INDEX(Table12[AVG GEMS NEW],MATCH(Table6[[#This Row],[LEAGUE]],Table12[LEAGUE],0))) / $C$38,2)</f>
        <v>0.4</v>
      </c>
      <c r="AJ2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9" s="324">
        <v>130000</v>
      </c>
      <c r="AL29" s="325">
        <v>1</v>
      </c>
    </row>
    <row r="30" spans="2:38">
      <c r="B30" s="261">
        <v>7</v>
      </c>
      <c r="C30" s="282" t="s">
        <v>421</v>
      </c>
      <c r="D30" s="301">
        <v>1</v>
      </c>
      <c r="E30" s="357">
        <v>1</v>
      </c>
      <c r="G30" s="328" t="s">
        <v>402</v>
      </c>
      <c r="H30" s="464">
        <f>Table6[[#This Row],[TOTAL COINS]] +Table6[[#This Row],[COINS IN RUNS PER DAY]]</f>
        <v>138575</v>
      </c>
      <c r="I30" s="322">
        <f>Table6[[#This Row],[TOTAL COINS NEW]] + Table6[[#This Row],[COINS IN RUNS PER DAY]]</f>
        <v>138575</v>
      </c>
      <c r="J30" s="467">
        <f>Table6[[#This Row],[CHESTS COINS]] + Table6[[#This Row],[DAILY COINS]]+Table6[[#This Row],[LEAGUES COINS]]+Table6[[#This Row],[MISSIONS COINS]]</f>
        <v>138575</v>
      </c>
      <c r="K30" s="315">
        <f>Table6[[#This Row],[CHESTS GEMS]]+Table6[[#This Row],[DAILY GEMS]]+Table6[[#This Row],[LEAGUES GEMS]]</f>
        <v>3.96</v>
      </c>
      <c r="L30" s="332">
        <f>Table6[[#This Row],[CHESTS COINS NEW]] +Table6[[#This Row],[DAILY COINS NEW]] +Table6[[#This Row],[LEAGUES COINS NEW]] +Table6[[#This Row],[MISSIONS COINS NEW]]</f>
        <v>138575</v>
      </c>
      <c r="M30" s="322">
        <f>Table6[[#This Row],[CHESTS GEMS NEW]] +Table6[[#This Row],[DAILY GEMS NEW]] +Table6[[#This Row],[LEAGUES GEMS NEW]]</f>
        <v>4.3</v>
      </c>
      <c r="N30" s="327">
        <f>Table6[[#This Row],[COINS PER RUN]] *Table6[[#This Row],[RUNS PER DAY]]</f>
        <v>0</v>
      </c>
      <c r="O30" s="314">
        <v>75</v>
      </c>
      <c r="P30" s="314">
        <v>40</v>
      </c>
      <c r="Q30" s="271">
        <v>75</v>
      </c>
      <c r="R30" s="312">
        <v>40</v>
      </c>
      <c r="S30" s="318">
        <v>10</v>
      </c>
      <c r="T30" s="337">
        <v>1</v>
      </c>
      <c r="U30" s="325">
        <v>1</v>
      </c>
      <c r="V30" s="336">
        <v>1</v>
      </c>
      <c r="W30" s="295">
        <f>Table6[[#This Row],[CHEST REW. MOD.]]*($D$14+$D$15+$D$16)</f>
        <v>33750</v>
      </c>
      <c r="X30" s="296">
        <f t="shared" si="0"/>
        <v>3</v>
      </c>
      <c r="Y30" s="296">
        <f>ROUND((Table6[[#This Row],[DAILY REW. MOD.]]*($D$24+$D$26+$D$28))/7,0)</f>
        <v>10000</v>
      </c>
      <c r="Z30" s="296">
        <f t="shared" si="1"/>
        <v>0.9</v>
      </c>
      <c r="AA30" s="296">
        <f>ROUND((INDEX(Table12[AVG COINS],MATCH(Table6[[#This Row],[LEAGUE]],Table12[LEAGUE],0))) /$C$38,0)</f>
        <v>12325</v>
      </c>
      <c r="AB30" s="296">
        <f>ROUND((INDEX(Table12[AVG GEMS],MATCH(Table6[[#This Row],[LEAGUE]],Table12[LEAGUE],0))) /$C$37,2)</f>
        <v>0.06</v>
      </c>
      <c r="AC3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0" s="296">
        <f>Table6[[#This Row],[CHEST REW. MOD. NEW]]*($D$14+$D$15+$D$16)</f>
        <v>33750</v>
      </c>
      <c r="AE30" s="296">
        <f t="shared" si="2"/>
        <v>3</v>
      </c>
      <c r="AF30" s="296">
        <f>ROUND((Table6[[#This Row],[DAILY REW. MOD. NEW]]*($E$24+$E$26+$E$28))/7,0)</f>
        <v>10000</v>
      </c>
      <c r="AG30" s="296">
        <f t="shared" si="3"/>
        <v>0.9</v>
      </c>
      <c r="AH30" s="296">
        <f>ROUND((INDEX(Table12[AVG COINS NEW],MATCH(Table6[[#This Row],[LEAGUE]],Table12[LEAGUE],0))) /$C$38,0)</f>
        <v>12325</v>
      </c>
      <c r="AI30" s="296">
        <f>ROUND((INDEX(Table12[AVG GEMS NEW],MATCH(Table6[[#This Row],[LEAGUE]],Table12[LEAGUE],0))) / $C$38,2)</f>
        <v>0.4</v>
      </c>
      <c r="AJ3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0" s="324">
        <v>1</v>
      </c>
      <c r="AL30" s="325">
        <v>0</v>
      </c>
    </row>
    <row r="31" spans="2:38">
      <c r="B31" s="261">
        <v>14</v>
      </c>
      <c r="C31" s="284" t="s">
        <v>422</v>
      </c>
      <c r="D31" s="306">
        <v>1</v>
      </c>
      <c r="E31" s="357">
        <v>1</v>
      </c>
      <c r="G31" s="328" t="s">
        <v>403</v>
      </c>
      <c r="H31" s="464">
        <f>Table6[[#This Row],[TOTAL COINS]] +Table6[[#This Row],[COINS IN RUNS PER DAY]]</f>
        <v>138575</v>
      </c>
      <c r="I31" s="322">
        <f>Table6[[#This Row],[TOTAL COINS NEW]] + Table6[[#This Row],[COINS IN RUNS PER DAY]]</f>
        <v>138575</v>
      </c>
      <c r="J31" s="467">
        <f>Table6[[#This Row],[CHESTS COINS]] + Table6[[#This Row],[DAILY COINS]]+Table6[[#This Row],[LEAGUES COINS]]+Table6[[#This Row],[MISSIONS COINS]]</f>
        <v>138575</v>
      </c>
      <c r="K31" s="315">
        <f>Table6[[#This Row],[CHESTS GEMS]]+Table6[[#This Row],[DAILY GEMS]]+Table6[[#This Row],[LEAGUES GEMS]]</f>
        <v>3.96</v>
      </c>
      <c r="L31" s="332">
        <f>Table6[[#This Row],[CHESTS COINS NEW]] +Table6[[#This Row],[DAILY COINS NEW]] +Table6[[#This Row],[LEAGUES COINS NEW]] +Table6[[#This Row],[MISSIONS COINS NEW]]</f>
        <v>138575</v>
      </c>
      <c r="M31" s="322">
        <f>Table6[[#This Row],[CHESTS GEMS NEW]] +Table6[[#This Row],[DAILY GEMS NEW]] +Table6[[#This Row],[LEAGUES GEMS NEW]]</f>
        <v>4.3</v>
      </c>
      <c r="N31" s="327">
        <f>Table6[[#This Row],[COINS PER RUN]] *Table6[[#This Row],[RUNS PER DAY]]</f>
        <v>0</v>
      </c>
      <c r="O31" s="314">
        <v>75</v>
      </c>
      <c r="P31" s="314">
        <v>40</v>
      </c>
      <c r="Q31" s="271">
        <v>75</v>
      </c>
      <c r="R31" s="312">
        <v>40</v>
      </c>
      <c r="S31" s="318">
        <v>10</v>
      </c>
      <c r="T31" s="337">
        <v>1</v>
      </c>
      <c r="U31" s="325">
        <v>1</v>
      </c>
      <c r="V31" s="336">
        <v>1</v>
      </c>
      <c r="W31" s="295">
        <f>Table6[[#This Row],[CHEST REW. MOD.]]*($D$14+$D$15+$D$16)</f>
        <v>33750</v>
      </c>
      <c r="X31" s="296">
        <f t="shared" si="0"/>
        <v>3</v>
      </c>
      <c r="Y31" s="296">
        <f>ROUND((Table6[[#This Row],[DAILY REW. MOD.]]*($D$24+$D$26+$D$28))/7,0)</f>
        <v>10000</v>
      </c>
      <c r="Z31" s="296">
        <f t="shared" si="1"/>
        <v>0.9</v>
      </c>
      <c r="AA31" s="296">
        <f>ROUND((INDEX(Table12[AVG COINS],MATCH(Table6[[#This Row],[LEAGUE]],Table12[LEAGUE],0))) /$C$38,0)</f>
        <v>12325</v>
      </c>
      <c r="AB31" s="296">
        <f>ROUND((INDEX(Table12[AVG GEMS],MATCH(Table6[[#This Row],[LEAGUE]],Table12[LEAGUE],0))) /$C$37,2)</f>
        <v>0.06</v>
      </c>
      <c r="AC3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1" s="296">
        <f>Table6[[#This Row],[CHEST REW. MOD. NEW]]*($D$14+$D$15+$D$16)</f>
        <v>33750</v>
      </c>
      <c r="AE31" s="296">
        <f t="shared" si="2"/>
        <v>3</v>
      </c>
      <c r="AF31" s="296">
        <f>ROUND((Table6[[#This Row],[DAILY REW. MOD. NEW]]*($E$24+$E$26+$E$28))/7,0)</f>
        <v>10000</v>
      </c>
      <c r="AG31" s="296">
        <f t="shared" si="3"/>
        <v>0.9</v>
      </c>
      <c r="AH31" s="296">
        <f>ROUND((INDEX(Table12[AVG COINS NEW],MATCH(Table6[[#This Row],[LEAGUE]],Table12[LEAGUE],0))) /$C$38,0)</f>
        <v>12325</v>
      </c>
      <c r="AI31" s="296">
        <f>ROUND((INDEX(Table12[AVG GEMS NEW],MATCH(Table6[[#This Row],[LEAGUE]],Table12[LEAGUE],0))) / $C$38,2)</f>
        <v>0.4</v>
      </c>
      <c r="AJ3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1" s="324">
        <v>1</v>
      </c>
      <c r="AL31" s="325">
        <v>0</v>
      </c>
    </row>
    <row r="32" spans="2:38">
      <c r="G32" s="328" t="s">
        <v>404</v>
      </c>
      <c r="H32" s="464">
        <f>Table6[[#This Row],[TOTAL COINS]] +Table6[[#This Row],[COINS IN RUNS PER DAY]]</f>
        <v>138575</v>
      </c>
      <c r="I32" s="322">
        <f>Table6[[#This Row],[TOTAL COINS NEW]] + Table6[[#This Row],[COINS IN RUNS PER DAY]]</f>
        <v>138575</v>
      </c>
      <c r="J32" s="467">
        <f>Table6[[#This Row],[CHESTS COINS]] + Table6[[#This Row],[DAILY COINS]]+Table6[[#This Row],[LEAGUES COINS]]+Table6[[#This Row],[MISSIONS COINS]]</f>
        <v>138575</v>
      </c>
      <c r="K32" s="315">
        <f>Table6[[#This Row],[CHESTS GEMS]]+Table6[[#This Row],[DAILY GEMS]]+Table6[[#This Row],[LEAGUES GEMS]]</f>
        <v>3.96</v>
      </c>
      <c r="L32" s="332">
        <f>Table6[[#This Row],[CHESTS COINS NEW]] +Table6[[#This Row],[DAILY COINS NEW]] +Table6[[#This Row],[LEAGUES COINS NEW]] +Table6[[#This Row],[MISSIONS COINS NEW]]</f>
        <v>138575</v>
      </c>
      <c r="M32" s="322">
        <f>Table6[[#This Row],[CHESTS GEMS NEW]] +Table6[[#This Row],[DAILY GEMS NEW]] +Table6[[#This Row],[LEAGUES GEMS NEW]]</f>
        <v>4.3</v>
      </c>
      <c r="N32" s="327">
        <f>Table6[[#This Row],[COINS PER RUN]] *Table6[[#This Row],[RUNS PER DAY]]</f>
        <v>0</v>
      </c>
      <c r="O32" s="314">
        <v>75</v>
      </c>
      <c r="P32" s="314">
        <v>40</v>
      </c>
      <c r="Q32" s="271">
        <v>75</v>
      </c>
      <c r="R32" s="312">
        <v>40</v>
      </c>
      <c r="S32" s="318">
        <v>10</v>
      </c>
      <c r="T32" s="337">
        <v>1</v>
      </c>
      <c r="U32" s="325">
        <v>1</v>
      </c>
      <c r="V32" s="336">
        <v>1</v>
      </c>
      <c r="W32" s="295">
        <f>Table6[[#This Row],[CHEST REW. MOD.]]*($D$14+$D$15+$D$16)</f>
        <v>33750</v>
      </c>
      <c r="X32" s="296">
        <f t="shared" si="0"/>
        <v>3</v>
      </c>
      <c r="Y32" s="296">
        <f>ROUND((Table6[[#This Row],[DAILY REW. MOD.]]*($D$24+$D$26+$D$28))/7,0)</f>
        <v>10000</v>
      </c>
      <c r="Z32" s="296">
        <f t="shared" si="1"/>
        <v>0.9</v>
      </c>
      <c r="AA32" s="296">
        <f>ROUND((INDEX(Table12[AVG COINS],MATCH(Table6[[#This Row],[LEAGUE]],Table12[LEAGUE],0))) /$C$38,0)</f>
        <v>12325</v>
      </c>
      <c r="AB32" s="296">
        <f>ROUND((INDEX(Table12[AVG GEMS],MATCH(Table6[[#This Row],[LEAGUE]],Table12[LEAGUE],0))) /$C$37,2)</f>
        <v>0.06</v>
      </c>
      <c r="AC3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2" s="296">
        <f>Table6[[#This Row],[CHEST REW. MOD. NEW]]*($D$14+$D$15+$D$16)</f>
        <v>33750</v>
      </c>
      <c r="AE32" s="296">
        <f t="shared" si="2"/>
        <v>3</v>
      </c>
      <c r="AF32" s="296">
        <f>ROUND((Table6[[#This Row],[DAILY REW. MOD. NEW]]*($E$24+$E$26+$E$28))/7,0)</f>
        <v>10000</v>
      </c>
      <c r="AG32" s="296">
        <f t="shared" si="3"/>
        <v>0.9</v>
      </c>
      <c r="AH32" s="296">
        <f>ROUND((INDEX(Table12[AVG COINS NEW],MATCH(Table6[[#This Row],[LEAGUE]],Table12[LEAGUE],0))) /$C$38,0)</f>
        <v>12325</v>
      </c>
      <c r="AI32" s="296">
        <f>ROUND((INDEX(Table12[AVG GEMS NEW],MATCH(Table6[[#This Row],[LEAGUE]],Table12[LEAGUE],0))) / $C$38,2)</f>
        <v>0.4</v>
      </c>
      <c r="AJ3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2" s="324">
        <v>1</v>
      </c>
      <c r="AL32" s="325">
        <v>0</v>
      </c>
    </row>
    <row r="33" spans="2:38">
      <c r="G33" s="328" t="s">
        <v>405</v>
      </c>
      <c r="H33" s="464">
        <f>Table6[[#This Row],[TOTAL COINS]] +Table6[[#This Row],[COINS IN RUNS PER DAY]]</f>
        <v>138575</v>
      </c>
      <c r="I33" s="322">
        <f>Table6[[#This Row],[TOTAL COINS NEW]] + Table6[[#This Row],[COINS IN RUNS PER DAY]]</f>
        <v>138575</v>
      </c>
      <c r="J33" s="467">
        <f>Table6[[#This Row],[CHESTS COINS]] + Table6[[#This Row],[DAILY COINS]]+Table6[[#This Row],[LEAGUES COINS]]+Table6[[#This Row],[MISSIONS COINS]]</f>
        <v>138575</v>
      </c>
      <c r="K33" s="315">
        <f>Table6[[#This Row],[CHESTS GEMS]]+Table6[[#This Row],[DAILY GEMS]]+Table6[[#This Row],[LEAGUES GEMS]]</f>
        <v>3.96</v>
      </c>
      <c r="L33" s="332">
        <f>Table6[[#This Row],[CHESTS COINS NEW]] +Table6[[#This Row],[DAILY COINS NEW]] +Table6[[#This Row],[LEAGUES COINS NEW]] +Table6[[#This Row],[MISSIONS COINS NEW]]</f>
        <v>138575</v>
      </c>
      <c r="M33" s="322">
        <f>Table6[[#This Row],[CHESTS GEMS NEW]] +Table6[[#This Row],[DAILY GEMS NEW]] +Table6[[#This Row],[LEAGUES GEMS NEW]]</f>
        <v>4.3</v>
      </c>
      <c r="N33" s="327">
        <f>Table6[[#This Row],[COINS PER RUN]] *Table6[[#This Row],[RUNS PER DAY]]</f>
        <v>0</v>
      </c>
      <c r="O33" s="314">
        <v>75</v>
      </c>
      <c r="P33" s="314">
        <v>40</v>
      </c>
      <c r="Q33" s="271">
        <v>75</v>
      </c>
      <c r="R33" s="312">
        <v>40</v>
      </c>
      <c r="S33" s="318">
        <v>10</v>
      </c>
      <c r="T33" s="337">
        <v>1</v>
      </c>
      <c r="U33" s="325">
        <v>1</v>
      </c>
      <c r="V33" s="336">
        <v>1</v>
      </c>
      <c r="W33" s="295">
        <f>Table6[[#This Row],[CHEST REW. MOD.]]*($D$14+$D$15+$D$16)</f>
        <v>33750</v>
      </c>
      <c r="X33" s="296">
        <f t="shared" si="0"/>
        <v>3</v>
      </c>
      <c r="Y33" s="296">
        <f>ROUND((Table6[[#This Row],[DAILY REW. MOD.]]*($D$24+$D$26+$D$28))/7,0)</f>
        <v>10000</v>
      </c>
      <c r="Z33" s="296">
        <f t="shared" si="1"/>
        <v>0.9</v>
      </c>
      <c r="AA33" s="296">
        <f>ROUND((INDEX(Table12[AVG COINS],MATCH(Table6[[#This Row],[LEAGUE]],Table12[LEAGUE],0))) /$C$38,0)</f>
        <v>12325</v>
      </c>
      <c r="AB33" s="296">
        <f>ROUND((INDEX(Table12[AVG GEMS],MATCH(Table6[[#This Row],[LEAGUE]],Table12[LEAGUE],0))) /$C$37,2)</f>
        <v>0.06</v>
      </c>
      <c r="AC3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3" s="296">
        <f>Table6[[#This Row],[CHEST REW. MOD. NEW]]*($D$14+$D$15+$D$16)</f>
        <v>33750</v>
      </c>
      <c r="AE33" s="296">
        <f t="shared" si="2"/>
        <v>3</v>
      </c>
      <c r="AF33" s="296">
        <f>ROUND((Table6[[#This Row],[DAILY REW. MOD. NEW]]*($E$24+$E$26+$E$28))/7,0)</f>
        <v>10000</v>
      </c>
      <c r="AG33" s="296">
        <f t="shared" si="3"/>
        <v>0.9</v>
      </c>
      <c r="AH33" s="296">
        <f>ROUND((INDEX(Table12[AVG COINS NEW],MATCH(Table6[[#This Row],[LEAGUE]],Table12[LEAGUE],0))) /$C$38,0)</f>
        <v>12325</v>
      </c>
      <c r="AI33" s="296">
        <f>ROUND((INDEX(Table12[AVG GEMS NEW],MATCH(Table6[[#This Row],[LEAGUE]],Table12[LEAGUE],0))) / $C$38,2)</f>
        <v>0.4</v>
      </c>
      <c r="AJ3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3" s="324">
        <v>1</v>
      </c>
      <c r="AL33" s="325">
        <v>0</v>
      </c>
    </row>
    <row r="34" spans="2:38">
      <c r="G34" s="328" t="s">
        <v>406</v>
      </c>
      <c r="H34" s="332">
        <f>Table6[[#This Row],[TOTAL COINS]] +Table6[[#This Row],[COINS IN RUNS PER DAY]]</f>
        <v>138575</v>
      </c>
      <c r="I34" s="322">
        <f>Table6[[#This Row],[TOTAL COINS NEW]] + Table6[[#This Row],[COINS IN RUNS PER DAY]]</f>
        <v>138575</v>
      </c>
      <c r="J34" s="320">
        <f>Table6[[#This Row],[CHESTS COINS]] + Table6[[#This Row],[DAILY COINS]]+Table6[[#This Row],[LEAGUES COINS]]+Table6[[#This Row],[MISSIONS COINS]]</f>
        <v>138575</v>
      </c>
      <c r="K34" s="315">
        <f>Table6[[#This Row],[CHESTS GEMS]]+Table6[[#This Row],[DAILY GEMS]]+Table6[[#This Row],[LEAGUES GEMS]]</f>
        <v>3.96</v>
      </c>
      <c r="L34" s="332">
        <f>Table6[[#This Row],[CHESTS COINS NEW]] +Table6[[#This Row],[DAILY COINS NEW]] +Table6[[#This Row],[LEAGUES COINS NEW]] +Table6[[#This Row],[MISSIONS COINS NEW]]</f>
        <v>138575</v>
      </c>
      <c r="M34" s="322">
        <f>Table6[[#This Row],[CHESTS GEMS NEW]] +Table6[[#This Row],[DAILY GEMS NEW]] +Table6[[#This Row],[LEAGUES GEMS NEW]]</f>
        <v>4.3</v>
      </c>
      <c r="N34" s="327">
        <f>Table6[[#This Row],[COINS PER RUN]] *Table6[[#This Row],[RUNS PER DAY]]</f>
        <v>0</v>
      </c>
      <c r="O34" s="314">
        <v>75</v>
      </c>
      <c r="P34" s="314">
        <v>40</v>
      </c>
      <c r="Q34" s="271">
        <v>75</v>
      </c>
      <c r="R34" s="312">
        <v>40</v>
      </c>
      <c r="S34" s="318">
        <v>10</v>
      </c>
      <c r="T34" s="337">
        <v>1</v>
      </c>
      <c r="U34" s="325">
        <v>1</v>
      </c>
      <c r="V34" s="336">
        <v>1</v>
      </c>
      <c r="W34" s="295">
        <f>Table6[[#This Row],[CHEST REW. MOD.]]*($D$14+$D$15+$D$16)</f>
        <v>33750</v>
      </c>
      <c r="X34" s="291">
        <f t="shared" si="0"/>
        <v>3</v>
      </c>
      <c r="Y34" s="291">
        <f>ROUND((Table6[[#This Row],[DAILY REW. MOD.]]*($D$24+$D$26+$D$28))/7,0)</f>
        <v>10000</v>
      </c>
      <c r="Z34" s="291">
        <f t="shared" si="1"/>
        <v>0.9</v>
      </c>
      <c r="AA34" s="354">
        <f>ROUND((INDEX(Table12[AVG COINS],MATCH(Table6[[#This Row],[LEAGUE]],Table12[LEAGUE],0))) /$C$38,0)</f>
        <v>12325</v>
      </c>
      <c r="AB34" s="354">
        <f>ROUND((INDEX(Table12[AVG GEMS],MATCH(Table6[[#This Row],[LEAGUE]],Table12[LEAGUE],0))) /$C$37,2)</f>
        <v>0.06</v>
      </c>
      <c r="AC3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4" s="296">
        <f>Table6[[#This Row],[CHEST REW. MOD. NEW]]*($D$14+$D$15+$D$16)</f>
        <v>33750</v>
      </c>
      <c r="AE34" s="296">
        <f t="shared" si="2"/>
        <v>3</v>
      </c>
      <c r="AF34" s="296">
        <f>ROUND((Table6[[#This Row],[DAILY REW. MOD. NEW]]*($E$24+$E$26+$E$28))/7,0)</f>
        <v>10000</v>
      </c>
      <c r="AG34" s="296">
        <f t="shared" si="3"/>
        <v>0.9</v>
      </c>
      <c r="AH34" s="296">
        <f>ROUND((INDEX(Table12[AVG COINS NEW],MATCH(Table6[[#This Row],[LEAGUE]],Table12[LEAGUE],0))) /$C$38,0)</f>
        <v>12325</v>
      </c>
      <c r="AI34" s="296">
        <f>ROUND((INDEX(Table12[AVG GEMS NEW],MATCH(Table6[[#This Row],[LEAGUE]],Table12[LEAGUE],0))) / $C$38,2)</f>
        <v>0.4</v>
      </c>
      <c r="AJ3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4" s="324">
        <v>1</v>
      </c>
      <c r="AL34" s="325">
        <v>0</v>
      </c>
    </row>
    <row r="35" spans="2:38">
      <c r="H35" t="s">
        <v>407</v>
      </c>
      <c r="W35" t="s">
        <v>322</v>
      </c>
    </row>
    <row r="36" spans="2:38">
      <c r="B36" s="147" t="s">
        <v>434</v>
      </c>
    </row>
    <row r="37" spans="2:38">
      <c r="B37" s="274" t="s">
        <v>411</v>
      </c>
      <c r="C37" s="262">
        <v>7</v>
      </c>
      <c r="D37" t="s">
        <v>428</v>
      </c>
    </row>
    <row r="38" spans="2:38">
      <c r="B38" s="323" t="s">
        <v>478</v>
      </c>
      <c r="C38" s="262">
        <v>1</v>
      </c>
      <c r="D38" t="s">
        <v>428</v>
      </c>
    </row>
    <row r="40" spans="2:38">
      <c r="B40" s="275" t="s">
        <v>429</v>
      </c>
      <c r="C40" s="276" t="s">
        <v>430</v>
      </c>
      <c r="D40" s="277" t="s">
        <v>431</v>
      </c>
      <c r="E40" s="353" t="s">
        <v>458</v>
      </c>
      <c r="F40" s="275" t="s">
        <v>459</v>
      </c>
    </row>
    <row r="41" spans="2:38">
      <c r="B41" s="265">
        <v>1</v>
      </c>
      <c r="C41" s="290">
        <f>ROUND(SUM(F62:F66)/100,0)</f>
        <v>753</v>
      </c>
      <c r="D41" s="291">
        <v>0</v>
      </c>
      <c r="E41" s="290">
        <f>ROUND(SUM(J62:J66)/100,0)</f>
        <v>753</v>
      </c>
      <c r="F41" s="288">
        <v>0</v>
      </c>
    </row>
    <row r="42" spans="2:38">
      <c r="B42" s="266">
        <v>2</v>
      </c>
      <c r="C42" s="290">
        <f>ROUND(SUM(F67:F71)/100,0)</f>
        <v>1260</v>
      </c>
      <c r="D42" s="291">
        <v>0</v>
      </c>
      <c r="E42" s="290">
        <f>ROUND(SUM(J67:J71)/100,0)</f>
        <v>1260</v>
      </c>
      <c r="F42" s="288">
        <v>0</v>
      </c>
    </row>
    <row r="43" spans="2:38">
      <c r="B43" s="267">
        <v>3</v>
      </c>
      <c r="C43" s="290">
        <f>ROUND(SUM(F72:F75)/100,0)</f>
        <v>2985</v>
      </c>
      <c r="D43" s="291">
        <v>0</v>
      </c>
      <c r="E43" s="290">
        <f>ROUND(SUM(J72:J75)/100,0)</f>
        <v>2985</v>
      </c>
      <c r="F43" s="288">
        <v>0</v>
      </c>
    </row>
    <row r="44" spans="2:38">
      <c r="B44" s="266">
        <v>4</v>
      </c>
      <c r="C44" s="290">
        <f>ROUND(SUM(F77:F80)/100,0)</f>
        <v>4470</v>
      </c>
      <c r="D44" s="291">
        <v>0</v>
      </c>
      <c r="E44" s="290">
        <f>ROUND(SUM(J77:J80)/100,0)</f>
        <v>4470</v>
      </c>
      <c r="F44" s="288">
        <v>0</v>
      </c>
    </row>
    <row r="45" spans="2:38">
      <c r="B45" s="267">
        <v>5</v>
      </c>
      <c r="C45" s="290">
        <f>ROUND(SUM(F82:F85)/100,0)</f>
        <v>5955</v>
      </c>
      <c r="D45" s="291">
        <v>0</v>
      </c>
      <c r="E45" s="290">
        <f>ROUND(SUM(J82:J85)/100,0)</f>
        <v>5955</v>
      </c>
      <c r="F45" s="288">
        <v>0</v>
      </c>
    </row>
    <row r="46" spans="2:38">
      <c r="B46" s="266">
        <v>6</v>
      </c>
      <c r="C46" s="290">
        <f>ROUND(SUM(F87:F90)/100,0)</f>
        <v>7440</v>
      </c>
      <c r="D46" s="291">
        <v>0</v>
      </c>
      <c r="E46" s="290">
        <f>ROUND(SUM(J87:J90)/100,0)</f>
        <v>7440</v>
      </c>
      <c r="F46" s="288">
        <v>0</v>
      </c>
    </row>
    <row r="47" spans="2:38">
      <c r="B47" s="267">
        <v>7</v>
      </c>
      <c r="C47" s="290">
        <f>ROUND(SUM(F92:F95)/100,0)</f>
        <v>8925</v>
      </c>
      <c r="D47" s="291">
        <v>0</v>
      </c>
      <c r="E47" s="290">
        <f>ROUND(SUM(J92:J95)/100,0)</f>
        <v>8925</v>
      </c>
      <c r="F47" s="288">
        <v>0</v>
      </c>
    </row>
    <row r="48" spans="2:38">
      <c r="B48" s="266">
        <v>8</v>
      </c>
      <c r="C48" s="290">
        <f>ROUND(SUM(F97:F99)/100,0)</f>
        <v>9950</v>
      </c>
      <c r="D48" s="291">
        <f>ROUND(F100/100,2)</f>
        <v>0.2</v>
      </c>
      <c r="E48" s="290">
        <f>ROUND(SUM(J97:J99)/100,0)</f>
        <v>9950</v>
      </c>
      <c r="F48" s="291">
        <f>ROUND(J100/100,2)</f>
        <v>0.2</v>
      </c>
    </row>
    <row r="49" spans="2:10">
      <c r="B49" s="267">
        <v>9</v>
      </c>
      <c r="C49" s="290">
        <f>ROUND(SUM(F102:F104)/100,0)</f>
        <v>11375</v>
      </c>
      <c r="D49" s="291">
        <f>ROUND(F105/100,2)</f>
        <v>0.2</v>
      </c>
      <c r="E49" s="290">
        <f>ROUND(SUM(J102:J104)/100,0)</f>
        <v>11375</v>
      </c>
      <c r="F49" s="291">
        <f>ROUND(J105/100,2)</f>
        <v>0.2</v>
      </c>
    </row>
    <row r="50" spans="2:10">
      <c r="B50" s="268">
        <v>10</v>
      </c>
      <c r="C50" s="290">
        <f>ROUND(SUM(F107:F109)/100,0)</f>
        <v>12325</v>
      </c>
      <c r="D50" s="291">
        <f>ROUND(F110/100,2)</f>
        <v>0.4</v>
      </c>
      <c r="E50" s="290">
        <f>ROUND(SUM(J107:J109)/100,0)</f>
        <v>12325</v>
      </c>
      <c r="F50" s="291">
        <f>ROUND(J110/100,2)</f>
        <v>0.4</v>
      </c>
    </row>
    <row r="60" spans="2:10">
      <c r="B60" s="491" t="s">
        <v>439</v>
      </c>
      <c r="C60" s="491"/>
      <c r="D60" s="491"/>
      <c r="E60" s="491"/>
      <c r="F60" s="491"/>
    </row>
    <row r="61" spans="2:10">
      <c r="B61" s="278" t="s">
        <v>429</v>
      </c>
      <c r="C61" s="278" t="s">
        <v>414</v>
      </c>
      <c r="D61" s="278" t="s">
        <v>415</v>
      </c>
      <c r="E61" s="278" t="s">
        <v>432</v>
      </c>
      <c r="F61" s="279" t="s">
        <v>433</v>
      </c>
      <c r="G61" s="279" t="s">
        <v>477</v>
      </c>
      <c r="H61" s="278" t="s">
        <v>456</v>
      </c>
      <c r="I61" s="278" t="s">
        <v>460</v>
      </c>
      <c r="J61" s="278" t="s">
        <v>461</v>
      </c>
    </row>
    <row r="62" spans="2:10">
      <c r="B62" s="285">
        <v>1</v>
      </c>
      <c r="C62" s="285" t="s">
        <v>419</v>
      </c>
      <c r="D62" s="285">
        <v>400</v>
      </c>
      <c r="E62" s="285">
        <v>100</v>
      </c>
      <c r="F62" s="308">
        <f>Table13[[#This Row],[AMOUNT]]*(Table13[[#This Row],[TARGET]]-E63)</f>
        <v>12000</v>
      </c>
      <c r="G62" s="285" t="s">
        <v>419</v>
      </c>
      <c r="H62" s="309">
        <v>400</v>
      </c>
      <c r="I62" s="309">
        <v>100</v>
      </c>
      <c r="J62" s="308">
        <f>Table13[[#This Row],[AMOUNT NEW]]*(Table13[[#This Row],[TARGET NEW]]-I63)</f>
        <v>12000</v>
      </c>
    </row>
    <row r="63" spans="2:10">
      <c r="B63" s="286">
        <v>1</v>
      </c>
      <c r="C63" s="286" t="s">
        <v>419</v>
      </c>
      <c r="D63" s="286">
        <v>800</v>
      </c>
      <c r="E63" s="286">
        <v>70</v>
      </c>
      <c r="F63" s="308">
        <f>Table13[[#This Row],[AMOUNT]]*(Table13[[#This Row],[TARGET]]-E64)</f>
        <v>32000</v>
      </c>
      <c r="G63" s="286" t="s">
        <v>419</v>
      </c>
      <c r="H63" s="310">
        <v>800</v>
      </c>
      <c r="I63" s="310">
        <v>70</v>
      </c>
      <c r="J63" s="308">
        <f>Table13[[#This Row],[AMOUNT NEW]]*(Table13[[#This Row],[TARGET NEW]]-I64)</f>
        <v>32000</v>
      </c>
    </row>
    <row r="64" spans="2:10">
      <c r="B64" s="286">
        <v>1</v>
      </c>
      <c r="C64" s="286" t="s">
        <v>419</v>
      </c>
      <c r="D64" s="286">
        <v>1000</v>
      </c>
      <c r="E64" s="286">
        <v>30</v>
      </c>
      <c r="F64" s="308">
        <f>Table13[[#This Row],[AMOUNT]]*(Table13[[#This Row],[TARGET]]-E65)</f>
        <v>25000</v>
      </c>
      <c r="G64" s="286" t="s">
        <v>419</v>
      </c>
      <c r="H64" s="310">
        <v>1000</v>
      </c>
      <c r="I64" s="310">
        <v>30</v>
      </c>
      <c r="J64" s="308">
        <f>Table13[[#This Row],[AMOUNT NEW]]*(Table13[[#This Row],[TARGET NEW]]-I65)</f>
        <v>25000</v>
      </c>
    </row>
    <row r="65" spans="2:10">
      <c r="B65" s="286">
        <v>1</v>
      </c>
      <c r="C65" s="286" t="s">
        <v>419</v>
      </c>
      <c r="D65" s="286">
        <v>1200</v>
      </c>
      <c r="E65" s="286">
        <v>5</v>
      </c>
      <c r="F65" s="308">
        <f>Table13[[#This Row],[AMOUNT]]*(Table13[[#This Row],[TARGET]]-E66)</f>
        <v>4800</v>
      </c>
      <c r="G65" s="286" t="s">
        <v>419</v>
      </c>
      <c r="H65" s="310">
        <v>1200</v>
      </c>
      <c r="I65" s="310">
        <v>5</v>
      </c>
      <c r="J65" s="308">
        <f>Table13[[#This Row],[AMOUNT NEW]]*(Table13[[#This Row],[TARGET NEW]]-I66)</f>
        <v>4800</v>
      </c>
    </row>
    <row r="66" spans="2:10">
      <c r="B66" s="286">
        <v>1</v>
      </c>
      <c r="C66" s="286" t="s">
        <v>419</v>
      </c>
      <c r="D66" s="286">
        <v>1500</v>
      </c>
      <c r="E66" s="286">
        <v>1</v>
      </c>
      <c r="F66" s="308">
        <f>Table13[[#This Row],[AMOUNT]]</f>
        <v>1500</v>
      </c>
      <c r="G66" s="286" t="s">
        <v>419</v>
      </c>
      <c r="H66" s="310">
        <v>1500</v>
      </c>
      <c r="I66" s="310">
        <v>1</v>
      </c>
      <c r="J66" s="308">
        <f>Table13[[#This Row],[AMOUNT NEW]]</f>
        <v>1500</v>
      </c>
    </row>
    <row r="67" spans="2:10">
      <c r="B67" s="286">
        <v>2</v>
      </c>
      <c r="C67" s="286" t="s">
        <v>419</v>
      </c>
      <c r="D67" s="286">
        <v>1000</v>
      </c>
      <c r="E67" s="286">
        <v>100</v>
      </c>
      <c r="F67" s="308">
        <f>Table13[[#This Row],[AMOUNT]]*(Table13[[#This Row],[TARGET]]-E68)</f>
        <v>30000</v>
      </c>
      <c r="G67" s="286" t="s">
        <v>419</v>
      </c>
      <c r="H67" s="310">
        <v>1000</v>
      </c>
      <c r="I67" s="310">
        <v>100</v>
      </c>
      <c r="J67" s="308">
        <f>Table13[[#This Row],[AMOUNT NEW]]*(Table13[[#This Row],[TARGET NEW]]-I68)</f>
        <v>30000</v>
      </c>
    </row>
    <row r="68" spans="2:10">
      <c r="B68" s="286">
        <v>2</v>
      </c>
      <c r="C68" s="286" t="s">
        <v>419</v>
      </c>
      <c r="D68" s="286">
        <v>1200</v>
      </c>
      <c r="E68" s="286">
        <v>70</v>
      </c>
      <c r="F68" s="308">
        <f>Table13[[#This Row],[AMOUNT]]*(Table13[[#This Row],[TARGET]]-E69)</f>
        <v>48000</v>
      </c>
      <c r="G68" s="286" t="s">
        <v>419</v>
      </c>
      <c r="H68" s="310">
        <v>1200</v>
      </c>
      <c r="I68" s="310">
        <v>70</v>
      </c>
      <c r="J68" s="308">
        <f>Table13[[#This Row],[AMOUNT NEW]]*(Table13[[#This Row],[TARGET NEW]]-I69)</f>
        <v>48000</v>
      </c>
    </row>
    <row r="69" spans="2:10">
      <c r="B69" s="286">
        <v>2</v>
      </c>
      <c r="C69" s="286" t="s">
        <v>419</v>
      </c>
      <c r="D69" s="286">
        <v>1500</v>
      </c>
      <c r="E69" s="286">
        <v>30</v>
      </c>
      <c r="F69" s="308">
        <f>Table13[[#This Row],[AMOUNT]]*(Table13[[#This Row],[TARGET]]-E70)</f>
        <v>37500</v>
      </c>
      <c r="G69" s="286" t="s">
        <v>419</v>
      </c>
      <c r="H69" s="310">
        <v>1500</v>
      </c>
      <c r="I69" s="310">
        <v>30</v>
      </c>
      <c r="J69" s="308">
        <f>Table13[[#This Row],[AMOUNT NEW]]*(Table13[[#This Row],[TARGET NEW]]-I70)</f>
        <v>37500</v>
      </c>
    </row>
    <row r="70" spans="2:10">
      <c r="B70" s="286">
        <v>2</v>
      </c>
      <c r="C70" s="286" t="s">
        <v>419</v>
      </c>
      <c r="D70" s="286">
        <v>2000</v>
      </c>
      <c r="E70" s="286">
        <v>5</v>
      </c>
      <c r="F70" s="308">
        <f>Table13[[#This Row],[AMOUNT]]*(Table13[[#This Row],[TARGET]]-E71)</f>
        <v>8000</v>
      </c>
      <c r="G70" s="286" t="s">
        <v>419</v>
      </c>
      <c r="H70" s="310">
        <v>2000</v>
      </c>
      <c r="I70" s="310">
        <v>5</v>
      </c>
      <c r="J70" s="308">
        <f>Table13[[#This Row],[AMOUNT NEW]]*(Table13[[#This Row],[TARGET NEW]]-I71)</f>
        <v>8000</v>
      </c>
    </row>
    <row r="71" spans="2:10">
      <c r="B71" s="286">
        <v>2</v>
      </c>
      <c r="C71" s="286" t="s">
        <v>419</v>
      </c>
      <c r="D71" s="286">
        <v>2500</v>
      </c>
      <c r="E71" s="286">
        <v>1</v>
      </c>
      <c r="F71" s="308">
        <f>Table13[[#This Row],[AMOUNT]]</f>
        <v>2500</v>
      </c>
      <c r="G71" s="286" t="s">
        <v>419</v>
      </c>
      <c r="H71" s="310">
        <v>2500</v>
      </c>
      <c r="I71" s="310">
        <v>1</v>
      </c>
      <c r="J71" s="308">
        <f>Table13[[#This Row],[AMOUNT NEW]]</f>
        <v>2500</v>
      </c>
    </row>
    <row r="72" spans="2:10">
      <c r="B72" s="286">
        <v>3</v>
      </c>
      <c r="C72" s="286" t="s">
        <v>419</v>
      </c>
      <c r="D72" s="286">
        <v>2500</v>
      </c>
      <c r="E72" s="286">
        <v>100</v>
      </c>
      <c r="F72" s="308">
        <f>Table13[[#This Row],[AMOUNT]]*(Table13[[#This Row],[TARGET]]-E73)</f>
        <v>75000</v>
      </c>
      <c r="G72" s="286" t="s">
        <v>419</v>
      </c>
      <c r="H72" s="310">
        <v>2500</v>
      </c>
      <c r="I72" s="310">
        <v>100</v>
      </c>
      <c r="J72" s="308">
        <f>Table13[[#This Row],[AMOUNT NEW]]*(Table13[[#This Row],[TARGET NEW]]-I73)</f>
        <v>75000</v>
      </c>
    </row>
    <row r="73" spans="2:10">
      <c r="B73" s="286">
        <v>3</v>
      </c>
      <c r="C73" s="286" t="s">
        <v>419</v>
      </c>
      <c r="D73" s="286">
        <v>3000</v>
      </c>
      <c r="E73" s="286">
        <v>70</v>
      </c>
      <c r="F73" s="308">
        <f>Table13[[#This Row],[AMOUNT]]*(Table13[[#This Row],[TARGET]]-E74)</f>
        <v>120000</v>
      </c>
      <c r="G73" s="286" t="s">
        <v>419</v>
      </c>
      <c r="H73" s="310">
        <v>3000</v>
      </c>
      <c r="I73" s="310">
        <v>70</v>
      </c>
      <c r="J73" s="308">
        <f>Table13[[#This Row],[AMOUNT NEW]]*(Table13[[#This Row],[TARGET NEW]]-I74)</f>
        <v>120000</v>
      </c>
    </row>
    <row r="74" spans="2:10">
      <c r="B74" s="286">
        <v>3</v>
      </c>
      <c r="C74" s="286" t="s">
        <v>419</v>
      </c>
      <c r="D74" s="286">
        <v>3500</v>
      </c>
      <c r="E74" s="286">
        <v>30</v>
      </c>
      <c r="F74" s="308">
        <f>Table13[[#This Row],[AMOUNT]]*(Table13[[#This Row],[TARGET]]-E75)</f>
        <v>87500</v>
      </c>
      <c r="G74" s="286" t="s">
        <v>419</v>
      </c>
      <c r="H74" s="310">
        <v>3500</v>
      </c>
      <c r="I74" s="310">
        <v>30</v>
      </c>
      <c r="J74" s="308">
        <f>Table13[[#This Row],[AMOUNT NEW]]*(Table13[[#This Row],[TARGET NEW]]-I75)</f>
        <v>87500</v>
      </c>
    </row>
    <row r="75" spans="2:10">
      <c r="B75" s="286">
        <v>3</v>
      </c>
      <c r="C75" s="286" t="s">
        <v>419</v>
      </c>
      <c r="D75" s="286">
        <v>4000</v>
      </c>
      <c r="E75" s="286">
        <v>5</v>
      </c>
      <c r="F75" s="308">
        <f>Table13[[#This Row],[AMOUNT]]*(Table13[[#This Row],[TARGET]]-E76)</f>
        <v>16000</v>
      </c>
      <c r="G75" s="286" t="s">
        <v>419</v>
      </c>
      <c r="H75" s="310">
        <v>4000</v>
      </c>
      <c r="I75" s="310">
        <v>5</v>
      </c>
      <c r="J75" s="308">
        <f>Table13[[#This Row],[AMOUNT NEW]]*(Table13[[#This Row],[TARGET NEW]]-I76)</f>
        <v>16000</v>
      </c>
    </row>
    <row r="76" spans="2:10">
      <c r="B76" s="286">
        <v>3</v>
      </c>
      <c r="C76" s="286" t="s">
        <v>422</v>
      </c>
      <c r="D76" s="286" t="s">
        <v>228</v>
      </c>
      <c r="E76" s="286">
        <v>1</v>
      </c>
      <c r="F76" s="308">
        <v>0</v>
      </c>
      <c r="G76" s="286" t="s">
        <v>422</v>
      </c>
      <c r="H76" s="310" t="s">
        <v>228</v>
      </c>
      <c r="I76" s="310">
        <v>1</v>
      </c>
      <c r="J76" s="308"/>
    </row>
    <row r="77" spans="2:10">
      <c r="B77" s="286">
        <v>4</v>
      </c>
      <c r="C77" s="286" t="s">
        <v>419</v>
      </c>
      <c r="D77" s="286">
        <v>4000</v>
      </c>
      <c r="E77" s="286">
        <v>100</v>
      </c>
      <c r="F77" s="308">
        <f>Table13[[#This Row],[AMOUNT]]*(Table13[[#This Row],[TARGET]]-E78)</f>
        <v>120000</v>
      </c>
      <c r="G77" s="286" t="s">
        <v>419</v>
      </c>
      <c r="H77" s="310">
        <v>4000</v>
      </c>
      <c r="I77" s="310">
        <v>100</v>
      </c>
      <c r="J77" s="308">
        <f>Table13[[#This Row],[AMOUNT NEW]]*(Table13[[#This Row],[TARGET NEW]]-I78)</f>
        <v>120000</v>
      </c>
    </row>
    <row r="78" spans="2:10">
      <c r="B78" s="286">
        <v>4</v>
      </c>
      <c r="C78" s="286" t="s">
        <v>419</v>
      </c>
      <c r="D78" s="286">
        <v>4500</v>
      </c>
      <c r="E78" s="286">
        <v>70</v>
      </c>
      <c r="F78" s="308">
        <f>Table13[[#This Row],[AMOUNT]]*(Table13[[#This Row],[TARGET]]-E79)</f>
        <v>180000</v>
      </c>
      <c r="G78" s="286" t="s">
        <v>419</v>
      </c>
      <c r="H78" s="310">
        <v>4500</v>
      </c>
      <c r="I78" s="310">
        <v>70</v>
      </c>
      <c r="J78" s="308">
        <f>Table13[[#This Row],[AMOUNT NEW]]*(Table13[[#This Row],[TARGET NEW]]-I79)</f>
        <v>180000</v>
      </c>
    </row>
    <row r="79" spans="2:10">
      <c r="B79" s="286">
        <v>4</v>
      </c>
      <c r="C79" s="286" t="s">
        <v>419</v>
      </c>
      <c r="D79" s="286">
        <v>5000</v>
      </c>
      <c r="E79" s="286">
        <v>30</v>
      </c>
      <c r="F79" s="308">
        <f>Table13[[#This Row],[AMOUNT]]*(Table13[[#This Row],[TARGET]]-E80)</f>
        <v>125000</v>
      </c>
      <c r="G79" s="286" t="s">
        <v>419</v>
      </c>
      <c r="H79" s="310">
        <v>5000</v>
      </c>
      <c r="I79" s="310">
        <v>30</v>
      </c>
      <c r="J79" s="308">
        <f>Table13[[#This Row],[AMOUNT NEW]]*(Table13[[#This Row],[TARGET NEW]]-I80)</f>
        <v>125000</v>
      </c>
    </row>
    <row r="80" spans="2:10">
      <c r="B80" s="286">
        <v>4</v>
      </c>
      <c r="C80" s="286" t="s">
        <v>419</v>
      </c>
      <c r="D80" s="286">
        <v>5500</v>
      </c>
      <c r="E80" s="286">
        <v>5</v>
      </c>
      <c r="F80" s="308">
        <f>Table13[[#This Row],[AMOUNT]]*(Table13[[#This Row],[TARGET]]-E81)</f>
        <v>22000</v>
      </c>
      <c r="G80" s="286" t="s">
        <v>419</v>
      </c>
      <c r="H80" s="310">
        <v>5500</v>
      </c>
      <c r="I80" s="310">
        <v>5</v>
      </c>
      <c r="J80" s="308">
        <f>Table13[[#This Row],[AMOUNT NEW]]*(Table13[[#This Row],[TARGET NEW]]-I81)</f>
        <v>22000</v>
      </c>
    </row>
    <row r="81" spans="2:10">
      <c r="B81" s="286">
        <v>4</v>
      </c>
      <c r="C81" s="286" t="s">
        <v>422</v>
      </c>
      <c r="D81" s="286" t="s">
        <v>228</v>
      </c>
      <c r="E81" s="286">
        <v>1</v>
      </c>
      <c r="F81" s="308">
        <v>0</v>
      </c>
      <c r="G81" s="286" t="s">
        <v>422</v>
      </c>
      <c r="H81" s="310" t="s">
        <v>228</v>
      </c>
      <c r="I81" s="310">
        <v>1</v>
      </c>
      <c r="J81" s="308"/>
    </row>
    <row r="82" spans="2:10">
      <c r="B82" s="286">
        <v>5</v>
      </c>
      <c r="C82" s="286" t="s">
        <v>419</v>
      </c>
      <c r="D82" s="286">
        <v>5500</v>
      </c>
      <c r="E82" s="286">
        <v>100</v>
      </c>
      <c r="F82" s="308">
        <f>Table13[[#This Row],[AMOUNT]]*(Table13[[#This Row],[TARGET]]-E83)</f>
        <v>165000</v>
      </c>
      <c r="G82" s="286" t="s">
        <v>419</v>
      </c>
      <c r="H82" s="310">
        <v>5500</v>
      </c>
      <c r="I82" s="310">
        <v>100</v>
      </c>
      <c r="J82" s="308">
        <f>Table13[[#This Row],[AMOUNT NEW]]*(Table13[[#This Row],[TARGET NEW]]-I83)</f>
        <v>165000</v>
      </c>
    </row>
    <row r="83" spans="2:10">
      <c r="B83" s="286">
        <v>5</v>
      </c>
      <c r="C83" s="286" t="s">
        <v>419</v>
      </c>
      <c r="D83" s="286">
        <v>6000</v>
      </c>
      <c r="E83" s="286">
        <v>70</v>
      </c>
      <c r="F83" s="308">
        <f>Table13[[#This Row],[AMOUNT]]*(Table13[[#This Row],[TARGET]]-E84)</f>
        <v>240000</v>
      </c>
      <c r="G83" s="286" t="s">
        <v>419</v>
      </c>
      <c r="H83" s="310">
        <v>6000</v>
      </c>
      <c r="I83" s="310">
        <v>70</v>
      </c>
      <c r="J83" s="308">
        <f>Table13[[#This Row],[AMOUNT NEW]]*(Table13[[#This Row],[TARGET NEW]]-I84)</f>
        <v>240000</v>
      </c>
    </row>
    <row r="84" spans="2:10">
      <c r="B84" s="286">
        <v>5</v>
      </c>
      <c r="C84" s="286" t="s">
        <v>419</v>
      </c>
      <c r="D84" s="286">
        <v>6500</v>
      </c>
      <c r="E84" s="286">
        <v>30</v>
      </c>
      <c r="F84" s="308">
        <f>Table13[[#This Row],[AMOUNT]]*(Table13[[#This Row],[TARGET]]-E85)</f>
        <v>162500</v>
      </c>
      <c r="G84" s="286" t="s">
        <v>419</v>
      </c>
      <c r="H84" s="310">
        <v>6500</v>
      </c>
      <c r="I84" s="310">
        <v>30</v>
      </c>
      <c r="J84" s="308">
        <f>Table13[[#This Row],[AMOUNT NEW]]*(Table13[[#This Row],[TARGET NEW]]-I85)</f>
        <v>162500</v>
      </c>
    </row>
    <row r="85" spans="2:10">
      <c r="B85" s="286">
        <v>5</v>
      </c>
      <c r="C85" s="286" t="s">
        <v>419</v>
      </c>
      <c r="D85" s="286">
        <v>7000</v>
      </c>
      <c r="E85" s="286">
        <v>5</v>
      </c>
      <c r="F85" s="308">
        <f>Table13[[#This Row],[AMOUNT]]*(Table13[[#This Row],[TARGET]]-E86)</f>
        <v>28000</v>
      </c>
      <c r="G85" s="286" t="s">
        <v>419</v>
      </c>
      <c r="H85" s="310">
        <v>7000</v>
      </c>
      <c r="I85" s="310">
        <v>5</v>
      </c>
      <c r="J85" s="308">
        <f>Table13[[#This Row],[AMOUNT NEW]]*(Table13[[#This Row],[TARGET NEW]]-I86)</f>
        <v>28000</v>
      </c>
    </row>
    <row r="86" spans="2:10">
      <c r="B86" s="286">
        <v>5</v>
      </c>
      <c r="C86" s="286" t="s">
        <v>422</v>
      </c>
      <c r="D86" s="286" t="s">
        <v>228</v>
      </c>
      <c r="E86" s="286">
        <v>1</v>
      </c>
      <c r="F86" s="308">
        <v>0</v>
      </c>
      <c r="G86" s="286" t="s">
        <v>422</v>
      </c>
      <c r="H86" s="310" t="s">
        <v>228</v>
      </c>
      <c r="I86" s="310">
        <v>1</v>
      </c>
      <c r="J86" s="308"/>
    </row>
    <row r="87" spans="2:10">
      <c r="B87" s="286">
        <v>6</v>
      </c>
      <c r="C87" s="286" t="s">
        <v>419</v>
      </c>
      <c r="D87" s="286">
        <v>7000</v>
      </c>
      <c r="E87" s="286">
        <v>100</v>
      </c>
      <c r="F87" s="308">
        <f>Table13[[#This Row],[AMOUNT]]*(Table13[[#This Row],[TARGET]]-E88)</f>
        <v>210000</v>
      </c>
      <c r="G87" s="286" t="s">
        <v>419</v>
      </c>
      <c r="H87" s="310">
        <v>7000</v>
      </c>
      <c r="I87" s="310">
        <v>100</v>
      </c>
      <c r="J87" s="308">
        <f>Table13[[#This Row],[AMOUNT NEW]]*(Table13[[#This Row],[TARGET NEW]]-I88)</f>
        <v>210000</v>
      </c>
    </row>
    <row r="88" spans="2:10">
      <c r="B88" s="286">
        <v>6</v>
      </c>
      <c r="C88" s="286" t="s">
        <v>419</v>
      </c>
      <c r="D88" s="286">
        <v>7500</v>
      </c>
      <c r="E88" s="286">
        <v>70</v>
      </c>
      <c r="F88" s="308">
        <f>Table13[[#This Row],[AMOUNT]]*(Table13[[#This Row],[TARGET]]-E89)</f>
        <v>300000</v>
      </c>
      <c r="G88" s="286" t="s">
        <v>419</v>
      </c>
      <c r="H88" s="310">
        <v>7500</v>
      </c>
      <c r="I88" s="310">
        <v>70</v>
      </c>
      <c r="J88" s="308">
        <f>Table13[[#This Row],[AMOUNT NEW]]*(Table13[[#This Row],[TARGET NEW]]-I89)</f>
        <v>300000</v>
      </c>
    </row>
    <row r="89" spans="2:10">
      <c r="B89" s="286">
        <v>6</v>
      </c>
      <c r="C89" s="286" t="s">
        <v>419</v>
      </c>
      <c r="D89" s="286">
        <v>8000</v>
      </c>
      <c r="E89" s="286">
        <v>30</v>
      </c>
      <c r="F89" s="308">
        <f>Table13[[#This Row],[AMOUNT]]*(Table13[[#This Row],[TARGET]]-E90)</f>
        <v>200000</v>
      </c>
      <c r="G89" s="286" t="s">
        <v>419</v>
      </c>
      <c r="H89" s="310">
        <v>8000</v>
      </c>
      <c r="I89" s="310">
        <v>30</v>
      </c>
      <c r="J89" s="308">
        <f>Table13[[#This Row],[AMOUNT NEW]]*(Table13[[#This Row],[TARGET NEW]]-I90)</f>
        <v>200000</v>
      </c>
    </row>
    <row r="90" spans="2:10">
      <c r="B90" s="286">
        <v>6</v>
      </c>
      <c r="C90" s="286" t="s">
        <v>419</v>
      </c>
      <c r="D90" s="286">
        <v>8500</v>
      </c>
      <c r="E90" s="286">
        <v>5</v>
      </c>
      <c r="F90" s="308">
        <f>Table13[[#This Row],[AMOUNT]]*(Table13[[#This Row],[TARGET]]-E91)</f>
        <v>34000</v>
      </c>
      <c r="G90" s="286" t="s">
        <v>419</v>
      </c>
      <c r="H90" s="310">
        <v>8500</v>
      </c>
      <c r="I90" s="310">
        <v>5</v>
      </c>
      <c r="J90" s="308">
        <f>Table13[[#This Row],[AMOUNT NEW]]*(Table13[[#This Row],[TARGET NEW]]-I91)</f>
        <v>34000</v>
      </c>
    </row>
    <row r="91" spans="2:10">
      <c r="B91" s="286">
        <v>6</v>
      </c>
      <c r="C91" s="286" t="s">
        <v>422</v>
      </c>
      <c r="D91" s="286" t="s">
        <v>228</v>
      </c>
      <c r="E91" s="286">
        <v>1</v>
      </c>
      <c r="F91" s="308">
        <v>0</v>
      </c>
      <c r="G91" s="286" t="s">
        <v>422</v>
      </c>
      <c r="H91" s="310" t="s">
        <v>228</v>
      </c>
      <c r="I91" s="310">
        <v>1</v>
      </c>
      <c r="J91" s="308"/>
    </row>
    <row r="92" spans="2:10">
      <c r="B92" s="286">
        <v>7</v>
      </c>
      <c r="C92" s="286" t="s">
        <v>419</v>
      </c>
      <c r="D92" s="286">
        <v>8500</v>
      </c>
      <c r="E92" s="286">
        <v>100</v>
      </c>
      <c r="F92" s="308">
        <f>Table13[[#This Row],[AMOUNT]]*(Table13[[#This Row],[TARGET]]-E93)</f>
        <v>255000</v>
      </c>
      <c r="G92" s="286" t="s">
        <v>419</v>
      </c>
      <c r="H92" s="310">
        <v>8500</v>
      </c>
      <c r="I92" s="310">
        <v>100</v>
      </c>
      <c r="J92" s="308">
        <f>Table13[[#This Row],[AMOUNT NEW]]*(Table13[[#This Row],[TARGET NEW]]-I93)</f>
        <v>255000</v>
      </c>
    </row>
    <row r="93" spans="2:10">
      <c r="B93" s="286">
        <v>7</v>
      </c>
      <c r="C93" s="286" t="s">
        <v>419</v>
      </c>
      <c r="D93" s="286">
        <v>9000</v>
      </c>
      <c r="E93" s="286">
        <v>70</v>
      </c>
      <c r="F93" s="308">
        <f>Table13[[#This Row],[AMOUNT]]*(Table13[[#This Row],[TARGET]]-E94)</f>
        <v>360000</v>
      </c>
      <c r="G93" s="286" t="s">
        <v>419</v>
      </c>
      <c r="H93" s="310">
        <v>9000</v>
      </c>
      <c r="I93" s="310">
        <v>70</v>
      </c>
      <c r="J93" s="308">
        <f>Table13[[#This Row],[AMOUNT NEW]]*(Table13[[#This Row],[TARGET NEW]]-I94)</f>
        <v>360000</v>
      </c>
    </row>
    <row r="94" spans="2:10">
      <c r="B94" s="286">
        <v>7</v>
      </c>
      <c r="C94" s="286" t="s">
        <v>419</v>
      </c>
      <c r="D94" s="286">
        <v>9500</v>
      </c>
      <c r="E94" s="286">
        <v>30</v>
      </c>
      <c r="F94" s="308">
        <f>Table13[[#This Row],[AMOUNT]]*(Table13[[#This Row],[TARGET]]-E95)</f>
        <v>237500</v>
      </c>
      <c r="G94" s="286" t="s">
        <v>419</v>
      </c>
      <c r="H94" s="310">
        <v>9500</v>
      </c>
      <c r="I94" s="310">
        <v>30</v>
      </c>
      <c r="J94" s="308">
        <f>Table13[[#This Row],[AMOUNT NEW]]*(Table13[[#This Row],[TARGET NEW]]-I95)</f>
        <v>237500</v>
      </c>
    </row>
    <row r="95" spans="2:10">
      <c r="B95" s="286">
        <v>7</v>
      </c>
      <c r="C95" s="286" t="s">
        <v>419</v>
      </c>
      <c r="D95" s="286">
        <v>10000</v>
      </c>
      <c r="E95" s="286">
        <v>5</v>
      </c>
      <c r="F95" s="308">
        <f>Table13[[#This Row],[AMOUNT]]*(Table13[[#This Row],[TARGET]]-E96)</f>
        <v>40000</v>
      </c>
      <c r="G95" s="286" t="s">
        <v>419</v>
      </c>
      <c r="H95" s="310">
        <v>10000</v>
      </c>
      <c r="I95" s="310">
        <v>5</v>
      </c>
      <c r="J95" s="308">
        <f>Table13[[#This Row],[AMOUNT NEW]]*(Table13[[#This Row],[TARGET NEW]]-I96)</f>
        <v>40000</v>
      </c>
    </row>
    <row r="96" spans="2:10">
      <c r="B96" s="286">
        <v>7</v>
      </c>
      <c r="C96" s="286" t="s">
        <v>422</v>
      </c>
      <c r="D96" s="286" t="s">
        <v>228</v>
      </c>
      <c r="E96" s="286">
        <v>1</v>
      </c>
      <c r="F96" s="308">
        <v>0</v>
      </c>
      <c r="G96" s="286" t="s">
        <v>422</v>
      </c>
      <c r="H96" s="310" t="s">
        <v>228</v>
      </c>
      <c r="I96" s="310">
        <v>1</v>
      </c>
      <c r="J96" s="308"/>
    </row>
    <row r="97" spans="2:10">
      <c r="B97" s="286">
        <v>8</v>
      </c>
      <c r="C97" s="286" t="s">
        <v>419</v>
      </c>
      <c r="D97" s="286">
        <v>10000</v>
      </c>
      <c r="E97" s="286">
        <v>100</v>
      </c>
      <c r="F97" s="308">
        <f>Table13[[#This Row],[AMOUNT]]*(Table13[[#This Row],[TARGET]]-E98)</f>
        <v>300000</v>
      </c>
      <c r="G97" s="286" t="s">
        <v>419</v>
      </c>
      <c r="H97" s="310">
        <v>10000</v>
      </c>
      <c r="I97" s="310">
        <v>100</v>
      </c>
      <c r="J97" s="308">
        <f>Table13[[#This Row],[AMOUNT NEW]]*(Table13[[#This Row],[TARGET NEW]]-I98)</f>
        <v>300000</v>
      </c>
    </row>
    <row r="98" spans="2:10">
      <c r="B98" s="286">
        <v>8</v>
      </c>
      <c r="C98" s="286" t="s">
        <v>419</v>
      </c>
      <c r="D98" s="286">
        <v>10500</v>
      </c>
      <c r="E98" s="286">
        <v>70</v>
      </c>
      <c r="F98" s="308">
        <f>Table13[[#This Row],[AMOUNT]]*(Table13[[#This Row],[TARGET]]-E99)</f>
        <v>420000</v>
      </c>
      <c r="G98" s="286" t="s">
        <v>419</v>
      </c>
      <c r="H98" s="310">
        <v>10500</v>
      </c>
      <c r="I98" s="310">
        <v>70</v>
      </c>
      <c r="J98" s="308">
        <f>Table13[[#This Row],[AMOUNT NEW]]*(Table13[[#This Row],[TARGET NEW]]-I99)</f>
        <v>420000</v>
      </c>
    </row>
    <row r="99" spans="2:10">
      <c r="B99" s="286">
        <v>8</v>
      </c>
      <c r="C99" s="286" t="s">
        <v>419</v>
      </c>
      <c r="D99" s="286">
        <v>11000</v>
      </c>
      <c r="E99" s="286">
        <v>30</v>
      </c>
      <c r="F99" s="308">
        <f>Table13[[#This Row],[AMOUNT]]*(Table13[[#This Row],[TARGET]]-E100)</f>
        <v>275000</v>
      </c>
      <c r="G99" s="286" t="s">
        <v>419</v>
      </c>
      <c r="H99" s="310">
        <v>11000</v>
      </c>
      <c r="I99" s="310">
        <v>30</v>
      </c>
      <c r="J99" s="308">
        <f>Table13[[#This Row],[AMOUNT NEW]]*(Table13[[#This Row],[TARGET NEW]]-I100)</f>
        <v>275000</v>
      </c>
    </row>
    <row r="100" spans="2:10">
      <c r="B100" s="286">
        <v>8</v>
      </c>
      <c r="C100" s="286" t="s">
        <v>413</v>
      </c>
      <c r="D100" s="286">
        <v>5</v>
      </c>
      <c r="E100" s="286">
        <v>5</v>
      </c>
      <c r="F100" s="308">
        <f>Table13[[#This Row],[AMOUNT]]*(Table13[[#This Row],[TARGET]]-E101)</f>
        <v>20</v>
      </c>
      <c r="G100" s="286" t="s">
        <v>413</v>
      </c>
      <c r="H100" s="310">
        <v>5</v>
      </c>
      <c r="I100" s="310">
        <v>5</v>
      </c>
      <c r="J100" s="308">
        <f>Table13[[#This Row],[AMOUNT NEW]]*(Table13[[#This Row],[TARGET NEW]]-I101)</f>
        <v>20</v>
      </c>
    </row>
    <row r="101" spans="2:10">
      <c r="B101" s="286">
        <v>8</v>
      </c>
      <c r="C101" s="286" t="s">
        <v>422</v>
      </c>
      <c r="D101" s="286" t="s">
        <v>228</v>
      </c>
      <c r="E101" s="286">
        <v>1</v>
      </c>
      <c r="F101" s="308">
        <v>0</v>
      </c>
      <c r="G101" s="286" t="s">
        <v>422</v>
      </c>
      <c r="H101" s="310" t="s">
        <v>228</v>
      </c>
      <c r="I101" s="310">
        <v>1</v>
      </c>
      <c r="J101" s="308"/>
    </row>
    <row r="102" spans="2:10">
      <c r="B102" s="286">
        <v>9</v>
      </c>
      <c r="C102" s="286" t="s">
        <v>419</v>
      </c>
      <c r="D102" s="286">
        <v>11500</v>
      </c>
      <c r="E102" s="286">
        <v>100</v>
      </c>
      <c r="F102" s="308">
        <f>Table13[[#This Row],[AMOUNT]]*(Table13[[#This Row],[TARGET]]-E103)</f>
        <v>345000</v>
      </c>
      <c r="G102" s="286" t="s">
        <v>419</v>
      </c>
      <c r="H102" s="310">
        <v>11500</v>
      </c>
      <c r="I102" s="310">
        <v>100</v>
      </c>
      <c r="J102" s="308">
        <f>Table13[[#This Row],[AMOUNT NEW]]*(Table13[[#This Row],[TARGET NEW]]-I103)</f>
        <v>345000</v>
      </c>
    </row>
    <row r="103" spans="2:10">
      <c r="B103" s="286">
        <v>9</v>
      </c>
      <c r="C103" s="286" t="s">
        <v>419</v>
      </c>
      <c r="D103" s="286">
        <v>12000</v>
      </c>
      <c r="E103" s="286">
        <v>70</v>
      </c>
      <c r="F103" s="308">
        <f>Table13[[#This Row],[AMOUNT]]*(Table13[[#This Row],[TARGET]]-E104)</f>
        <v>480000</v>
      </c>
      <c r="G103" s="286" t="s">
        <v>419</v>
      </c>
      <c r="H103" s="310">
        <v>12000</v>
      </c>
      <c r="I103" s="310">
        <v>70</v>
      </c>
      <c r="J103" s="308">
        <f>Table13[[#This Row],[AMOUNT NEW]]*(Table13[[#This Row],[TARGET NEW]]-I104)</f>
        <v>480000</v>
      </c>
    </row>
    <row r="104" spans="2:10">
      <c r="B104" s="286">
        <v>9</v>
      </c>
      <c r="C104" s="286" t="s">
        <v>419</v>
      </c>
      <c r="D104" s="286">
        <v>12500</v>
      </c>
      <c r="E104" s="286">
        <v>30</v>
      </c>
      <c r="F104" s="308">
        <f>Table13[[#This Row],[AMOUNT]]*(Table13[[#This Row],[TARGET]]-E105)</f>
        <v>312500</v>
      </c>
      <c r="G104" s="286" t="s">
        <v>419</v>
      </c>
      <c r="H104" s="310">
        <v>12500</v>
      </c>
      <c r="I104" s="310">
        <v>30</v>
      </c>
      <c r="J104" s="308">
        <f>Table13[[#This Row],[AMOUNT NEW]]*(Table13[[#This Row],[TARGET NEW]]-I105)</f>
        <v>312500</v>
      </c>
    </row>
    <row r="105" spans="2:10">
      <c r="B105" s="286">
        <v>9</v>
      </c>
      <c r="C105" s="286" t="s">
        <v>413</v>
      </c>
      <c r="D105" s="286">
        <v>5</v>
      </c>
      <c r="E105" s="286">
        <v>5</v>
      </c>
      <c r="F105" s="308">
        <f>Table13[[#This Row],[AMOUNT]]*(Table13[[#This Row],[TARGET]]-E106)</f>
        <v>20</v>
      </c>
      <c r="G105" s="286" t="s">
        <v>413</v>
      </c>
      <c r="H105" s="310">
        <v>5</v>
      </c>
      <c r="I105" s="310">
        <v>5</v>
      </c>
      <c r="J105" s="308">
        <f>Table13[[#This Row],[AMOUNT NEW]]*(Table13[[#This Row],[TARGET NEW]]-I106)</f>
        <v>20</v>
      </c>
    </row>
    <row r="106" spans="2:10">
      <c r="B106" s="286">
        <v>9</v>
      </c>
      <c r="C106" s="286" t="s">
        <v>422</v>
      </c>
      <c r="D106" s="286" t="s">
        <v>228</v>
      </c>
      <c r="E106" s="286">
        <v>1</v>
      </c>
      <c r="F106" s="308">
        <v>0</v>
      </c>
      <c r="G106" s="286" t="s">
        <v>422</v>
      </c>
      <c r="H106" s="310" t="s">
        <v>228</v>
      </c>
      <c r="I106" s="310">
        <v>1</v>
      </c>
      <c r="J106" s="308"/>
    </row>
    <row r="107" spans="2:10">
      <c r="B107" s="286">
        <v>10</v>
      </c>
      <c r="C107" s="286" t="s">
        <v>419</v>
      </c>
      <c r="D107" s="286">
        <v>12500</v>
      </c>
      <c r="E107" s="286">
        <v>100</v>
      </c>
      <c r="F107" s="308">
        <f>Table13[[#This Row],[AMOUNT]]*(Table13[[#This Row],[TARGET]]-E108)</f>
        <v>375000</v>
      </c>
      <c r="G107" s="286" t="s">
        <v>419</v>
      </c>
      <c r="H107" s="310">
        <v>12500</v>
      </c>
      <c r="I107" s="310">
        <v>100</v>
      </c>
      <c r="J107" s="308">
        <f>Table13[[#This Row],[AMOUNT NEW]]*(Table13[[#This Row],[TARGET NEW]]-I108)</f>
        <v>375000</v>
      </c>
    </row>
    <row r="108" spans="2:10">
      <c r="B108" s="286">
        <v>10</v>
      </c>
      <c r="C108" s="286" t="s">
        <v>419</v>
      </c>
      <c r="D108" s="286">
        <v>13000</v>
      </c>
      <c r="E108" s="286">
        <v>70</v>
      </c>
      <c r="F108" s="308">
        <f>Table13[[#This Row],[AMOUNT]]*(Table13[[#This Row],[TARGET]]-E109)</f>
        <v>520000</v>
      </c>
      <c r="G108" s="286" t="s">
        <v>419</v>
      </c>
      <c r="H108" s="310">
        <v>13000</v>
      </c>
      <c r="I108" s="310">
        <v>70</v>
      </c>
      <c r="J108" s="308">
        <f>Table13[[#This Row],[AMOUNT NEW]]*(Table13[[#This Row],[TARGET NEW]]-I109)</f>
        <v>520000</v>
      </c>
    </row>
    <row r="109" spans="2:10">
      <c r="B109" s="286">
        <v>10</v>
      </c>
      <c r="C109" s="286" t="s">
        <v>419</v>
      </c>
      <c r="D109" s="286">
        <v>13500</v>
      </c>
      <c r="E109" s="286">
        <v>30</v>
      </c>
      <c r="F109" s="308">
        <f>Table13[[#This Row],[AMOUNT]]*(Table13[[#This Row],[TARGET]]-E110)</f>
        <v>337500</v>
      </c>
      <c r="G109" s="286" t="s">
        <v>419</v>
      </c>
      <c r="H109" s="310">
        <v>13500</v>
      </c>
      <c r="I109" s="310">
        <v>30</v>
      </c>
      <c r="J109" s="308">
        <f>Table13[[#This Row],[AMOUNT NEW]]*(Table13[[#This Row],[TARGET NEW]]-I110)</f>
        <v>337500</v>
      </c>
    </row>
    <row r="110" spans="2:10">
      <c r="B110" s="286">
        <v>10</v>
      </c>
      <c r="C110" s="286" t="s">
        <v>413</v>
      </c>
      <c r="D110" s="286">
        <v>10</v>
      </c>
      <c r="E110" s="286">
        <v>5</v>
      </c>
      <c r="F110" s="308">
        <f>Table13[[#This Row],[AMOUNT]]*(Table13[[#This Row],[TARGET]]-E111)</f>
        <v>40</v>
      </c>
      <c r="G110" s="286" t="s">
        <v>413</v>
      </c>
      <c r="H110" s="310">
        <v>10</v>
      </c>
      <c r="I110" s="310">
        <v>5</v>
      </c>
      <c r="J110" s="308">
        <f>Table13[[#This Row],[AMOUNT NEW]]*(Table13[[#This Row],[TARGET NEW]]-I111)</f>
        <v>40</v>
      </c>
    </row>
    <row r="111" spans="2:10">
      <c r="B111" s="287">
        <v>10</v>
      </c>
      <c r="C111" s="287" t="s">
        <v>422</v>
      </c>
      <c r="D111" s="287" t="s">
        <v>229</v>
      </c>
      <c r="E111" s="287">
        <v>1</v>
      </c>
      <c r="F111" s="308">
        <v>0</v>
      </c>
      <c r="G111" s="287" t="s">
        <v>422</v>
      </c>
      <c r="H111" s="298" t="s">
        <v>229</v>
      </c>
      <c r="I111" s="298">
        <v>1</v>
      </c>
      <c r="J111" s="308"/>
    </row>
    <row r="114" spans="2:5">
      <c r="B114" s="273" t="s">
        <v>465</v>
      </c>
      <c r="C114" s="273" t="s">
        <v>464</v>
      </c>
      <c r="D114" s="273" t="s">
        <v>463</v>
      </c>
      <c r="E114" s="273" t="s">
        <v>462</v>
      </c>
    </row>
    <row r="115" spans="2:5">
      <c r="B115" s="1" t="s">
        <v>67</v>
      </c>
      <c r="C115" s="1">
        <v>1</v>
      </c>
      <c r="D115" s="281">
        <v>200</v>
      </c>
      <c r="E115" s="101">
        <v>200</v>
      </c>
    </row>
    <row r="116" spans="2:5">
      <c r="B116" s="1" t="s">
        <v>68</v>
      </c>
      <c r="C116" s="1">
        <v>2</v>
      </c>
      <c r="D116" s="281">
        <v>300</v>
      </c>
      <c r="E116" s="101">
        <v>300</v>
      </c>
    </row>
    <row r="117" spans="2:5">
      <c r="B117" s="1" t="s">
        <v>69</v>
      </c>
      <c r="C117" s="1">
        <v>3</v>
      </c>
      <c r="D117" s="281">
        <v>600</v>
      </c>
      <c r="E117" s="101">
        <v>600</v>
      </c>
    </row>
  </sheetData>
  <mergeCells count="13">
    <mergeCell ref="AK12:AL12"/>
    <mergeCell ref="B22:D22"/>
    <mergeCell ref="B12:D12"/>
    <mergeCell ref="J12:K12"/>
    <mergeCell ref="L12:M12"/>
    <mergeCell ref="T12:V12"/>
    <mergeCell ref="W12:X12"/>
    <mergeCell ref="Y12:Z12"/>
    <mergeCell ref="B60:F60"/>
    <mergeCell ref="AA12:AB12"/>
    <mergeCell ref="AD12:AE12"/>
    <mergeCell ref="AF12:AG12"/>
    <mergeCell ref="AH12:AI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63"/>
  <sheetViews>
    <sheetView topLeftCell="A127" workbookViewId="0">
      <selection activeCell="K10" sqref="K10"/>
    </sheetView>
  </sheetViews>
  <sheetFormatPr defaultRowHeight="14.5"/>
  <cols>
    <col min="1" max="1" width="34.7265625" customWidth="1"/>
    <col min="2" max="2" width="29.54296875" bestFit="1" customWidth="1"/>
    <col min="3" max="3" width="19" customWidth="1"/>
    <col min="4" max="4" width="12.1796875" customWidth="1"/>
    <col min="5" max="5" width="19" customWidth="1"/>
    <col min="6" max="6" width="20.54296875" customWidth="1"/>
    <col min="7" max="7" width="26.81640625" customWidth="1"/>
    <col min="8" max="8" width="22.7265625" customWidth="1"/>
    <col min="9" max="9" width="24" customWidth="1"/>
    <col min="10" max="10" width="18.54296875" customWidth="1"/>
    <col min="11" max="11" width="29.81640625" customWidth="1"/>
    <col min="12" max="12" width="29.1796875" customWidth="1"/>
    <col min="13" max="13" width="22" customWidth="1"/>
    <col min="14" max="14" width="20.1796875" customWidth="1"/>
    <col min="15" max="15" width="24" customWidth="1"/>
    <col min="16" max="16" width="18.54296875" customWidth="1"/>
    <col min="17" max="17" width="21" customWidth="1"/>
    <col min="18" max="18" width="24" customWidth="1"/>
    <col min="19" max="19" width="19.1796875" customWidth="1"/>
    <col min="20" max="20" width="20.54296875" customWidth="1"/>
    <col min="21" max="21" width="27.54296875" customWidth="1"/>
    <col min="22" max="22" width="20.26953125" customWidth="1"/>
    <col min="23" max="23" width="23.54296875" customWidth="1"/>
    <col min="24" max="24" width="26.54296875" customWidth="1"/>
    <col min="25" max="25" width="21.81640625" customWidth="1"/>
    <col min="26" max="26" width="24.54296875" customWidth="1"/>
  </cols>
  <sheetData>
    <row r="1" spans="1:26" ht="19" thickBot="1">
      <c r="A1" s="30" t="s">
        <v>179</v>
      </c>
      <c r="B1" s="36"/>
      <c r="C1" s="36"/>
      <c r="K1" s="190" t="s">
        <v>262</v>
      </c>
    </row>
    <row r="2" spans="1:26" ht="15" thickBot="1">
      <c r="E2" s="176" t="s">
        <v>261</v>
      </c>
      <c r="F2" s="170" t="s">
        <v>181</v>
      </c>
      <c r="G2" s="170" t="s">
        <v>52</v>
      </c>
      <c r="H2" s="170" t="s">
        <v>53</v>
      </c>
      <c r="I2" s="150" t="s">
        <v>260</v>
      </c>
      <c r="K2" s="191" t="s">
        <v>323</v>
      </c>
    </row>
    <row r="3" spans="1:26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26" ht="15" thickBot="1">
      <c r="A4" s="154" t="s">
        <v>53</v>
      </c>
      <c r="B4" s="155">
        <f>ROUND(B13/A13,0)</f>
        <v>15</v>
      </c>
      <c r="C4" s="156" t="s">
        <v>54</v>
      </c>
      <c r="D4" s="147"/>
      <c r="E4" s="178" t="s">
        <v>776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26" ht="15" thickBot="1">
      <c r="A5" t="s">
        <v>255</v>
      </c>
    </row>
    <row r="6" spans="1:26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260</v>
      </c>
    </row>
    <row r="7" spans="1:26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26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26" ht="15" thickBot="1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74" t="s">
        <v>185</v>
      </c>
      <c r="F9" s="180">
        <f>Table11[price HC]*I9</f>
        <v>100</v>
      </c>
      <c r="G9" s="181">
        <f>ROUND(F9/$B$3,2)</f>
        <v>10</v>
      </c>
      <c r="H9" s="181">
        <f t="shared" si="0"/>
        <v>6.67</v>
      </c>
      <c r="I9" s="189">
        <v>10</v>
      </c>
    </row>
    <row r="10" spans="1:26" ht="15" thickBot="1">
      <c r="A10" s="159">
        <v>19.989999999999998</v>
      </c>
      <c r="B10" s="334">
        <f>ROUND(Table47[[#This Row],[Price]]*$B$3+Table47[[#This Row],[Price]]*$B$3*Table47[[#This Row],[Discount]],0)</f>
        <v>250</v>
      </c>
      <c r="C10" s="160">
        <v>0.25</v>
      </c>
    </row>
    <row r="11" spans="1:26">
      <c r="A11" s="157">
        <v>39.99</v>
      </c>
      <c r="B11" s="165">
        <f>ROUND(Table47[[#This Row],[Price]]*$B$3+Table47[[#This Row],[Price]]*$B$3*Table47[[#This Row],[Discount]],0)</f>
        <v>560</v>
      </c>
      <c r="C11" s="158">
        <v>0.4</v>
      </c>
      <c r="E11" s="149" t="s">
        <v>261</v>
      </c>
      <c r="F11" s="170" t="s">
        <v>181</v>
      </c>
      <c r="G11" s="170" t="s">
        <v>52</v>
      </c>
      <c r="H11" s="170" t="s">
        <v>53</v>
      </c>
      <c r="I11" s="150" t="s">
        <v>260</v>
      </c>
      <c r="M11" s="100"/>
    </row>
    <row r="12" spans="1:26">
      <c r="A12" s="159">
        <v>59.99</v>
      </c>
      <c r="B12" s="165">
        <f>ROUND(Table47[[#This Row],[Price]]*$B$3+Table47[[#This Row],[Price]]*$B$3*Table47[[#This Row],[Discount]],0)</f>
        <v>870</v>
      </c>
      <c r="C12" s="160">
        <v>0.45</v>
      </c>
      <c r="E12" s="168" t="s">
        <v>699</v>
      </c>
      <c r="F12" s="166">
        <f>Table11[price HC]*I12</f>
        <v>30</v>
      </c>
      <c r="G12" s="171">
        <f>ROUND(F12/$B$3,2)</f>
        <v>3</v>
      </c>
      <c r="H12" s="171">
        <f>ROUND(F12/$B$4,2)</f>
        <v>2</v>
      </c>
      <c r="I12" s="188">
        <v>3</v>
      </c>
    </row>
    <row r="13" spans="1:26" ht="15" thickBot="1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9" t="s">
        <v>700</v>
      </c>
      <c r="F13" s="175">
        <f>Table11[price HC]*I13</f>
        <v>50</v>
      </c>
      <c r="G13" s="172">
        <f>ROUND(F13/$B$3,2)</f>
        <v>5</v>
      </c>
      <c r="H13" s="172">
        <f>ROUND(F13/$B$4,2)</f>
        <v>3.33</v>
      </c>
      <c r="I13" s="189">
        <v>5</v>
      </c>
    </row>
    <row r="15" spans="1:26" ht="19" thickBot="1">
      <c r="A15" s="30" t="s">
        <v>180</v>
      </c>
      <c r="B15" s="36"/>
      <c r="C15" s="36"/>
      <c r="F15" s="503" t="s">
        <v>202</v>
      </c>
      <c r="G15" s="504"/>
      <c r="H15" s="505"/>
      <c r="I15" s="503" t="s">
        <v>266</v>
      </c>
      <c r="J15" s="504"/>
      <c r="K15" s="505"/>
      <c r="L15" s="503" t="s">
        <v>277</v>
      </c>
      <c r="M15" s="504"/>
      <c r="N15" s="505"/>
      <c r="O15" s="503" t="s">
        <v>278</v>
      </c>
      <c r="P15" s="504"/>
      <c r="Q15" s="505"/>
      <c r="R15" s="503" t="s">
        <v>279</v>
      </c>
      <c r="S15" s="504"/>
      <c r="T15" s="505"/>
      <c r="U15" s="503" t="s">
        <v>492</v>
      </c>
      <c r="V15" s="504"/>
      <c r="W15" s="505"/>
      <c r="X15" s="503" t="s">
        <v>538</v>
      </c>
      <c r="Y15" s="504"/>
      <c r="Z15" s="505"/>
    </row>
    <row r="16" spans="1:26" ht="15" thickBot="1">
      <c r="E16" s="105" t="s">
        <v>4</v>
      </c>
      <c r="F16" s="105" t="s">
        <v>186</v>
      </c>
      <c r="G16" s="358" t="s">
        <v>52</v>
      </c>
      <c r="H16" s="359" t="s">
        <v>53</v>
      </c>
      <c r="I16" s="360" t="s">
        <v>267</v>
      </c>
      <c r="J16" s="201" t="s">
        <v>264</v>
      </c>
      <c r="K16" s="203" t="s">
        <v>265</v>
      </c>
      <c r="L16" s="200" t="s">
        <v>268</v>
      </c>
      <c r="M16" s="201" t="s">
        <v>269</v>
      </c>
      <c r="N16" s="203" t="s">
        <v>270</v>
      </c>
      <c r="O16" s="200" t="s">
        <v>271</v>
      </c>
      <c r="P16" s="201" t="s">
        <v>272</v>
      </c>
      <c r="Q16" s="203" t="s">
        <v>273</v>
      </c>
      <c r="R16" s="200" t="s">
        <v>274</v>
      </c>
      <c r="S16" s="201" t="s">
        <v>275</v>
      </c>
      <c r="T16" s="202" t="s">
        <v>276</v>
      </c>
      <c r="U16" s="361" t="s">
        <v>489</v>
      </c>
      <c r="V16" s="362" t="s">
        <v>490</v>
      </c>
      <c r="W16" s="363" t="s">
        <v>491</v>
      </c>
      <c r="X16" s="361" t="s">
        <v>535</v>
      </c>
      <c r="Y16" s="362" t="s">
        <v>536</v>
      </c>
      <c r="Z16" s="363" t="s">
        <v>537</v>
      </c>
    </row>
    <row r="17" spans="1:26">
      <c r="A17" s="151" t="s">
        <v>52</v>
      </c>
      <c r="B17" s="152">
        <v>6000</v>
      </c>
      <c r="C17" s="153" t="s">
        <v>54</v>
      </c>
      <c r="E17" s="392" t="s">
        <v>190</v>
      </c>
      <c r="F17" s="161">
        <v>10</v>
      </c>
      <c r="G17" s="171">
        <f>F17/$B$3</f>
        <v>1</v>
      </c>
      <c r="H17" s="163">
        <f t="shared" ref="H17:H36" si="1">ROUND(F17/$B$4,2)</f>
        <v>0.67</v>
      </c>
      <c r="I17" s="161">
        <v>1700</v>
      </c>
      <c r="J17" s="171">
        <f>Table9[[#This Row],[Dis. 1 price (SC or HC)]]/$B$17</f>
        <v>0.28333333333333333</v>
      </c>
      <c r="K17" s="171">
        <f>Table9[[#This Row],[Dis. 1 price (SC or HC)]]/$B$18</f>
        <v>0.11111111111111112</v>
      </c>
      <c r="L17" s="199">
        <v>5</v>
      </c>
      <c r="M17" s="171">
        <f>Table9[[#This Row],[Dis. 2 price (SC or HC)]]/$B$3</f>
        <v>0.5</v>
      </c>
      <c r="N17" s="171">
        <f>Table9[[#This Row],[Dis. 2 price (SC or HC)]]/$B$4</f>
        <v>0.33333333333333331</v>
      </c>
      <c r="O17" s="205" t="s">
        <v>151</v>
      </c>
      <c r="P17" s="171" t="s">
        <v>151</v>
      </c>
      <c r="Q17" s="171" t="s">
        <v>151</v>
      </c>
      <c r="R17" s="205" t="s">
        <v>151</v>
      </c>
      <c r="S17" s="171" t="s">
        <v>151</v>
      </c>
      <c r="T17" s="171" t="s">
        <v>151</v>
      </c>
      <c r="U17" s="205" t="s">
        <v>151</v>
      </c>
      <c r="V17" s="171" t="s">
        <v>151</v>
      </c>
      <c r="W17" s="171" t="s">
        <v>151</v>
      </c>
      <c r="X17" s="205" t="s">
        <v>151</v>
      </c>
      <c r="Y17" s="171" t="s">
        <v>151</v>
      </c>
      <c r="Z17" s="171" t="s">
        <v>151</v>
      </c>
    </row>
    <row r="18" spans="1:26" ht="15" thickBot="1">
      <c r="A18" s="154" t="s">
        <v>53</v>
      </c>
      <c r="B18" s="155">
        <f>B26/(A26/B4)</f>
        <v>15299.999999999998</v>
      </c>
      <c r="C18" s="156" t="s">
        <v>54</v>
      </c>
      <c r="E18" s="392" t="s">
        <v>193</v>
      </c>
      <c r="F18" s="161">
        <v>35</v>
      </c>
      <c r="G18" s="171">
        <f t="shared" ref="G18:G36" si="2">F18/$B$3</f>
        <v>3.5</v>
      </c>
      <c r="H18" s="163">
        <f t="shared" si="1"/>
        <v>2.33</v>
      </c>
      <c r="I18" s="161">
        <v>5300</v>
      </c>
      <c r="J18" s="171">
        <f>Table9[[#This Row],[Dis. 1 price (SC or HC)]]/$B$17</f>
        <v>0.8833333333333333</v>
      </c>
      <c r="K18" s="171">
        <f>Table9[[#This Row],[Dis. 1 price (SC or HC)]]/$B$18</f>
        <v>0.34640522875816998</v>
      </c>
      <c r="L18" s="199">
        <v>10</v>
      </c>
      <c r="M18" s="171">
        <f>Table9[[#This Row],[Dis. 2 price (SC or HC)]]/$B$3</f>
        <v>1</v>
      </c>
      <c r="N18" s="171">
        <f>Table9[[#This Row],[Dis. 2 price (SC or HC)]]/$B$4</f>
        <v>0.66666666666666663</v>
      </c>
      <c r="O18" s="204" t="s">
        <v>151</v>
      </c>
      <c r="P18" s="171" t="s">
        <v>151</v>
      </c>
      <c r="Q18" s="171" t="s">
        <v>151</v>
      </c>
      <c r="R18" s="204" t="s">
        <v>151</v>
      </c>
      <c r="S18" s="171" t="s">
        <v>151</v>
      </c>
      <c r="T18" s="171" t="s">
        <v>151</v>
      </c>
      <c r="U18" s="204" t="s">
        <v>151</v>
      </c>
      <c r="V18" s="171" t="s">
        <v>151</v>
      </c>
      <c r="W18" s="171" t="s">
        <v>151</v>
      </c>
      <c r="X18" s="204" t="s">
        <v>151</v>
      </c>
      <c r="Y18" s="171" t="s">
        <v>151</v>
      </c>
      <c r="Z18" s="171" t="s">
        <v>151</v>
      </c>
    </row>
    <row r="19" spans="1:26">
      <c r="A19" t="s">
        <v>255</v>
      </c>
      <c r="E19" s="393" t="s">
        <v>191</v>
      </c>
      <c r="F19" s="161">
        <v>40</v>
      </c>
      <c r="G19" s="179">
        <f>F19/$B$3</f>
        <v>4</v>
      </c>
      <c r="H19" s="164">
        <f t="shared" si="1"/>
        <v>2.67</v>
      </c>
      <c r="I19" s="161">
        <v>10000</v>
      </c>
      <c r="J19" s="179">
        <f>Table9[[#This Row],[Dis. 1 price (SC or HC)]]/$B$17</f>
        <v>1.6666666666666667</v>
      </c>
      <c r="K19" s="179">
        <f>Table9[[#This Row],[Dis. 1 price (SC or HC)]]/$B$18</f>
        <v>0.65359477124183019</v>
      </c>
      <c r="L19" s="199">
        <v>10000</v>
      </c>
      <c r="M19" s="179">
        <f>Table9[[#This Row],[Dis. 2 price (SC or HC)]]/$B$17</f>
        <v>1.6666666666666667</v>
      </c>
      <c r="N19" s="179">
        <f>Table9[[#This Row],[Dis. 2 price (SC or HC)]]/$B$18</f>
        <v>0.65359477124183019</v>
      </c>
      <c r="O19" s="199">
        <v>15</v>
      </c>
      <c r="P19" s="179">
        <f>Table9[[#This Row],[Dis. 3 price (SC or HC)]]/$B$3</f>
        <v>1.5</v>
      </c>
      <c r="Q19" s="179">
        <f>Table9[[#This Row],[Dis. 3 price (SC or HC)]]/$B$4</f>
        <v>1</v>
      </c>
      <c r="R19" s="204" t="s">
        <v>151</v>
      </c>
      <c r="S19" s="179" t="s">
        <v>151</v>
      </c>
      <c r="T19" s="179" t="s">
        <v>151</v>
      </c>
      <c r="U19" s="204" t="s">
        <v>151</v>
      </c>
      <c r="V19" s="179" t="s">
        <v>151</v>
      </c>
      <c r="W19" s="179" t="s">
        <v>151</v>
      </c>
      <c r="X19" s="204" t="s">
        <v>151</v>
      </c>
      <c r="Y19" s="179" t="s">
        <v>151</v>
      </c>
      <c r="Z19" s="179" t="s">
        <v>151</v>
      </c>
    </row>
    <row r="20" spans="1:26">
      <c r="A20" s="105" t="s">
        <v>256</v>
      </c>
      <c r="B20" s="165" t="s">
        <v>50</v>
      </c>
      <c r="C20" s="105" t="s">
        <v>47</v>
      </c>
      <c r="E20" s="393" t="s">
        <v>192</v>
      </c>
      <c r="F20" s="161">
        <v>50</v>
      </c>
      <c r="G20" s="179">
        <f t="shared" si="2"/>
        <v>5</v>
      </c>
      <c r="H20" s="164">
        <f>ROUND(F20/$B$4,2)</f>
        <v>3.33</v>
      </c>
      <c r="I20" s="161">
        <v>30000</v>
      </c>
      <c r="J20" s="179">
        <f>Table9[[#This Row],[Dis. 1 price (SC or HC)]]/$B$17</f>
        <v>5</v>
      </c>
      <c r="K20" s="179">
        <f>Table9[[#This Row],[Dis. 1 price (SC or HC)]]/$B$18</f>
        <v>1.9607843137254903</v>
      </c>
      <c r="L20" s="199">
        <v>30000</v>
      </c>
      <c r="M20" s="179">
        <f>Table9[[#This Row],[Dis. 2 price (SC or HC)]]/$B$17</f>
        <v>5</v>
      </c>
      <c r="N20" s="179">
        <f>Table9[[#This Row],[Dis. 2 price (SC or HC)]]/$B$18</f>
        <v>1.9607843137254903</v>
      </c>
      <c r="O20" s="199">
        <v>15</v>
      </c>
      <c r="P20" s="179">
        <f>Table9[[#This Row],[Dis. 3 price (SC or HC)]]/$B$3</f>
        <v>1.5</v>
      </c>
      <c r="Q20" s="179">
        <f>Table9[[#This Row],[Dis. 3 price (SC or HC)]]/$B$4</f>
        <v>1</v>
      </c>
      <c r="R20" s="204" t="s">
        <v>151</v>
      </c>
      <c r="S20" s="179" t="s">
        <v>151</v>
      </c>
      <c r="T20" s="179" t="s">
        <v>151</v>
      </c>
      <c r="U20" s="204" t="s">
        <v>151</v>
      </c>
      <c r="V20" s="179" t="s">
        <v>151</v>
      </c>
      <c r="W20" s="179" t="s">
        <v>151</v>
      </c>
      <c r="X20" s="204" t="s">
        <v>151</v>
      </c>
      <c r="Y20" s="179" t="s">
        <v>151</v>
      </c>
      <c r="Z20" s="179" t="s">
        <v>151</v>
      </c>
    </row>
    <row r="21" spans="1:26">
      <c r="A21" s="105">
        <v>5</v>
      </c>
      <c r="B21" s="165">
        <f>ROUND((($B$17/$B$3)*Table479[[#This Row],[Price HC]])+((($B$17/$B$3)*Table479[[#This Row],[Price HC]])*Table479[[#This Row],[Discount]]),0)</f>
        <v>3000</v>
      </c>
      <c r="C21" s="158">
        <v>0</v>
      </c>
      <c r="E21" s="393" t="s">
        <v>194</v>
      </c>
      <c r="F21" s="161">
        <v>80</v>
      </c>
      <c r="G21" s="179">
        <f t="shared" si="2"/>
        <v>8</v>
      </c>
      <c r="H21" s="164">
        <f t="shared" si="1"/>
        <v>5.33</v>
      </c>
      <c r="I21" s="161">
        <v>58000</v>
      </c>
      <c r="J21" s="179">
        <f>Table9[[#This Row],[Dis. 1 price (SC or HC)]]/$B$17</f>
        <v>9.6666666666666661</v>
      </c>
      <c r="K21" s="179">
        <f>Table9[[#This Row],[Dis. 1 price (SC or HC)]]/$B$18</f>
        <v>3.7908496732026147</v>
      </c>
      <c r="L21" s="199">
        <v>58000</v>
      </c>
      <c r="M21" s="179">
        <f>Table9[[#This Row],[Dis. 2 price (SC or HC)]]/$B$17</f>
        <v>9.6666666666666661</v>
      </c>
      <c r="N21" s="179">
        <f>Table9[[#This Row],[Dis. 2 price (SC or HC)]]/$B$18</f>
        <v>3.7908496732026147</v>
      </c>
      <c r="O21" s="199">
        <v>15</v>
      </c>
      <c r="P21" s="179">
        <f>Table9[[#This Row],[Dis. 3 price (SC or HC)]]/$B$3</f>
        <v>1.5</v>
      </c>
      <c r="Q21" s="179">
        <f>Table9[[#This Row],[Dis. 3 price (SC or HC)]]/$B$4</f>
        <v>1</v>
      </c>
      <c r="R21" s="204" t="s">
        <v>151</v>
      </c>
      <c r="S21" s="179" t="s">
        <v>151</v>
      </c>
      <c r="T21" s="179" t="s">
        <v>151</v>
      </c>
      <c r="U21" s="204" t="s">
        <v>151</v>
      </c>
      <c r="V21" s="179" t="s">
        <v>151</v>
      </c>
      <c r="W21" s="179" t="s">
        <v>151</v>
      </c>
      <c r="X21" s="204" t="s">
        <v>151</v>
      </c>
      <c r="Y21" s="179" t="s">
        <v>151</v>
      </c>
      <c r="Z21" s="179" t="s">
        <v>151</v>
      </c>
    </row>
    <row r="22" spans="1:26">
      <c r="A22" s="105">
        <v>20</v>
      </c>
      <c r="B22" s="165">
        <f>ROUND((($B$17/$B$3)*Table479[[#This Row],[Price HC]])+((($B$17/$B$3)*Table479[[#This Row],[Price HC]])*Table479[[#This Row],[Discount]]),0)</f>
        <v>13200</v>
      </c>
      <c r="C22" s="160">
        <v>0.1</v>
      </c>
      <c r="E22" s="392" t="s">
        <v>195</v>
      </c>
      <c r="F22" s="161">
        <v>100</v>
      </c>
      <c r="G22" s="171">
        <f t="shared" si="2"/>
        <v>10</v>
      </c>
      <c r="H22" s="163">
        <f t="shared" si="1"/>
        <v>6.67</v>
      </c>
      <c r="I22" s="161">
        <v>75000</v>
      </c>
      <c r="J22" s="171">
        <f>Table9[[#This Row],[Dis. 1 price (SC or HC)]]/$B$17</f>
        <v>12.5</v>
      </c>
      <c r="K22" s="171">
        <f>Table9[[#This Row],[Dis. 1 price (SC or HC)]]/$B$18</f>
        <v>4.9019607843137258</v>
      </c>
      <c r="L22" s="199">
        <v>75000</v>
      </c>
      <c r="M22" s="171">
        <f>Table9[[#This Row],[Dis. 2 price (SC or HC)]]/$B$17</f>
        <v>12.5</v>
      </c>
      <c r="N22" s="171">
        <f>Table9[[#This Row],[Dis. 2 price (SC or HC)]]/$B$18</f>
        <v>4.9019607843137258</v>
      </c>
      <c r="O22" s="199">
        <v>75000</v>
      </c>
      <c r="P22" s="171">
        <f>Table9[[#This Row],[Dis. 3 price (SC or HC)]]/$B$17</f>
        <v>12.5</v>
      </c>
      <c r="Q22" s="171">
        <f>Table9[[#This Row],[Dis. 3 price (SC or HC)]]/$B$18</f>
        <v>4.9019607843137258</v>
      </c>
      <c r="R22" s="199">
        <v>45</v>
      </c>
      <c r="S22" s="171">
        <f>Table9[[#This Row],[Dis. 4 price (SC or HC)]]/$B$3</f>
        <v>4.5</v>
      </c>
      <c r="T22" s="171">
        <f>Table9[[#This Row],[Dis. 4 price (SC or HC)]]/$B$4</f>
        <v>3</v>
      </c>
      <c r="U22" s="204">
        <v>55</v>
      </c>
      <c r="V22" s="171">
        <f>Table9[[#This Row],[Dis. 5 price (SC or HC)]]/$B$3</f>
        <v>5.5</v>
      </c>
      <c r="W22" s="171">
        <f>Table9[[#This Row],[Dis. 5 price (SC or HC)]]/$B$4</f>
        <v>3.6666666666666665</v>
      </c>
      <c r="X22" s="204">
        <v>65</v>
      </c>
      <c r="Y22" s="171">
        <f>Table9[[#This Row],[Dis. 6 price (SC or HC)]]/$B$3</f>
        <v>6.5</v>
      </c>
      <c r="Z22" s="171">
        <f>Table9[[#This Row],[Dis. 6 price (SC or HC)]]/$B$4</f>
        <v>4.333333333333333</v>
      </c>
    </row>
    <row r="23" spans="1:26">
      <c r="A23" s="105">
        <v>50</v>
      </c>
      <c r="B23" s="165">
        <f>ROUND((($B$17/$B$3)*Table479[[#This Row],[Price HC]])+((($B$17/$B$3)*Table479[[#This Row],[Price HC]])*Table479[[#This Row],[Discount]]),0)</f>
        <v>36000</v>
      </c>
      <c r="C23" s="158">
        <v>0.2</v>
      </c>
      <c r="E23" s="392" t="s">
        <v>196</v>
      </c>
      <c r="F23" s="161">
        <v>100</v>
      </c>
      <c r="G23" s="171">
        <f t="shared" si="2"/>
        <v>10</v>
      </c>
      <c r="H23" s="163">
        <f t="shared" si="1"/>
        <v>6.67</v>
      </c>
      <c r="I23" s="161">
        <v>80000</v>
      </c>
      <c r="J23" s="171">
        <f>Table9[[#This Row],[Dis. 1 price (SC or HC)]]/$B$17</f>
        <v>13.333333333333334</v>
      </c>
      <c r="K23" s="171">
        <f>Table9[[#This Row],[Dis. 1 price (SC or HC)]]/$B$18</f>
        <v>5.2287581699346415</v>
      </c>
      <c r="L23" s="199">
        <v>80000</v>
      </c>
      <c r="M23" s="171">
        <f>Table9[[#This Row],[Dis. 2 price (SC or HC)]]/$B$17</f>
        <v>13.333333333333334</v>
      </c>
      <c r="N23" s="171">
        <f>Table9[[#This Row],[Dis. 2 price (SC or HC)]]/$B$18</f>
        <v>5.2287581699346415</v>
      </c>
      <c r="O23" s="199">
        <v>80000</v>
      </c>
      <c r="P23" s="171">
        <f>Table9[[#This Row],[Dis. 3 price (SC or HC)]]/$B$17</f>
        <v>13.333333333333334</v>
      </c>
      <c r="Q23" s="171">
        <f>Table9[[#This Row],[Dis. 3 price (SC or HC)]]/$B$18</f>
        <v>5.2287581699346415</v>
      </c>
      <c r="R23" s="199">
        <v>45</v>
      </c>
      <c r="S23" s="171">
        <f>Table9[[#This Row],[Dis. 4 price (SC or HC)]]/$B$3</f>
        <v>4.5</v>
      </c>
      <c r="T23" s="171">
        <f>Table9[[#This Row],[Dis. 4 price (SC or HC)]]/$B$4</f>
        <v>3</v>
      </c>
      <c r="U23" s="204" t="s">
        <v>151</v>
      </c>
      <c r="V23" s="207" t="s">
        <v>151</v>
      </c>
      <c r="W23" s="207" t="s">
        <v>151</v>
      </c>
      <c r="X23" s="204" t="s">
        <v>151</v>
      </c>
      <c r="Y23" s="207" t="s">
        <v>151</v>
      </c>
      <c r="Z23" s="207" t="s">
        <v>151</v>
      </c>
    </row>
    <row r="24" spans="1:26">
      <c r="A24" s="105">
        <v>350</v>
      </c>
      <c r="B24" s="165">
        <f>ROUND((($B$17/$B$3)*Table479[[#This Row],[Price HC]])+((($B$17/$B$3)*Table479[[#This Row],[Price HC]])*Table479[[#This Row],[Discount]]),0)</f>
        <v>294000</v>
      </c>
      <c r="C24" s="160">
        <v>0.4</v>
      </c>
      <c r="E24" s="392" t="s">
        <v>197</v>
      </c>
      <c r="F24" s="161">
        <v>100</v>
      </c>
      <c r="G24" s="171">
        <f t="shared" si="2"/>
        <v>10</v>
      </c>
      <c r="H24" s="163">
        <f t="shared" si="1"/>
        <v>6.67</v>
      </c>
      <c r="I24" s="161">
        <v>85000</v>
      </c>
      <c r="J24" s="171">
        <f>Table9[[#This Row],[Dis. 1 price (SC or HC)]]/$B$17</f>
        <v>14.166666666666666</v>
      </c>
      <c r="K24" s="171">
        <f>Table9[[#This Row],[Dis. 1 price (SC or HC)]]/$B$18</f>
        <v>5.5555555555555562</v>
      </c>
      <c r="L24" s="199">
        <v>85000</v>
      </c>
      <c r="M24" s="171">
        <f>Table9[[#This Row],[Dis. 2 price (SC or HC)]]/$B$17</f>
        <v>14.166666666666666</v>
      </c>
      <c r="N24" s="171">
        <f>Table9[[#This Row],[Dis. 2 price (SC or HC)]]/$B$18</f>
        <v>5.5555555555555562</v>
      </c>
      <c r="O24" s="199">
        <v>85000</v>
      </c>
      <c r="P24" s="171">
        <f>Table9[[#This Row],[Dis. 3 price (SC or HC)]]/$B$17</f>
        <v>14.166666666666666</v>
      </c>
      <c r="Q24" s="171">
        <f>Table9[[#This Row],[Dis. 3 price (SC or HC)]]/$B$18</f>
        <v>5.5555555555555562</v>
      </c>
      <c r="R24" s="199">
        <v>45</v>
      </c>
      <c r="S24" s="171">
        <f>Table9[[#This Row],[Dis. 4 price (SC or HC)]]/$B$3</f>
        <v>4.5</v>
      </c>
      <c r="T24" s="171">
        <f>Table9[[#This Row],[Dis. 4 price (SC or HC)]]/$B$4</f>
        <v>3</v>
      </c>
      <c r="U24" s="204" t="s">
        <v>151</v>
      </c>
      <c r="V24" s="207" t="s">
        <v>151</v>
      </c>
      <c r="W24" s="207" t="s">
        <v>151</v>
      </c>
      <c r="X24" s="204" t="s">
        <v>151</v>
      </c>
      <c r="Y24" s="207" t="s">
        <v>151</v>
      </c>
      <c r="Z24" s="207" t="s">
        <v>151</v>
      </c>
    </row>
    <row r="25" spans="1:26">
      <c r="A25" s="105">
        <v>400</v>
      </c>
      <c r="B25" s="165">
        <f>ROUND((($B$17/$B$3)*Table479[[#This Row],[Price HC]])+((($B$17/$B$3)*Table479[[#This Row],[Price HC]])*Table479[[#This Row],[Discount]]),0)</f>
        <v>360000</v>
      </c>
      <c r="C25" s="158">
        <v>0.5</v>
      </c>
      <c r="E25" s="393" t="s">
        <v>198</v>
      </c>
      <c r="F25" s="161">
        <v>250</v>
      </c>
      <c r="G25" s="179">
        <f t="shared" si="2"/>
        <v>25</v>
      </c>
      <c r="H25" s="164">
        <f t="shared" si="1"/>
        <v>16.670000000000002</v>
      </c>
      <c r="I25" s="161">
        <v>95000</v>
      </c>
      <c r="J25" s="179">
        <f>Table9[[#This Row],[Dis. 1 price (SC or HC)]]/$B$17</f>
        <v>15.833333333333334</v>
      </c>
      <c r="K25" s="179">
        <f>Table9[[#This Row],[Dis. 1 price (SC or HC)]]/$B$18</f>
        <v>6.2091503267973867</v>
      </c>
      <c r="L25" s="199">
        <v>95000</v>
      </c>
      <c r="M25" s="179">
        <f>Table9[[#This Row],[Dis. 2 price (SC or HC)]]/$B$17</f>
        <v>15.833333333333334</v>
      </c>
      <c r="N25" s="179">
        <f>Table9[[#This Row],[Dis. 2 price (SC or HC)]]/$B$18</f>
        <v>6.2091503267973867</v>
      </c>
      <c r="O25" s="199">
        <v>95000</v>
      </c>
      <c r="P25" s="179">
        <f>Table9[[#This Row],[Dis. 3 price (SC or HC)]]/$B$17</f>
        <v>15.833333333333334</v>
      </c>
      <c r="Q25" s="179">
        <f>Table9[[#This Row],[Dis. 3 price (SC or HC)]]/$B$18</f>
        <v>6.2091503267973867</v>
      </c>
      <c r="R25" s="199">
        <v>45</v>
      </c>
      <c r="S25" s="179">
        <f>Table9[[#This Row],[Dis. 4 price (SC or HC)]]/$B$3</f>
        <v>4.5</v>
      </c>
      <c r="T25" s="179">
        <f>Table9[[#This Row],[Dis. 4 price (SC or HC)]]/$B$4</f>
        <v>3</v>
      </c>
      <c r="U25" s="204">
        <v>55</v>
      </c>
      <c r="V25" s="179">
        <f>Table9[[#This Row],[Dis. 5 price (SC or HC)]]/$B$3</f>
        <v>5.5</v>
      </c>
      <c r="W25" s="179">
        <f>Table9[[#This Row],[Dis. 5 price (SC or HC)]]/$B$4</f>
        <v>3.6666666666666665</v>
      </c>
      <c r="X25" s="204" t="s">
        <v>151</v>
      </c>
      <c r="Y25" s="179" t="s">
        <v>151</v>
      </c>
      <c r="Z25" s="179" t="s">
        <v>151</v>
      </c>
    </row>
    <row r="26" spans="1:26">
      <c r="A26" s="105">
        <v>1000</v>
      </c>
      <c r="B26" s="165">
        <f>ROUND((($B$17/$B$3)*Table479[[#This Row],[Price HC]])+((($B$17/$B$3)*Table479[[#This Row],[Price HC]])*Table479[[#This Row],[Discount]]),0)</f>
        <v>1020000</v>
      </c>
      <c r="C26" s="160">
        <v>0.7</v>
      </c>
      <c r="E26" s="393" t="s">
        <v>199</v>
      </c>
      <c r="F26" s="161">
        <v>250</v>
      </c>
      <c r="G26" s="179">
        <f t="shared" si="2"/>
        <v>25</v>
      </c>
      <c r="H26" s="164">
        <f t="shared" si="1"/>
        <v>16.670000000000002</v>
      </c>
      <c r="I26" s="161">
        <v>135000</v>
      </c>
      <c r="J26" s="179">
        <f>Table9[[#This Row],[Dis. 1 price (SC or HC)]]/$B$17</f>
        <v>22.5</v>
      </c>
      <c r="K26" s="179">
        <f>Table9[[#This Row],[Dis. 1 price (SC or HC)]]/$B$18</f>
        <v>8.8235294117647065</v>
      </c>
      <c r="L26" s="199">
        <v>135000</v>
      </c>
      <c r="M26" s="179">
        <f>Table9[[#This Row],[Dis. 2 price (SC or HC)]]/$B$17</f>
        <v>22.5</v>
      </c>
      <c r="N26" s="179">
        <f>Table9[[#This Row],[Dis. 2 price (SC or HC)]]/$B$18</f>
        <v>8.8235294117647065</v>
      </c>
      <c r="O26" s="199">
        <v>135000</v>
      </c>
      <c r="P26" s="179">
        <f>Table9[[#This Row],[Dis. 3 price (SC or HC)]]/$B$17</f>
        <v>22.5</v>
      </c>
      <c r="Q26" s="179">
        <f>Table9[[#This Row],[Dis. 3 price (SC or HC)]]/$B$18</f>
        <v>8.8235294117647065</v>
      </c>
      <c r="R26" s="199">
        <v>45</v>
      </c>
      <c r="S26" s="179">
        <f>Table9[[#This Row],[Dis. 4 price (SC or HC)]]/$B$3</f>
        <v>4.5</v>
      </c>
      <c r="T26" s="179">
        <f>Table9[[#This Row],[Dis. 4 price (SC or HC)]]/$B$4</f>
        <v>3</v>
      </c>
      <c r="U26" s="204">
        <v>55</v>
      </c>
      <c r="V26" s="179">
        <f>Table9[[#This Row],[Dis. 5 price (SC or HC)]]/$B$3</f>
        <v>5.5</v>
      </c>
      <c r="W26" s="179">
        <f>Table9[[#This Row],[Dis. 5 price (SC or HC)]]/$B$4</f>
        <v>3.6666666666666665</v>
      </c>
      <c r="X26" s="204" t="s">
        <v>151</v>
      </c>
      <c r="Y26" s="179" t="s">
        <v>151</v>
      </c>
      <c r="Z26" s="179" t="s">
        <v>151</v>
      </c>
    </row>
    <row r="27" spans="1:26">
      <c r="A27" s="105"/>
      <c r="B27" s="105"/>
      <c r="C27" s="105"/>
      <c r="E27" s="393" t="s">
        <v>200</v>
      </c>
      <c r="F27" s="161">
        <v>250</v>
      </c>
      <c r="G27" s="179">
        <f t="shared" si="2"/>
        <v>25</v>
      </c>
      <c r="H27" s="164">
        <f t="shared" si="1"/>
        <v>16.670000000000002</v>
      </c>
      <c r="I27" s="161">
        <v>155000</v>
      </c>
      <c r="J27" s="179">
        <f>Table9[[#This Row],[Dis. 1 price (SC or HC)]]/$B$17</f>
        <v>25.833333333333332</v>
      </c>
      <c r="K27" s="179">
        <f>Table9[[#This Row],[Dis. 1 price (SC or HC)]]/$B$18</f>
        <v>10.130718954248367</v>
      </c>
      <c r="L27" s="199">
        <v>155000</v>
      </c>
      <c r="M27" s="179">
        <f>Table9[[#This Row],[Dis. 2 price (SC or HC)]]/$B$17</f>
        <v>25.833333333333332</v>
      </c>
      <c r="N27" s="179">
        <f>Table9[[#This Row],[Dis. 2 price (SC or HC)]]/$B$18</f>
        <v>10.130718954248367</v>
      </c>
      <c r="O27" s="199">
        <v>155000</v>
      </c>
      <c r="P27" s="179">
        <f>Table9[[#This Row],[Dis. 3 price (SC or HC)]]/$B$17</f>
        <v>25.833333333333332</v>
      </c>
      <c r="Q27" s="179">
        <f>Table9[[#This Row],[Dis. 3 price (SC or HC)]]/$B$18</f>
        <v>10.130718954248367</v>
      </c>
      <c r="R27" s="199">
        <v>45</v>
      </c>
      <c r="S27" s="179">
        <f>Table9[[#This Row],[Dis. 4 price (SC or HC)]]/$B$3</f>
        <v>4.5</v>
      </c>
      <c r="T27" s="179">
        <f>Table9[[#This Row],[Dis. 4 price (SC or HC)]]/$B$4</f>
        <v>3</v>
      </c>
      <c r="U27" s="204" t="s">
        <v>151</v>
      </c>
      <c r="V27" s="206" t="s">
        <v>151</v>
      </c>
      <c r="W27" s="206" t="s">
        <v>151</v>
      </c>
      <c r="X27" s="204" t="s">
        <v>151</v>
      </c>
      <c r="Y27" s="206" t="s">
        <v>151</v>
      </c>
      <c r="Z27" s="206" t="s">
        <v>151</v>
      </c>
    </row>
    <row r="28" spans="1:26" ht="18.5">
      <c r="A28" s="30" t="s">
        <v>257</v>
      </c>
      <c r="B28" s="36"/>
      <c r="C28" s="36"/>
      <c r="E28" s="392" t="s">
        <v>218</v>
      </c>
      <c r="F28" s="161">
        <v>550</v>
      </c>
      <c r="G28" s="171">
        <f t="shared" si="2"/>
        <v>55</v>
      </c>
      <c r="H28" s="163">
        <f t="shared" si="1"/>
        <v>36.67</v>
      </c>
      <c r="I28" s="161">
        <v>300000</v>
      </c>
      <c r="J28" s="171">
        <f>Table9[[#This Row],[Dis. 1 price (SC or HC)]]/$B$17</f>
        <v>50</v>
      </c>
      <c r="K28" s="171">
        <f>Table9[[#This Row],[Dis. 1 price (SC or HC)]]/$B$18</f>
        <v>19.607843137254903</v>
      </c>
      <c r="L28" s="199">
        <v>300000</v>
      </c>
      <c r="M28" s="171">
        <f>Table9[[#This Row],[Dis. 2 price (SC or HC)]]/$B$17</f>
        <v>50</v>
      </c>
      <c r="N28" s="171">
        <f>Table9[[#This Row],[Dis. 2 price (SC or HC)]]/$B$18</f>
        <v>19.607843137254903</v>
      </c>
      <c r="O28" s="199">
        <v>300000</v>
      </c>
      <c r="P28" s="171">
        <f>Table9[[#This Row],[Dis. 3 price (SC or HC)]]/$B$17</f>
        <v>50</v>
      </c>
      <c r="Q28" s="171">
        <f>Table9[[#This Row],[Dis. 3 price (SC or HC)]]/$B$18</f>
        <v>19.607843137254903</v>
      </c>
      <c r="R28" s="199">
        <v>45</v>
      </c>
      <c r="S28" s="171">
        <f>Table9[[#This Row],[Dis. 4 price (SC or HC)]]/$B$3</f>
        <v>4.5</v>
      </c>
      <c r="T28" s="171">
        <f>Table9[[#This Row],[Dis. 4 price (SC or HC)]]/$B$4</f>
        <v>3</v>
      </c>
      <c r="U28" s="204" t="s">
        <v>151</v>
      </c>
      <c r="V28" s="207" t="s">
        <v>151</v>
      </c>
      <c r="W28" s="207" t="s">
        <v>151</v>
      </c>
      <c r="X28" s="204">
        <v>65</v>
      </c>
      <c r="Y28" s="207">
        <f>Table9[[#This Row],[Dis. 6 price (SC or HC)]]/$B$3</f>
        <v>6.5</v>
      </c>
      <c r="Z28" s="207">
        <f>Table9[[#This Row],[Dis. 6 price (SC or HC)]]/$B$4</f>
        <v>4.333333333333333</v>
      </c>
    </row>
    <row r="29" spans="1:26">
      <c r="A29" s="105"/>
      <c r="B29" s="105"/>
      <c r="C29" s="105"/>
      <c r="E29" s="392" t="s">
        <v>522</v>
      </c>
      <c r="F29" s="161">
        <v>550</v>
      </c>
      <c r="G29" s="171">
        <f>F29/$B$3</f>
        <v>55</v>
      </c>
      <c r="H29" s="163">
        <f>ROUND(F29/$B$4,2)</f>
        <v>36.67</v>
      </c>
      <c r="I29" s="161">
        <v>400000</v>
      </c>
      <c r="J29" s="171">
        <f>Table9[[#This Row],[Dis. 1 price (SC or HC)]]/$B$17</f>
        <v>66.666666666666671</v>
      </c>
      <c r="K29" s="171">
        <f>Table9[[#This Row],[Dis. 1 price (SC or HC)]]/$B$18</f>
        <v>26.143790849673206</v>
      </c>
      <c r="L29" s="199">
        <v>400000</v>
      </c>
      <c r="M29" s="171">
        <f>Table9[[#This Row],[Dis. 2 price (SC or HC)]]/$B$17</f>
        <v>66.666666666666671</v>
      </c>
      <c r="N29" s="171">
        <f>Table9[[#This Row],[Dis. 2 price (SC or HC)]]/$B$18</f>
        <v>26.143790849673206</v>
      </c>
      <c r="O29" s="199">
        <v>55</v>
      </c>
      <c r="P29" s="171">
        <f>Table9[[#This Row],[Dis. 3 price (SC or HC)]]/$B$3</f>
        <v>5.5</v>
      </c>
      <c r="Q29" s="171">
        <f>Table9[[#This Row],[Dis. 3 price (SC or HC)]]/$B$4</f>
        <v>3.6666666666666665</v>
      </c>
      <c r="R29" s="199">
        <v>65</v>
      </c>
      <c r="S29" s="171">
        <f>Table9[[#This Row],[Dis. 4 price (SC or HC)]]/$B$3</f>
        <v>6.5</v>
      </c>
      <c r="T29" s="171">
        <f>Table9[[#This Row],[Dis. 4 price (SC or HC)]]/$B$4</f>
        <v>4.333333333333333</v>
      </c>
      <c r="U29" s="204" t="s">
        <v>151</v>
      </c>
      <c r="V29" s="207" t="s">
        <v>151</v>
      </c>
      <c r="W29" s="207" t="s">
        <v>151</v>
      </c>
      <c r="X29" s="204" t="s">
        <v>151</v>
      </c>
      <c r="Y29" s="207" t="s">
        <v>151</v>
      </c>
      <c r="Z29" s="207" t="s">
        <v>151</v>
      </c>
    </row>
    <row r="30" spans="1:26">
      <c r="A30" s="105"/>
      <c r="B30" s="105"/>
      <c r="C30" s="105"/>
      <c r="E30" s="392" t="s">
        <v>575</v>
      </c>
      <c r="F30" s="161">
        <v>550</v>
      </c>
      <c r="G30" s="171">
        <f>F30/$B$3</f>
        <v>55</v>
      </c>
      <c r="H30" s="163">
        <f>ROUND(F30/$B$4,2)</f>
        <v>36.67</v>
      </c>
      <c r="I30" s="161">
        <v>500000</v>
      </c>
      <c r="J30" s="171">
        <f>Table9[[#This Row],[Dis. 1 price (SC or HC)]]/$B$17</f>
        <v>83.333333333333329</v>
      </c>
      <c r="K30" s="171">
        <f>Table9[[#This Row],[Dis. 1 price (SC or HC)]]/$B$18</f>
        <v>32.679738562091508</v>
      </c>
      <c r="L30" s="199">
        <v>500000</v>
      </c>
      <c r="M30" s="171">
        <f>Table9[[#This Row],[Dis. 2 price (SC or HC)]]/$B$17</f>
        <v>83.333333333333329</v>
      </c>
      <c r="N30" s="171">
        <f>Table9[[#This Row],[Dis. 2 price (SC or HC)]]/$B$18</f>
        <v>32.679738562091508</v>
      </c>
      <c r="O30" s="199">
        <v>55</v>
      </c>
      <c r="P30" s="171">
        <f>Table9[[#This Row],[Dis. 3 price (SC or HC)]]/$B$3</f>
        <v>5.5</v>
      </c>
      <c r="Q30" s="171">
        <f>Table9[[#This Row],[Dis. 3 price (SC or HC)]]/$B$4</f>
        <v>3.6666666666666665</v>
      </c>
      <c r="R30" s="199">
        <v>70</v>
      </c>
      <c r="S30" s="171">
        <f>Table9[[#This Row],[Dis. 4 price (SC or HC)]]/$B$3</f>
        <v>7</v>
      </c>
      <c r="T30" s="171">
        <f>Table9[[#This Row],[Dis. 4 price (SC or HC)]]/$B$4</f>
        <v>4.666666666666667</v>
      </c>
      <c r="U30" s="204" t="s">
        <v>151</v>
      </c>
      <c r="V30" s="207" t="s">
        <v>151</v>
      </c>
      <c r="W30" s="207" t="s">
        <v>151</v>
      </c>
      <c r="X30" s="204" t="s">
        <v>151</v>
      </c>
      <c r="Y30" s="207" t="s">
        <v>151</v>
      </c>
      <c r="Z30" s="207" t="s">
        <v>151</v>
      </c>
    </row>
    <row r="31" spans="1:26">
      <c r="A31" s="105"/>
      <c r="B31" s="105"/>
      <c r="C31" s="105"/>
      <c r="E31" s="392" t="s">
        <v>779</v>
      </c>
      <c r="F31" s="161">
        <v>550</v>
      </c>
      <c r="G31" s="171">
        <f>F31/$B$3</f>
        <v>55</v>
      </c>
      <c r="H31" s="163">
        <f>ROUND(F31/$B$4,2)</f>
        <v>36.67</v>
      </c>
      <c r="I31" s="161">
        <v>900000</v>
      </c>
      <c r="J31" s="171">
        <f>(Table9[[#This Row],[Dis. 1 price (SC or HC)]]/($B$17/$B$3))/$B$3</f>
        <v>150</v>
      </c>
      <c r="K31" s="171">
        <f>Table9[[#This Row],[Dis. 1 price (SC or HC)]]/$B$18</f>
        <v>58.82352941176471</v>
      </c>
      <c r="L31" s="484">
        <v>65</v>
      </c>
      <c r="M31" s="171">
        <f>Table9[[#This Row],[Dis. 2 price (SC or HC)]]/$B$3</f>
        <v>6.5</v>
      </c>
      <c r="N31" s="171">
        <f>Table9[[#This Row],[Dis. 2 price (SC or HC)]]/$B$4</f>
        <v>4.333333333333333</v>
      </c>
      <c r="O31" s="484">
        <v>70</v>
      </c>
      <c r="P31" s="171">
        <f>Table9[[#This Row],[Dis. 3 price (SC or HC)]]/$B$3</f>
        <v>7</v>
      </c>
      <c r="Q31" s="171">
        <f>Table9[[#This Row],[Dis. 3 price (SC or HC)]]/$B$4</f>
        <v>4.666666666666667</v>
      </c>
      <c r="R31" s="484">
        <v>75</v>
      </c>
      <c r="S31" s="171">
        <f>Table9[[#This Row],[Dis. 4 price (SC or HC)]]/$B$3</f>
        <v>7.5</v>
      </c>
      <c r="T31" s="171">
        <f>Table9[[#This Row],[Dis. 4 price (SC or HC)]]/$B$4</f>
        <v>5</v>
      </c>
      <c r="U31" s="468" t="s">
        <v>151</v>
      </c>
      <c r="V31" s="207" t="s">
        <v>151</v>
      </c>
      <c r="W31" s="207" t="s">
        <v>151</v>
      </c>
      <c r="X31" s="468" t="s">
        <v>151</v>
      </c>
      <c r="Y31" s="207" t="s">
        <v>151</v>
      </c>
      <c r="Z31" s="207" t="s">
        <v>151</v>
      </c>
    </row>
    <row r="32" spans="1:26">
      <c r="A32" s="105"/>
      <c r="B32" s="105"/>
      <c r="C32" s="105"/>
      <c r="E32" s="393" t="s">
        <v>235</v>
      </c>
      <c r="F32" s="161">
        <v>100</v>
      </c>
      <c r="G32" s="179">
        <f>F32/$B$3</f>
        <v>10</v>
      </c>
      <c r="H32" s="164">
        <f t="shared" si="1"/>
        <v>6.67</v>
      </c>
      <c r="I32" s="161" t="s">
        <v>151</v>
      </c>
      <c r="J32" s="179" t="s">
        <v>151</v>
      </c>
      <c r="K32" s="179" t="s">
        <v>151</v>
      </c>
      <c r="L32" s="199" t="s">
        <v>151</v>
      </c>
      <c r="M32" s="179" t="s">
        <v>151</v>
      </c>
      <c r="N32" s="179" t="s">
        <v>151</v>
      </c>
      <c r="O32" s="199" t="s">
        <v>151</v>
      </c>
      <c r="P32" s="179" t="s">
        <v>151</v>
      </c>
      <c r="Q32" s="179" t="s">
        <v>151</v>
      </c>
      <c r="R32" s="199" t="s">
        <v>151</v>
      </c>
      <c r="S32" s="179" t="s">
        <v>151</v>
      </c>
      <c r="T32" s="179" t="s">
        <v>151</v>
      </c>
      <c r="U32" s="204" t="s">
        <v>151</v>
      </c>
      <c r="V32" s="206" t="s">
        <v>151</v>
      </c>
      <c r="W32" s="206" t="s">
        <v>151</v>
      </c>
      <c r="X32" s="204" t="s">
        <v>151</v>
      </c>
      <c r="Y32" s="206" t="s">
        <v>151</v>
      </c>
      <c r="Z32" s="206" t="s">
        <v>151</v>
      </c>
    </row>
    <row r="33" spans="1:26">
      <c r="A33" s="148" t="s">
        <v>258</v>
      </c>
      <c r="B33" s="148" t="s">
        <v>259</v>
      </c>
      <c r="C33" s="105"/>
      <c r="E33" s="393" t="s">
        <v>236</v>
      </c>
      <c r="F33" s="161">
        <v>100</v>
      </c>
      <c r="G33" s="179">
        <f>F33/$B$3</f>
        <v>10</v>
      </c>
      <c r="H33" s="164">
        <f>ROUND(F33/$B$4,2)</f>
        <v>6.67</v>
      </c>
      <c r="I33" s="161" t="s">
        <v>151</v>
      </c>
      <c r="J33" s="179" t="s">
        <v>151</v>
      </c>
      <c r="K33" s="179" t="s">
        <v>151</v>
      </c>
      <c r="L33" s="199" t="s">
        <v>151</v>
      </c>
      <c r="M33" s="179" t="s">
        <v>151</v>
      </c>
      <c r="N33" s="179" t="s">
        <v>151</v>
      </c>
      <c r="O33" s="199" t="s">
        <v>151</v>
      </c>
      <c r="P33" s="179" t="s">
        <v>151</v>
      </c>
      <c r="Q33" s="179" t="s">
        <v>151</v>
      </c>
      <c r="R33" s="199" t="s">
        <v>151</v>
      </c>
      <c r="S33" s="179" t="s">
        <v>151</v>
      </c>
      <c r="T33" s="179" t="s">
        <v>151</v>
      </c>
      <c r="U33" s="204" t="s">
        <v>151</v>
      </c>
      <c r="V33" s="179" t="s">
        <v>151</v>
      </c>
      <c r="W33" s="179" t="s">
        <v>151</v>
      </c>
      <c r="X33" s="204" t="s">
        <v>151</v>
      </c>
      <c r="Y33" s="179" t="s">
        <v>151</v>
      </c>
      <c r="Z33" s="179" t="s">
        <v>151</v>
      </c>
    </row>
    <row r="34" spans="1:26">
      <c r="A34" s="162">
        <v>10</v>
      </c>
      <c r="B34" s="157">
        <f>A34/B3</f>
        <v>1</v>
      </c>
      <c r="C34" s="105"/>
      <c r="E34" s="393" t="s">
        <v>237</v>
      </c>
      <c r="F34" s="161">
        <v>100</v>
      </c>
      <c r="G34" s="179">
        <f t="shared" si="2"/>
        <v>10</v>
      </c>
      <c r="H34" s="164">
        <f t="shared" si="1"/>
        <v>6.67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>
      <c r="E35" s="393" t="s">
        <v>238</v>
      </c>
      <c r="F35" s="161">
        <v>100</v>
      </c>
      <c r="G35" s="179">
        <f t="shared" si="2"/>
        <v>10</v>
      </c>
      <c r="H35" s="164">
        <f t="shared" si="1"/>
        <v>6.67</v>
      </c>
      <c r="I35" s="161" t="s">
        <v>151</v>
      </c>
      <c r="J35" s="179" t="s">
        <v>151</v>
      </c>
      <c r="K35" s="179" t="s">
        <v>151</v>
      </c>
      <c r="L35" s="199" t="s">
        <v>151</v>
      </c>
      <c r="M35" s="179" t="s">
        <v>151</v>
      </c>
      <c r="N35" s="179" t="s">
        <v>151</v>
      </c>
      <c r="O35" s="199" t="s">
        <v>151</v>
      </c>
      <c r="P35" s="179" t="s">
        <v>151</v>
      </c>
      <c r="Q35" s="179" t="s">
        <v>151</v>
      </c>
      <c r="R35" s="199" t="s">
        <v>151</v>
      </c>
      <c r="S35" s="179" t="s">
        <v>151</v>
      </c>
      <c r="T35" s="179" t="s">
        <v>151</v>
      </c>
      <c r="U35" s="204" t="s">
        <v>151</v>
      </c>
      <c r="V35" s="206" t="s">
        <v>151</v>
      </c>
      <c r="W35" s="206" t="s">
        <v>151</v>
      </c>
      <c r="X35" s="204" t="s">
        <v>151</v>
      </c>
      <c r="Y35" s="206" t="s">
        <v>151</v>
      </c>
      <c r="Z35" s="206" t="s">
        <v>151</v>
      </c>
    </row>
    <row r="36" spans="1:26" ht="18.5">
      <c r="A36" s="30" t="s">
        <v>231</v>
      </c>
      <c r="B36" s="36"/>
      <c r="C36" s="36"/>
      <c r="E36" s="393" t="s">
        <v>239</v>
      </c>
      <c r="F36" s="161">
        <v>100</v>
      </c>
      <c r="G36" s="179">
        <f t="shared" si="2"/>
        <v>10</v>
      </c>
      <c r="H36" s="164">
        <f t="shared" si="1"/>
        <v>6.67</v>
      </c>
      <c r="I36" s="161" t="s">
        <v>151</v>
      </c>
      <c r="J36" s="179" t="s">
        <v>151</v>
      </c>
      <c r="K36" s="179" t="s">
        <v>151</v>
      </c>
      <c r="L36" s="199" t="s">
        <v>151</v>
      </c>
      <c r="M36" s="179" t="s">
        <v>151</v>
      </c>
      <c r="N36" s="179" t="s">
        <v>151</v>
      </c>
      <c r="O36" s="199" t="s">
        <v>151</v>
      </c>
      <c r="P36" s="179" t="s">
        <v>151</v>
      </c>
      <c r="Q36" s="179" t="s">
        <v>151</v>
      </c>
      <c r="R36" s="199" t="s">
        <v>151</v>
      </c>
      <c r="S36" s="179" t="s">
        <v>151</v>
      </c>
      <c r="T36" s="179" t="s">
        <v>151</v>
      </c>
      <c r="U36" s="204" t="s">
        <v>151</v>
      </c>
      <c r="V36" s="179" t="s">
        <v>151</v>
      </c>
      <c r="W36" s="179" t="s">
        <v>151</v>
      </c>
      <c r="X36" s="204" t="s">
        <v>151</v>
      </c>
      <c r="Y36" s="179" t="s">
        <v>151</v>
      </c>
      <c r="Z36" s="179" t="s">
        <v>151</v>
      </c>
    </row>
    <row r="37" spans="1:26" ht="15" thickBot="1"/>
    <row r="38" spans="1:26">
      <c r="A38" s="4" t="s">
        <v>52</v>
      </c>
      <c r="B38" s="3">
        <f>B3/F3</f>
        <v>1</v>
      </c>
      <c r="C38" s="4" t="s">
        <v>54</v>
      </c>
      <c r="E38" s="182">
        <f>B17/B3</f>
        <v>600</v>
      </c>
      <c r="F38" s="183" t="s">
        <v>49</v>
      </c>
      <c r="G38" s="184" t="s">
        <v>52</v>
      </c>
      <c r="M38" s="198"/>
    </row>
    <row r="39" spans="1:26" ht="15" thickBot="1">
      <c r="A39" s="4" t="s">
        <v>53</v>
      </c>
      <c r="B39" s="5">
        <f>ROUND(B4/F3,1)</f>
        <v>1.5</v>
      </c>
      <c r="C39" s="4" t="s">
        <v>54</v>
      </c>
      <c r="E39" s="185">
        <f>B18/B4</f>
        <v>1019.9999999999999</v>
      </c>
      <c r="F39" s="186" t="s">
        <v>49</v>
      </c>
      <c r="G39" s="187" t="s">
        <v>53</v>
      </c>
      <c r="M39" s="100"/>
    </row>
    <row r="41" spans="1:26" ht="18.5">
      <c r="A41" s="30" t="s">
        <v>187</v>
      </c>
      <c r="B41" s="36"/>
      <c r="C41" s="36"/>
      <c r="D41" t="s">
        <v>322</v>
      </c>
      <c r="E41" s="30" t="s">
        <v>232</v>
      </c>
      <c r="F41" s="36"/>
      <c r="G41" s="36"/>
      <c r="I41" s="30" t="s">
        <v>250</v>
      </c>
      <c r="J41" s="36"/>
      <c r="K41" s="36"/>
      <c r="M41" s="30" t="s">
        <v>251</v>
      </c>
      <c r="N41" s="36"/>
      <c r="O41" s="36"/>
    </row>
    <row r="43" spans="1:26">
      <c r="A43" s="4" t="s">
        <v>52</v>
      </c>
      <c r="B43" s="3">
        <f>B3/F7</f>
        <v>0.5</v>
      </c>
      <c r="C43" s="4" t="s">
        <v>54</v>
      </c>
      <c r="E43" s="4" t="s">
        <v>52</v>
      </c>
      <c r="F43" s="3">
        <f>B3/F4</f>
        <v>0.5</v>
      </c>
      <c r="G43" s="4" t="s">
        <v>54</v>
      </c>
      <c r="I43" s="4" t="s">
        <v>52</v>
      </c>
      <c r="J43" s="3">
        <f>B3/F12</f>
        <v>0.33333333333333331</v>
      </c>
      <c r="K43" s="4" t="s">
        <v>54</v>
      </c>
      <c r="M43" s="4" t="s">
        <v>52</v>
      </c>
      <c r="N43" s="3">
        <f>B3/F13</f>
        <v>0.2</v>
      </c>
      <c r="O43" s="4" t="s">
        <v>54</v>
      </c>
    </row>
    <row r="44" spans="1:26">
      <c r="A44" s="4" t="s">
        <v>53</v>
      </c>
      <c r="B44" s="5">
        <f>ROUND(B4/F7,1)</f>
        <v>0.8</v>
      </c>
      <c r="C44" s="4" t="s">
        <v>54</v>
      </c>
      <c r="E44" s="4" t="s">
        <v>53</v>
      </c>
      <c r="F44" s="3">
        <f>B4/F4</f>
        <v>0.75</v>
      </c>
      <c r="G44" s="4" t="s">
        <v>54</v>
      </c>
      <c r="I44" s="4" t="s">
        <v>53</v>
      </c>
      <c r="J44" s="3">
        <f>B4/F12</f>
        <v>0.5</v>
      </c>
      <c r="K44" s="4" t="s">
        <v>54</v>
      </c>
      <c r="M44" s="4" t="s">
        <v>53</v>
      </c>
      <c r="N44" s="3">
        <f>B4/F13</f>
        <v>0.3</v>
      </c>
      <c r="O44" s="4" t="s">
        <v>54</v>
      </c>
    </row>
    <row r="46" spans="1:26" ht="18.5">
      <c r="A46" s="30" t="s">
        <v>188</v>
      </c>
      <c r="B46" s="36"/>
      <c r="C46" s="36"/>
    </row>
    <row r="48" spans="1:26">
      <c r="A48" s="4" t="s">
        <v>52</v>
      </c>
      <c r="B48" s="3">
        <f>B3/F8</f>
        <v>0.2</v>
      </c>
      <c r="C48" s="4" t="s">
        <v>54</v>
      </c>
    </row>
    <row r="49" spans="1:15">
      <c r="A49" s="4" t="s">
        <v>53</v>
      </c>
      <c r="B49" s="5">
        <f>ROUND(B4/F8,1)</f>
        <v>0.3</v>
      </c>
      <c r="C49" s="4" t="s">
        <v>54</v>
      </c>
    </row>
    <row r="51" spans="1:15" ht="18.5">
      <c r="A51" s="30" t="s">
        <v>189</v>
      </c>
      <c r="B51" s="36"/>
      <c r="C51" s="36"/>
    </row>
    <row r="53" spans="1:15">
      <c r="A53" s="4" t="s">
        <v>52</v>
      </c>
      <c r="B53" s="3">
        <f>B3/F9</f>
        <v>0.1</v>
      </c>
      <c r="C53" s="4" t="s">
        <v>54</v>
      </c>
    </row>
    <row r="54" spans="1:15">
      <c r="A54" s="4" t="s">
        <v>53</v>
      </c>
      <c r="B54" s="5">
        <f>ROUND(B4/F9,1)</f>
        <v>0.2</v>
      </c>
      <c r="C54" s="4" t="s">
        <v>54</v>
      </c>
    </row>
    <row r="56" spans="1:15" ht="15" customHeight="1">
      <c r="A56" s="506" t="s">
        <v>263</v>
      </c>
      <c r="B56" s="506"/>
      <c r="C56" s="506"/>
      <c r="D56" s="506"/>
      <c r="E56" s="506"/>
      <c r="F56" s="506"/>
      <c r="G56" s="506"/>
      <c r="H56" s="506"/>
      <c r="I56" s="506"/>
      <c r="J56" s="506"/>
      <c r="K56" s="506"/>
      <c r="L56" s="506"/>
      <c r="M56" s="506"/>
      <c r="N56" s="506"/>
      <c r="O56" s="506"/>
    </row>
    <row r="57" spans="1:15" ht="15" customHeight="1">
      <c r="A57" s="506"/>
      <c r="B57" s="506"/>
      <c r="C57" s="506"/>
      <c r="D57" s="506"/>
      <c r="E57" s="506"/>
      <c r="F57" s="506"/>
      <c r="G57" s="506"/>
      <c r="H57" s="506"/>
      <c r="I57" s="506"/>
      <c r="J57" s="506"/>
      <c r="K57" s="506"/>
      <c r="L57" s="506"/>
      <c r="M57" s="506"/>
      <c r="N57" s="506"/>
      <c r="O57" s="506"/>
    </row>
    <row r="58" spans="1:15">
      <c r="A58" s="1"/>
      <c r="B58" s="1"/>
    </row>
    <row r="59" spans="1:15" ht="15.5">
      <c r="A59" s="36" t="s">
        <v>120</v>
      </c>
      <c r="B59" s="36"/>
      <c r="C59" s="36"/>
      <c r="D59" s="36"/>
      <c r="F59" s="36" t="s">
        <v>254</v>
      </c>
      <c r="G59" s="36"/>
      <c r="H59" s="36"/>
      <c r="I59" s="36"/>
      <c r="K59" s="36" t="s">
        <v>321</v>
      </c>
      <c r="L59" s="36"/>
      <c r="M59" s="36"/>
      <c r="N59" s="36"/>
    </row>
    <row r="61" spans="1:15">
      <c r="A61" s="126" t="s">
        <v>121</v>
      </c>
      <c r="B61" s="136" t="s">
        <v>122</v>
      </c>
      <c r="C61" s="136" t="s">
        <v>204</v>
      </c>
      <c r="D61" s="137" t="s">
        <v>205</v>
      </c>
      <c r="F61" s="137" t="s">
        <v>201</v>
      </c>
      <c r="G61" s="126" t="s">
        <v>248</v>
      </c>
      <c r="H61" s="127" t="s">
        <v>244</v>
      </c>
      <c r="I61" s="128" t="s">
        <v>245</v>
      </c>
      <c r="K61" s="137" t="s">
        <v>122</v>
      </c>
      <c r="L61" s="126" t="s">
        <v>248</v>
      </c>
      <c r="M61" s="127" t="s">
        <v>246</v>
      </c>
      <c r="N61" s="128" t="s">
        <v>247</v>
      </c>
    </row>
    <row r="62" spans="1:15">
      <c r="A62" s="443" t="s">
        <v>44</v>
      </c>
      <c r="B62" s="138">
        <v>0</v>
      </c>
      <c r="C62" s="139">
        <f>B62/$B$3</f>
        <v>0</v>
      </c>
      <c r="D62" s="140">
        <f>B62/$B$4</f>
        <v>0</v>
      </c>
      <c r="F62" s="209">
        <v>1</v>
      </c>
      <c r="G62" s="129" t="s">
        <v>44</v>
      </c>
      <c r="H62" s="124">
        <f>B3*F62</f>
        <v>10</v>
      </c>
      <c r="I62" s="130">
        <f>B4*F62</f>
        <v>15</v>
      </c>
      <c r="K62" s="208">
        <v>1</v>
      </c>
      <c r="L62" s="129" t="s">
        <v>44</v>
      </c>
      <c r="M62" s="193">
        <f>ROUND((1/B3)*K62,3)</f>
        <v>0.1</v>
      </c>
      <c r="N62" s="194">
        <f>ROUND((1/B4)*K62,3)</f>
        <v>6.7000000000000004E-2</v>
      </c>
    </row>
    <row r="63" spans="1:15" ht="15" thickBot="1">
      <c r="A63" s="444" t="s">
        <v>77</v>
      </c>
      <c r="B63" s="211">
        <v>0</v>
      </c>
      <c r="C63" s="212">
        <f>(B63/B17)</f>
        <v>0</v>
      </c>
      <c r="D63" s="213">
        <f>(B63/B18)</f>
        <v>0</v>
      </c>
      <c r="F63" s="225">
        <v>1</v>
      </c>
      <c r="G63" s="210" t="s">
        <v>77</v>
      </c>
      <c r="H63" s="223">
        <f>B17*F63</f>
        <v>6000</v>
      </c>
      <c r="I63" s="224">
        <f>B18*F63</f>
        <v>15299.999999999998</v>
      </c>
      <c r="K63" s="231">
        <v>1</v>
      </c>
      <c r="L63" s="210" t="s">
        <v>77</v>
      </c>
      <c r="M63" s="232">
        <f>ROUND((1/B17)*K63,10)</f>
        <v>1.6666669999999999E-4</v>
      </c>
      <c r="N63" s="233">
        <f>ROUND((1/B18)*K63,5)</f>
        <v>6.9999999999999994E-5</v>
      </c>
    </row>
    <row r="64" spans="1:15">
      <c r="A64" s="443" t="s">
        <v>228</v>
      </c>
      <c r="B64" s="138">
        <v>0</v>
      </c>
      <c r="C64" s="139">
        <f>B64/B38</f>
        <v>0</v>
      </c>
      <c r="D64" s="140">
        <f>B64/B39</f>
        <v>0</v>
      </c>
      <c r="F64" s="209">
        <v>1</v>
      </c>
      <c r="G64" s="129" t="s">
        <v>230</v>
      </c>
      <c r="H64" s="124">
        <f>ROUND((B3/F3)*F64,1)</f>
        <v>1</v>
      </c>
      <c r="I64" s="130">
        <f>(B4/F3)*F64</f>
        <v>1.5</v>
      </c>
      <c r="K64" s="208">
        <v>1</v>
      </c>
      <c r="L64" s="129" t="s">
        <v>230</v>
      </c>
      <c r="M64" s="193">
        <f>G3*K64</f>
        <v>1</v>
      </c>
      <c r="N64" s="194">
        <f>H3*K64</f>
        <v>0.67</v>
      </c>
    </row>
    <row r="65" spans="1:14">
      <c r="A65" s="445" t="s">
        <v>776</v>
      </c>
      <c r="B65" s="141">
        <v>0</v>
      </c>
      <c r="C65" s="142">
        <f>B65/F43</f>
        <v>0</v>
      </c>
      <c r="D65" s="143">
        <f>B65/F44</f>
        <v>0</v>
      </c>
      <c r="F65" s="209">
        <v>1</v>
      </c>
      <c r="G65" s="131" t="s">
        <v>233</v>
      </c>
      <c r="H65" s="125">
        <f>ROUND((B3/F4)*F65,1)</f>
        <v>0.5</v>
      </c>
      <c r="I65" s="132">
        <f>(B4/F4)*F65</f>
        <v>0.75</v>
      </c>
      <c r="K65" s="208">
        <v>1</v>
      </c>
      <c r="L65" s="131" t="s">
        <v>233</v>
      </c>
      <c r="M65" s="192">
        <f>G4*K65</f>
        <v>2</v>
      </c>
      <c r="N65" s="195">
        <f>H4*K65</f>
        <v>1.33</v>
      </c>
    </row>
    <row r="66" spans="1:14">
      <c r="A66" s="443" t="s">
        <v>699</v>
      </c>
      <c r="B66" s="138">
        <v>0</v>
      </c>
      <c r="C66" s="139">
        <f>B66/J43</f>
        <v>0</v>
      </c>
      <c r="D66" s="140">
        <f>B66/J44</f>
        <v>0</v>
      </c>
      <c r="F66" s="209">
        <v>1</v>
      </c>
      <c r="G66" s="129" t="s">
        <v>252</v>
      </c>
      <c r="H66" s="124">
        <f>ROUND((B3/F12)*F66,2)</f>
        <v>0.33</v>
      </c>
      <c r="I66" s="130">
        <f>(B4/F12)*F66</f>
        <v>0.5</v>
      </c>
      <c r="K66" s="208">
        <v>1</v>
      </c>
      <c r="L66" s="129" t="s">
        <v>252</v>
      </c>
      <c r="M66" s="193">
        <f>G12*K66</f>
        <v>3</v>
      </c>
      <c r="N66" s="194">
        <f>H12*K66</f>
        <v>2</v>
      </c>
    </row>
    <row r="67" spans="1:14" ht="15" thickBot="1">
      <c r="A67" s="446" t="s">
        <v>700</v>
      </c>
      <c r="B67" s="211">
        <v>0</v>
      </c>
      <c r="C67" s="212">
        <f>B67/N43</f>
        <v>0</v>
      </c>
      <c r="D67" s="213">
        <f>B67/N44</f>
        <v>0</v>
      </c>
      <c r="F67" s="225">
        <v>1</v>
      </c>
      <c r="G67" s="210" t="s">
        <v>253</v>
      </c>
      <c r="H67" s="223">
        <f>ROUND((B3/F13)*F67,2)</f>
        <v>0.2</v>
      </c>
      <c r="I67" s="224">
        <f>(B4/F13)*F67</f>
        <v>0.3</v>
      </c>
      <c r="K67" s="231">
        <v>1</v>
      </c>
      <c r="L67" s="210" t="s">
        <v>253</v>
      </c>
      <c r="M67" s="232">
        <f>G13*K67</f>
        <v>5</v>
      </c>
      <c r="N67" s="233">
        <f>H13*K67</f>
        <v>3.33</v>
      </c>
    </row>
    <row r="68" spans="1:14">
      <c r="A68" s="443" t="s">
        <v>123</v>
      </c>
      <c r="B68" s="138">
        <v>0</v>
      </c>
      <c r="C68" s="139">
        <f>B68/B43</f>
        <v>0</v>
      </c>
      <c r="D68" s="140">
        <f>B68/B44</f>
        <v>0</v>
      </c>
      <c r="F68" s="209">
        <v>1</v>
      </c>
      <c r="G68" s="129" t="s">
        <v>123</v>
      </c>
      <c r="H68" s="124">
        <f>ROUND((B3/F7)*F68,1)</f>
        <v>0.5</v>
      </c>
      <c r="I68" s="130">
        <f>(B4/F7)*F68</f>
        <v>0.75</v>
      </c>
      <c r="K68" s="208">
        <v>1</v>
      </c>
      <c r="L68" s="129" t="s">
        <v>123</v>
      </c>
      <c r="M68" s="193">
        <f>G7*K68</f>
        <v>2</v>
      </c>
      <c r="N68" s="194">
        <f>H7*K68</f>
        <v>1.33</v>
      </c>
    </row>
    <row r="69" spans="1:14">
      <c r="A69" s="445" t="s">
        <v>124</v>
      </c>
      <c r="B69" s="141">
        <v>0</v>
      </c>
      <c r="C69" s="142">
        <f>B69/B48</f>
        <v>0</v>
      </c>
      <c r="D69" s="143">
        <f>B69/B49</f>
        <v>0</v>
      </c>
      <c r="F69" s="209">
        <v>1</v>
      </c>
      <c r="G69" s="131" t="s">
        <v>124</v>
      </c>
      <c r="H69" s="125">
        <f>ROUND((B3/F8)*F69,1)</f>
        <v>0.2</v>
      </c>
      <c r="I69" s="132">
        <f>(B4/F8)*F69</f>
        <v>0.3</v>
      </c>
      <c r="K69" s="208">
        <v>1</v>
      </c>
      <c r="L69" s="131" t="s">
        <v>124</v>
      </c>
      <c r="M69" s="192">
        <f>G8*K69</f>
        <v>5</v>
      </c>
      <c r="N69" s="195">
        <f>H8*K69</f>
        <v>3.33</v>
      </c>
    </row>
    <row r="70" spans="1:14" ht="15" thickBot="1">
      <c r="A70" s="447" t="s">
        <v>125</v>
      </c>
      <c r="B70" s="215">
        <v>0</v>
      </c>
      <c r="C70" s="216">
        <f>B70/B53</f>
        <v>0</v>
      </c>
      <c r="D70" s="217">
        <f>B70/B54</f>
        <v>0</v>
      </c>
      <c r="F70" s="225">
        <v>1</v>
      </c>
      <c r="G70" s="214" t="s">
        <v>125</v>
      </c>
      <c r="H70" s="226">
        <f>ROUND((B3/F9)*F70,1)</f>
        <v>0.1</v>
      </c>
      <c r="I70" s="227">
        <f>(B4/F9)*F70</f>
        <v>0.15</v>
      </c>
      <c r="K70" s="231">
        <v>1</v>
      </c>
      <c r="L70" s="214" t="s">
        <v>125</v>
      </c>
      <c r="M70" s="234">
        <f>G9*K70</f>
        <v>10</v>
      </c>
      <c r="N70" s="235">
        <f>H9*K70</f>
        <v>6.67</v>
      </c>
    </row>
    <row r="71" spans="1:14">
      <c r="A71" s="445" t="s">
        <v>685</v>
      </c>
      <c r="B71" s="141">
        <v>0</v>
      </c>
      <c r="C71" s="142">
        <f t="shared" ref="C71:C90" si="3">G17*B71</f>
        <v>0</v>
      </c>
      <c r="D71" s="143">
        <f t="shared" ref="D71:D90" si="4">H17*B71</f>
        <v>0</v>
      </c>
      <c r="F71" s="209">
        <v>1</v>
      </c>
      <c r="G71" s="131" t="s">
        <v>203</v>
      </c>
      <c r="H71" s="125">
        <f t="shared" ref="H71:H90" si="5">ROUND(F71/G17,3)</f>
        <v>1</v>
      </c>
      <c r="I71" s="132">
        <f t="shared" ref="I71:I90" si="6">ROUND(F71/H17,3)</f>
        <v>1.4930000000000001</v>
      </c>
      <c r="K71" s="208">
        <v>1</v>
      </c>
      <c r="L71" s="131" t="s">
        <v>203</v>
      </c>
      <c r="M71" s="192">
        <f t="shared" ref="M71:M90" si="7">G17*K71</f>
        <v>1</v>
      </c>
      <c r="N71" s="195">
        <f t="shared" ref="N71:N90" si="8">H17*K71</f>
        <v>0.67</v>
      </c>
    </row>
    <row r="72" spans="1:14">
      <c r="A72" s="448" t="s">
        <v>686</v>
      </c>
      <c r="B72" s="144">
        <v>0</v>
      </c>
      <c r="C72" s="382">
        <f t="shared" si="3"/>
        <v>0</v>
      </c>
      <c r="D72" s="383">
        <f t="shared" si="4"/>
        <v>0</v>
      </c>
      <c r="F72" s="228">
        <v>1</v>
      </c>
      <c r="G72" s="381" t="s">
        <v>206</v>
      </c>
      <c r="H72" s="398">
        <f t="shared" si="5"/>
        <v>0.28599999999999998</v>
      </c>
      <c r="I72" s="399">
        <f t="shared" si="6"/>
        <v>0.42899999999999999</v>
      </c>
      <c r="K72" s="236">
        <v>1</v>
      </c>
      <c r="L72" s="381" t="s">
        <v>206</v>
      </c>
      <c r="M72" s="412">
        <f t="shared" si="7"/>
        <v>3.5</v>
      </c>
      <c r="N72" s="413">
        <f t="shared" si="8"/>
        <v>2.33</v>
      </c>
    </row>
    <row r="73" spans="1:14">
      <c r="A73" s="449" t="s">
        <v>687</v>
      </c>
      <c r="B73" s="141">
        <v>0</v>
      </c>
      <c r="C73" s="377">
        <f t="shared" si="3"/>
        <v>0</v>
      </c>
      <c r="D73" s="378">
        <f t="shared" si="4"/>
        <v>0</v>
      </c>
      <c r="F73" s="209">
        <v>1</v>
      </c>
      <c r="G73" s="366" t="s">
        <v>207</v>
      </c>
      <c r="H73" s="379">
        <f t="shared" si="5"/>
        <v>0.25</v>
      </c>
      <c r="I73" s="380">
        <f t="shared" si="6"/>
        <v>0.375</v>
      </c>
      <c r="K73" s="208">
        <v>1</v>
      </c>
      <c r="L73" s="366" t="s">
        <v>207</v>
      </c>
      <c r="M73" s="408">
        <f t="shared" si="7"/>
        <v>4</v>
      </c>
      <c r="N73" s="409">
        <f t="shared" si="8"/>
        <v>2.67</v>
      </c>
    </row>
    <row r="74" spans="1:14">
      <c r="A74" s="443" t="s">
        <v>688</v>
      </c>
      <c r="B74" s="138">
        <v>0</v>
      </c>
      <c r="C74" s="139">
        <f t="shared" si="3"/>
        <v>0</v>
      </c>
      <c r="D74" s="140">
        <f t="shared" si="4"/>
        <v>0</v>
      </c>
      <c r="F74" s="209">
        <v>1</v>
      </c>
      <c r="G74" s="129" t="s">
        <v>208</v>
      </c>
      <c r="H74" s="124">
        <f t="shared" si="5"/>
        <v>0.2</v>
      </c>
      <c r="I74" s="130">
        <f t="shared" si="6"/>
        <v>0.3</v>
      </c>
      <c r="K74" s="208">
        <v>1</v>
      </c>
      <c r="L74" s="129" t="s">
        <v>208</v>
      </c>
      <c r="M74" s="193">
        <f t="shared" si="7"/>
        <v>5</v>
      </c>
      <c r="N74" s="194">
        <f t="shared" si="8"/>
        <v>3.33</v>
      </c>
    </row>
    <row r="75" spans="1:14">
      <c r="A75" s="450" t="s">
        <v>689</v>
      </c>
      <c r="B75" s="219">
        <v>0</v>
      </c>
      <c r="C75" s="373">
        <f t="shared" si="3"/>
        <v>0</v>
      </c>
      <c r="D75" s="374">
        <f t="shared" si="4"/>
        <v>0</v>
      </c>
      <c r="F75" s="228">
        <v>1</v>
      </c>
      <c r="G75" s="372" t="s">
        <v>209</v>
      </c>
      <c r="H75" s="403">
        <f t="shared" si="5"/>
        <v>0.125</v>
      </c>
      <c r="I75" s="404">
        <f t="shared" si="6"/>
        <v>0.188</v>
      </c>
      <c r="K75" s="236">
        <v>1</v>
      </c>
      <c r="L75" s="372" t="s">
        <v>209</v>
      </c>
      <c r="M75" s="375">
        <f t="shared" si="7"/>
        <v>8</v>
      </c>
      <c r="N75" s="376">
        <f t="shared" si="8"/>
        <v>5.33</v>
      </c>
    </row>
    <row r="76" spans="1:14">
      <c r="A76" s="451" t="s">
        <v>690</v>
      </c>
      <c r="B76" s="138">
        <v>0</v>
      </c>
      <c r="C76" s="368">
        <f t="shared" si="3"/>
        <v>0</v>
      </c>
      <c r="D76" s="369">
        <f t="shared" si="4"/>
        <v>0</v>
      </c>
      <c r="F76" s="209">
        <v>1</v>
      </c>
      <c r="G76" s="367" t="s">
        <v>210</v>
      </c>
      <c r="H76" s="370">
        <f t="shared" si="5"/>
        <v>0.1</v>
      </c>
      <c r="I76" s="371">
        <f t="shared" si="6"/>
        <v>0.15</v>
      </c>
      <c r="K76" s="208">
        <v>1</v>
      </c>
      <c r="L76" s="367" t="s">
        <v>210</v>
      </c>
      <c r="M76" s="414">
        <f t="shared" si="7"/>
        <v>10</v>
      </c>
      <c r="N76" s="415">
        <f t="shared" si="8"/>
        <v>6.67</v>
      </c>
    </row>
    <row r="77" spans="1:14">
      <c r="A77" s="445" t="s">
        <v>691</v>
      </c>
      <c r="B77" s="141">
        <v>0</v>
      </c>
      <c r="C77" s="142">
        <f t="shared" si="3"/>
        <v>0</v>
      </c>
      <c r="D77" s="143">
        <f t="shared" si="4"/>
        <v>0</v>
      </c>
      <c r="F77" s="209">
        <v>1</v>
      </c>
      <c r="G77" s="131" t="s">
        <v>211</v>
      </c>
      <c r="H77" s="125">
        <f t="shared" si="5"/>
        <v>0.1</v>
      </c>
      <c r="I77" s="132">
        <f t="shared" si="6"/>
        <v>0.15</v>
      </c>
      <c r="K77" s="208">
        <v>1</v>
      </c>
      <c r="L77" s="131" t="s">
        <v>211</v>
      </c>
      <c r="M77" s="192">
        <f t="shared" si="7"/>
        <v>10</v>
      </c>
      <c r="N77" s="195">
        <f t="shared" si="8"/>
        <v>6.67</v>
      </c>
    </row>
    <row r="78" spans="1:14">
      <c r="A78" s="448" t="s">
        <v>692</v>
      </c>
      <c r="B78" s="144">
        <v>0</v>
      </c>
      <c r="C78" s="382">
        <f t="shared" si="3"/>
        <v>0</v>
      </c>
      <c r="D78" s="383">
        <f t="shared" si="4"/>
        <v>0</v>
      </c>
      <c r="F78" s="228">
        <v>1</v>
      </c>
      <c r="G78" s="381" t="s">
        <v>212</v>
      </c>
      <c r="H78" s="398">
        <f t="shared" si="5"/>
        <v>0.1</v>
      </c>
      <c r="I78" s="399">
        <f t="shared" si="6"/>
        <v>0.15</v>
      </c>
      <c r="K78" s="236">
        <v>1</v>
      </c>
      <c r="L78" s="381" t="s">
        <v>212</v>
      </c>
      <c r="M78" s="412">
        <f t="shared" si="7"/>
        <v>10</v>
      </c>
      <c r="N78" s="413">
        <f t="shared" si="8"/>
        <v>6.67</v>
      </c>
    </row>
    <row r="79" spans="1:14">
      <c r="A79" s="449" t="s">
        <v>693</v>
      </c>
      <c r="B79" s="141">
        <v>0</v>
      </c>
      <c r="C79" s="377">
        <f t="shared" si="3"/>
        <v>0</v>
      </c>
      <c r="D79" s="378">
        <f t="shared" si="4"/>
        <v>0</v>
      </c>
      <c r="F79" s="209">
        <v>1</v>
      </c>
      <c r="G79" s="366" t="s">
        <v>213</v>
      </c>
      <c r="H79" s="379">
        <f t="shared" si="5"/>
        <v>0.04</v>
      </c>
      <c r="I79" s="380">
        <f t="shared" si="6"/>
        <v>0.06</v>
      </c>
      <c r="K79" s="208">
        <v>1</v>
      </c>
      <c r="L79" s="366" t="s">
        <v>213</v>
      </c>
      <c r="M79" s="408">
        <f t="shared" si="7"/>
        <v>25</v>
      </c>
      <c r="N79" s="409">
        <f t="shared" si="8"/>
        <v>16.670000000000002</v>
      </c>
    </row>
    <row r="80" spans="1:14">
      <c r="A80" s="443" t="s">
        <v>694</v>
      </c>
      <c r="B80" s="138">
        <v>0</v>
      </c>
      <c r="C80" s="139">
        <f t="shared" si="3"/>
        <v>0</v>
      </c>
      <c r="D80" s="140">
        <f t="shared" si="4"/>
        <v>0</v>
      </c>
      <c r="F80" s="209">
        <v>1</v>
      </c>
      <c r="G80" s="129" t="s">
        <v>214</v>
      </c>
      <c r="H80" s="124">
        <f t="shared" si="5"/>
        <v>0.04</v>
      </c>
      <c r="I80" s="130">
        <f t="shared" si="6"/>
        <v>0.06</v>
      </c>
      <c r="K80" s="208">
        <v>1</v>
      </c>
      <c r="L80" s="129" t="s">
        <v>214</v>
      </c>
      <c r="M80" s="193">
        <f t="shared" si="7"/>
        <v>25</v>
      </c>
      <c r="N80" s="194">
        <f t="shared" si="8"/>
        <v>16.670000000000002</v>
      </c>
    </row>
    <row r="81" spans="1:14">
      <c r="A81" s="450" t="s">
        <v>695</v>
      </c>
      <c r="B81" s="219">
        <v>0</v>
      </c>
      <c r="C81" s="373">
        <f t="shared" si="3"/>
        <v>0</v>
      </c>
      <c r="D81" s="374">
        <f t="shared" si="4"/>
        <v>0</v>
      </c>
      <c r="F81" s="228">
        <v>1</v>
      </c>
      <c r="G81" s="372" t="s">
        <v>215</v>
      </c>
      <c r="H81" s="403">
        <f t="shared" si="5"/>
        <v>0.04</v>
      </c>
      <c r="I81" s="404">
        <f t="shared" si="6"/>
        <v>0.06</v>
      </c>
      <c r="K81" s="236">
        <v>1</v>
      </c>
      <c r="L81" s="372" t="s">
        <v>215</v>
      </c>
      <c r="M81" s="375">
        <f t="shared" si="7"/>
        <v>25</v>
      </c>
      <c r="N81" s="376">
        <f t="shared" si="8"/>
        <v>16.670000000000002</v>
      </c>
    </row>
    <row r="82" spans="1:14">
      <c r="A82" s="451" t="s">
        <v>696</v>
      </c>
      <c r="B82" s="141">
        <v>0</v>
      </c>
      <c r="C82" s="368">
        <f t="shared" si="3"/>
        <v>0</v>
      </c>
      <c r="D82" s="369">
        <f t="shared" si="4"/>
        <v>0</v>
      </c>
      <c r="F82" s="364">
        <v>1</v>
      </c>
      <c r="G82" s="400" t="s">
        <v>219</v>
      </c>
      <c r="H82" s="401">
        <f t="shared" si="5"/>
        <v>1.7999999999999999E-2</v>
      </c>
      <c r="I82" s="402">
        <f t="shared" si="6"/>
        <v>2.7E-2</v>
      </c>
      <c r="K82" s="365">
        <v>1</v>
      </c>
      <c r="L82" s="400" t="s">
        <v>219</v>
      </c>
      <c r="M82" s="416">
        <f t="shared" si="7"/>
        <v>55</v>
      </c>
      <c r="N82" s="417">
        <f t="shared" si="8"/>
        <v>36.67</v>
      </c>
    </row>
    <row r="83" spans="1:14">
      <c r="A83" s="445" t="s">
        <v>697</v>
      </c>
      <c r="B83" s="141">
        <v>0</v>
      </c>
      <c r="C83" s="142">
        <f t="shared" si="3"/>
        <v>0</v>
      </c>
      <c r="D83" s="143">
        <f t="shared" si="4"/>
        <v>0</v>
      </c>
      <c r="F83" s="209">
        <v>1</v>
      </c>
      <c r="G83" s="131" t="s">
        <v>523</v>
      </c>
      <c r="H83" s="125">
        <f t="shared" si="5"/>
        <v>1.7999999999999999E-2</v>
      </c>
      <c r="I83" s="132">
        <f t="shared" si="6"/>
        <v>2.7E-2</v>
      </c>
      <c r="K83" s="208">
        <v>1</v>
      </c>
      <c r="L83" s="131" t="s">
        <v>523</v>
      </c>
      <c r="M83" s="192">
        <f t="shared" si="7"/>
        <v>55</v>
      </c>
      <c r="N83" s="195">
        <f t="shared" si="8"/>
        <v>36.67</v>
      </c>
    </row>
    <row r="84" spans="1:14">
      <c r="A84" s="451" t="s">
        <v>698</v>
      </c>
      <c r="B84" s="138">
        <v>0</v>
      </c>
      <c r="C84" s="368">
        <f t="shared" si="3"/>
        <v>0</v>
      </c>
      <c r="D84" s="369">
        <f t="shared" si="4"/>
        <v>0</v>
      </c>
      <c r="F84" s="209">
        <v>1</v>
      </c>
      <c r="G84" s="367" t="s">
        <v>780</v>
      </c>
      <c r="H84" s="370">
        <f t="shared" si="5"/>
        <v>1.7999999999999999E-2</v>
      </c>
      <c r="I84" s="371">
        <f t="shared" si="6"/>
        <v>2.7E-2</v>
      </c>
      <c r="K84" s="208">
        <v>1</v>
      </c>
      <c r="L84" s="131" t="s">
        <v>780</v>
      </c>
      <c r="M84" s="192">
        <f t="shared" si="7"/>
        <v>55</v>
      </c>
      <c r="N84" s="195">
        <f t="shared" si="8"/>
        <v>36.67</v>
      </c>
    </row>
    <row r="85" spans="1:14">
      <c r="A85" s="451" t="s">
        <v>783</v>
      </c>
      <c r="B85" s="138">
        <v>0</v>
      </c>
      <c r="C85" s="382">
        <f t="shared" si="3"/>
        <v>0</v>
      </c>
      <c r="D85" s="383">
        <f t="shared" si="4"/>
        <v>0</v>
      </c>
      <c r="F85" s="209">
        <v>1</v>
      </c>
      <c r="G85" s="367" t="s">
        <v>781</v>
      </c>
      <c r="H85" s="398">
        <f t="shared" si="5"/>
        <v>1.7999999999999999E-2</v>
      </c>
      <c r="I85" s="399">
        <f t="shared" si="6"/>
        <v>2.7E-2</v>
      </c>
      <c r="K85" s="208">
        <v>1</v>
      </c>
      <c r="L85" s="131" t="s">
        <v>781</v>
      </c>
      <c r="M85" s="192">
        <f t="shared" si="7"/>
        <v>55</v>
      </c>
      <c r="N85" s="195">
        <f t="shared" si="8"/>
        <v>36.67</v>
      </c>
    </row>
    <row r="86" spans="1:14">
      <c r="A86" s="469" t="s">
        <v>402</v>
      </c>
      <c r="B86" s="470">
        <v>0</v>
      </c>
      <c r="C86" s="471">
        <f t="shared" si="3"/>
        <v>0</v>
      </c>
      <c r="D86" s="472">
        <f t="shared" si="4"/>
        <v>0</v>
      </c>
      <c r="F86" s="364">
        <v>1</v>
      </c>
      <c r="G86" s="473" t="s">
        <v>408</v>
      </c>
      <c r="H86" s="474">
        <f t="shared" si="5"/>
        <v>0.1</v>
      </c>
      <c r="I86" s="475">
        <f t="shared" si="6"/>
        <v>0.15</v>
      </c>
      <c r="K86" s="365">
        <v>1</v>
      </c>
      <c r="L86" s="473" t="s">
        <v>240</v>
      </c>
      <c r="M86" s="476">
        <f t="shared" si="7"/>
        <v>10</v>
      </c>
      <c r="N86" s="477">
        <f t="shared" si="8"/>
        <v>6.67</v>
      </c>
    </row>
    <row r="87" spans="1:14">
      <c r="A87" s="443" t="s">
        <v>403</v>
      </c>
      <c r="B87" s="138">
        <v>0</v>
      </c>
      <c r="C87" s="139">
        <f t="shared" si="3"/>
        <v>0</v>
      </c>
      <c r="D87" s="140">
        <f t="shared" si="4"/>
        <v>0</v>
      </c>
      <c r="F87" s="209">
        <v>1</v>
      </c>
      <c r="G87" s="366" t="s">
        <v>409</v>
      </c>
      <c r="H87" s="379">
        <f t="shared" si="5"/>
        <v>0.1</v>
      </c>
      <c r="I87" s="380">
        <f t="shared" si="6"/>
        <v>0.15</v>
      </c>
      <c r="K87" s="208">
        <v>1</v>
      </c>
      <c r="L87" s="129" t="s">
        <v>241</v>
      </c>
      <c r="M87" s="193">
        <f t="shared" si="7"/>
        <v>10</v>
      </c>
      <c r="N87" s="194">
        <f t="shared" si="8"/>
        <v>6.67</v>
      </c>
    </row>
    <row r="88" spans="1:14">
      <c r="A88" s="443" t="s">
        <v>404</v>
      </c>
      <c r="B88" s="101">
        <v>0</v>
      </c>
      <c r="C88" s="139">
        <f t="shared" si="3"/>
        <v>0</v>
      </c>
      <c r="D88" s="140">
        <f t="shared" si="4"/>
        <v>0</v>
      </c>
      <c r="F88" s="209">
        <v>1</v>
      </c>
      <c r="G88" s="129" t="s">
        <v>242</v>
      </c>
      <c r="H88" s="124">
        <f t="shared" si="5"/>
        <v>0.1</v>
      </c>
      <c r="I88" s="130">
        <f t="shared" si="6"/>
        <v>0.15</v>
      </c>
      <c r="K88" s="208">
        <v>1</v>
      </c>
      <c r="L88" s="366" t="s">
        <v>242</v>
      </c>
      <c r="M88" s="408">
        <f t="shared" si="7"/>
        <v>10</v>
      </c>
      <c r="N88" s="409">
        <f t="shared" si="8"/>
        <v>6.67</v>
      </c>
    </row>
    <row r="89" spans="1:14">
      <c r="A89" s="449" t="s">
        <v>405</v>
      </c>
      <c r="B89" s="101">
        <v>0</v>
      </c>
      <c r="C89" s="377">
        <f t="shared" si="3"/>
        <v>0</v>
      </c>
      <c r="D89" s="378">
        <f t="shared" si="4"/>
        <v>0</v>
      </c>
      <c r="F89" s="209">
        <v>1</v>
      </c>
      <c r="G89" s="129" t="s">
        <v>243</v>
      </c>
      <c r="H89" s="124">
        <f t="shared" si="5"/>
        <v>0.1</v>
      </c>
      <c r="I89" s="130">
        <f t="shared" si="6"/>
        <v>0.15</v>
      </c>
      <c r="K89" s="208">
        <v>1</v>
      </c>
      <c r="L89" s="129" t="s">
        <v>243</v>
      </c>
      <c r="M89" s="193">
        <f t="shared" si="7"/>
        <v>10</v>
      </c>
      <c r="N89" s="194">
        <f t="shared" si="8"/>
        <v>6.67</v>
      </c>
    </row>
    <row r="90" spans="1:14" ht="15" thickBot="1">
      <c r="A90" s="443" t="s">
        <v>406</v>
      </c>
      <c r="B90" s="101">
        <v>0</v>
      </c>
      <c r="C90" s="139">
        <f t="shared" si="3"/>
        <v>0</v>
      </c>
      <c r="D90" s="140">
        <f t="shared" si="4"/>
        <v>0</v>
      </c>
      <c r="F90" s="225">
        <v>1</v>
      </c>
      <c r="G90" s="405" t="s">
        <v>249</v>
      </c>
      <c r="H90" s="406">
        <f t="shared" si="5"/>
        <v>0.1</v>
      </c>
      <c r="I90" s="407">
        <f t="shared" si="6"/>
        <v>0.15</v>
      </c>
      <c r="K90" s="231">
        <v>1</v>
      </c>
      <c r="L90" s="405" t="s">
        <v>249</v>
      </c>
      <c r="M90" s="410">
        <f t="shared" si="7"/>
        <v>10</v>
      </c>
      <c r="N90" s="411">
        <f t="shared" si="8"/>
        <v>6.67</v>
      </c>
    </row>
    <row r="91" spans="1:14">
      <c r="A91" s="452" t="s">
        <v>775</v>
      </c>
      <c r="B91" s="390">
        <v>0</v>
      </c>
      <c r="C91" s="394">
        <f>B91*J17</f>
        <v>0</v>
      </c>
      <c r="D91" s="395">
        <f>B91*K17</f>
        <v>0</v>
      </c>
      <c r="F91" s="209">
        <v>1</v>
      </c>
      <c r="G91" s="367" t="s">
        <v>280</v>
      </c>
      <c r="H91" s="370">
        <f>ROUND(F91/J17,2)</f>
        <v>3.53</v>
      </c>
      <c r="I91" s="371">
        <f>ROUND(F91/K17,2)</f>
        <v>9</v>
      </c>
      <c r="K91" s="208">
        <v>1</v>
      </c>
      <c r="L91" s="367" t="s">
        <v>280</v>
      </c>
      <c r="M91" s="414">
        <f>K91*J17</f>
        <v>0.28333333333333333</v>
      </c>
      <c r="N91" s="415">
        <f>K91*K17</f>
        <v>0.11111111111111112</v>
      </c>
    </row>
    <row r="92" spans="1:14">
      <c r="A92" s="448" t="s">
        <v>774</v>
      </c>
      <c r="B92" s="222">
        <v>0</v>
      </c>
      <c r="C92" s="382">
        <f>B92*M17</f>
        <v>0</v>
      </c>
      <c r="D92" s="383">
        <f>B92*N17</f>
        <v>0</v>
      </c>
      <c r="F92" s="228">
        <v>1</v>
      </c>
      <c r="G92" s="133" t="s">
        <v>281</v>
      </c>
      <c r="H92" s="134">
        <f>ROUND(F92/M17,2)</f>
        <v>2</v>
      </c>
      <c r="I92" s="135">
        <f>ROUND(F92/N17,2)</f>
        <v>3</v>
      </c>
      <c r="K92" s="236">
        <v>1</v>
      </c>
      <c r="L92" s="133" t="s">
        <v>281</v>
      </c>
      <c r="M92" s="196">
        <f>K92*M17</f>
        <v>0.5</v>
      </c>
      <c r="N92" s="197">
        <f>K92*N17</f>
        <v>0.33333333333333331</v>
      </c>
    </row>
    <row r="93" spans="1:14">
      <c r="A93" s="449" t="s">
        <v>773</v>
      </c>
      <c r="B93" s="101">
        <v>0</v>
      </c>
      <c r="C93" s="377">
        <f>B93*J18</f>
        <v>0</v>
      </c>
      <c r="D93" s="378">
        <f>B93*K18</f>
        <v>0</v>
      </c>
      <c r="F93" s="209">
        <v>1</v>
      </c>
      <c r="G93" s="129" t="s">
        <v>282</v>
      </c>
      <c r="H93" s="124">
        <f>ROUND(F93/J18,2)</f>
        <v>1.1299999999999999</v>
      </c>
      <c r="I93" s="130">
        <f>ROUND(F93/K18,2)</f>
        <v>2.89</v>
      </c>
      <c r="K93" s="208">
        <v>1</v>
      </c>
      <c r="L93" s="129" t="s">
        <v>282</v>
      </c>
      <c r="M93" s="193">
        <f>K93*J18</f>
        <v>0.8833333333333333</v>
      </c>
      <c r="N93" s="194">
        <f>K93*K18</f>
        <v>0.34640522875816998</v>
      </c>
    </row>
    <row r="94" spans="1:14">
      <c r="A94" s="443" t="s">
        <v>772</v>
      </c>
      <c r="B94" s="101">
        <v>0</v>
      </c>
      <c r="C94" s="139">
        <f>B94*M18</f>
        <v>0</v>
      </c>
      <c r="D94" s="140">
        <f>B94*N18</f>
        <v>0</v>
      </c>
      <c r="F94" s="228">
        <v>1</v>
      </c>
      <c r="G94" s="372" t="s">
        <v>283</v>
      </c>
      <c r="H94" s="403">
        <f>ROUND(F94/M18,2)</f>
        <v>1</v>
      </c>
      <c r="I94" s="404">
        <f>ROUND(F94/N18,2)</f>
        <v>1.5</v>
      </c>
      <c r="K94" s="236">
        <v>1</v>
      </c>
      <c r="L94" s="372" t="s">
        <v>283</v>
      </c>
      <c r="M94" s="375">
        <f>K94*M18</f>
        <v>1</v>
      </c>
      <c r="N94" s="376">
        <f>K94*N18</f>
        <v>0.66666666666666663</v>
      </c>
    </row>
    <row r="95" spans="1:14">
      <c r="A95" s="453" t="s">
        <v>771</v>
      </c>
      <c r="B95" s="391">
        <v>0</v>
      </c>
      <c r="C95" s="396">
        <f>B95*J19</f>
        <v>0</v>
      </c>
      <c r="D95" s="397">
        <f>B95*K19</f>
        <v>0</v>
      </c>
      <c r="F95" s="209">
        <v>1</v>
      </c>
      <c r="G95" s="367" t="s">
        <v>284</v>
      </c>
      <c r="H95" s="370">
        <f>ROUND(F95/J19,2)</f>
        <v>0.6</v>
      </c>
      <c r="I95" s="371">
        <f>ROUND(F95/K19,2)</f>
        <v>1.53</v>
      </c>
      <c r="K95" s="208">
        <v>1</v>
      </c>
      <c r="L95" s="367" t="s">
        <v>284</v>
      </c>
      <c r="M95" s="414">
        <f>K95*J19</f>
        <v>1.6666666666666667</v>
      </c>
      <c r="N95" s="415">
        <f>K95*K19</f>
        <v>0.65359477124183019</v>
      </c>
    </row>
    <row r="96" spans="1:14">
      <c r="A96" s="451" t="s">
        <v>770</v>
      </c>
      <c r="B96" s="101">
        <v>0</v>
      </c>
      <c r="C96" s="368">
        <f>B96*M19</f>
        <v>0</v>
      </c>
      <c r="D96" s="369">
        <f>B96*N19</f>
        <v>0</v>
      </c>
      <c r="F96" s="209">
        <v>1</v>
      </c>
      <c r="G96" s="131" t="s">
        <v>285</v>
      </c>
      <c r="H96" s="125">
        <f>ROUND(F96/M19,2)</f>
        <v>0.6</v>
      </c>
      <c r="I96" s="132">
        <f>ROUND(F96/N19,2)</f>
        <v>1.53</v>
      </c>
      <c r="K96" s="208">
        <v>1</v>
      </c>
      <c r="L96" s="131" t="s">
        <v>285</v>
      </c>
      <c r="M96" s="192">
        <f>K96*M19</f>
        <v>1.6666666666666667</v>
      </c>
      <c r="N96" s="195">
        <f>K96*N19</f>
        <v>0.65359477124183019</v>
      </c>
    </row>
    <row r="97" spans="1:14">
      <c r="A97" s="448" t="s">
        <v>769</v>
      </c>
      <c r="B97" s="144">
        <v>0</v>
      </c>
      <c r="C97" s="382">
        <f>B97*P19</f>
        <v>0</v>
      </c>
      <c r="D97" s="383">
        <f>B97*Q19</f>
        <v>0</v>
      </c>
      <c r="F97" s="228">
        <v>1</v>
      </c>
      <c r="G97" s="381" t="s">
        <v>286</v>
      </c>
      <c r="H97" s="398">
        <f>ROUND(F97/P19,2)</f>
        <v>0.67</v>
      </c>
      <c r="I97" s="399">
        <f>ROUND(F97/Q19,2)</f>
        <v>1</v>
      </c>
      <c r="K97" s="236">
        <v>1</v>
      </c>
      <c r="L97" s="381" t="s">
        <v>286</v>
      </c>
      <c r="M97" s="412">
        <f>K97*P19</f>
        <v>1.5</v>
      </c>
      <c r="N97" s="413">
        <f>K97*Q19</f>
        <v>1</v>
      </c>
    </row>
    <row r="98" spans="1:14">
      <c r="A98" s="449" t="s">
        <v>768</v>
      </c>
      <c r="B98" s="141">
        <v>0</v>
      </c>
      <c r="C98" s="377">
        <f>B98*J20</f>
        <v>0</v>
      </c>
      <c r="D98" s="378">
        <f>B98*K20</f>
        <v>0</v>
      </c>
      <c r="F98" s="209">
        <v>1</v>
      </c>
      <c r="G98" s="366" t="s">
        <v>287</v>
      </c>
      <c r="H98" s="379">
        <f>ROUND(F98/J20,2)</f>
        <v>0.2</v>
      </c>
      <c r="I98" s="380">
        <f>ROUND(F98/K20,2)</f>
        <v>0.51</v>
      </c>
      <c r="K98" s="208">
        <v>1</v>
      </c>
      <c r="L98" s="366" t="s">
        <v>287</v>
      </c>
      <c r="M98" s="408">
        <f>K98*J20</f>
        <v>5</v>
      </c>
      <c r="N98" s="409">
        <f>K98*K20</f>
        <v>1.9607843137254903</v>
      </c>
    </row>
    <row r="99" spans="1:14">
      <c r="A99" s="443" t="s">
        <v>767</v>
      </c>
      <c r="B99" s="138">
        <v>0</v>
      </c>
      <c r="C99" s="139">
        <f>B99*M20</f>
        <v>0</v>
      </c>
      <c r="D99" s="140">
        <f>B99*N20</f>
        <v>0</v>
      </c>
      <c r="F99" s="209">
        <v>1</v>
      </c>
      <c r="G99" s="129" t="s">
        <v>288</v>
      </c>
      <c r="H99" s="124">
        <f>ROUND(F99/M20,2)</f>
        <v>0.2</v>
      </c>
      <c r="I99" s="130">
        <f>ROUND(F99/N20,2)</f>
        <v>0.51</v>
      </c>
      <c r="K99" s="208">
        <v>1</v>
      </c>
      <c r="L99" s="129" t="s">
        <v>288</v>
      </c>
      <c r="M99" s="193">
        <f>K99*M20</f>
        <v>5</v>
      </c>
      <c r="N99" s="194">
        <f>K99*N20</f>
        <v>1.9607843137254903</v>
      </c>
    </row>
    <row r="100" spans="1:14">
      <c r="A100" s="443" t="s">
        <v>766</v>
      </c>
      <c r="B100" s="101">
        <v>0</v>
      </c>
      <c r="C100" s="139">
        <f>B100*P20</f>
        <v>0</v>
      </c>
      <c r="D100" s="140">
        <f>B100*Q20</f>
        <v>0</v>
      </c>
      <c r="F100" s="228">
        <v>1</v>
      </c>
      <c r="G100" s="372" t="s">
        <v>289</v>
      </c>
      <c r="H100" s="403">
        <f>ROUND(F100/P20,2)</f>
        <v>0.67</v>
      </c>
      <c r="I100" s="404">
        <f>ROUND(F100/Q20,2)</f>
        <v>1</v>
      </c>
      <c r="J100" t="s">
        <v>322</v>
      </c>
      <c r="K100" s="236">
        <v>1</v>
      </c>
      <c r="L100" s="372" t="s">
        <v>289</v>
      </c>
      <c r="M100" s="375">
        <f>K100*P20</f>
        <v>1.5</v>
      </c>
      <c r="N100" s="376">
        <f>K100*Q20</f>
        <v>1</v>
      </c>
    </row>
    <row r="101" spans="1:14">
      <c r="A101" s="453" t="s">
        <v>765</v>
      </c>
      <c r="B101" s="391">
        <v>0</v>
      </c>
      <c r="C101" s="396">
        <f>B101*J21</f>
        <v>0</v>
      </c>
      <c r="D101" s="397">
        <f>B101*K21</f>
        <v>0</v>
      </c>
      <c r="F101" s="209">
        <v>1</v>
      </c>
      <c r="G101" s="367" t="s">
        <v>290</v>
      </c>
      <c r="H101" s="370">
        <f>ROUND(F101/J21,2)</f>
        <v>0.1</v>
      </c>
      <c r="I101" s="371">
        <f>ROUND(F101/K21,2)</f>
        <v>0.26</v>
      </c>
      <c r="K101" s="208">
        <v>1</v>
      </c>
      <c r="L101" s="367" t="s">
        <v>290</v>
      </c>
      <c r="M101" s="414">
        <f>K101*J21</f>
        <v>9.6666666666666661</v>
      </c>
      <c r="N101" s="415">
        <f>K101*K21</f>
        <v>3.7908496732026147</v>
      </c>
    </row>
    <row r="102" spans="1:14">
      <c r="A102" s="451" t="s">
        <v>764</v>
      </c>
      <c r="B102" s="101">
        <v>0</v>
      </c>
      <c r="C102" s="368">
        <f>B102*M21</f>
        <v>0</v>
      </c>
      <c r="D102" s="369">
        <f>B102*N21</f>
        <v>0</v>
      </c>
      <c r="F102" s="209">
        <v>1</v>
      </c>
      <c r="G102" s="131" t="s">
        <v>291</v>
      </c>
      <c r="H102" s="125">
        <f>ROUND(F102/M21,2)</f>
        <v>0.1</v>
      </c>
      <c r="I102" s="132">
        <f>ROUND(F102/N21,2)</f>
        <v>0.26</v>
      </c>
      <c r="K102" s="208">
        <v>1</v>
      </c>
      <c r="L102" s="131" t="s">
        <v>291</v>
      </c>
      <c r="M102" s="192">
        <f>K102*M21</f>
        <v>9.6666666666666661</v>
      </c>
      <c r="N102" s="195">
        <f>K102*N21</f>
        <v>3.7908496732026147</v>
      </c>
    </row>
    <row r="103" spans="1:14">
      <c r="A103" s="448" t="s">
        <v>763</v>
      </c>
      <c r="B103" s="144">
        <v>0</v>
      </c>
      <c r="C103" s="382">
        <f>B103*P21</f>
        <v>0</v>
      </c>
      <c r="D103" s="383">
        <f>B103*Q21</f>
        <v>0</v>
      </c>
      <c r="F103" s="228">
        <v>1</v>
      </c>
      <c r="G103" s="381" t="s">
        <v>292</v>
      </c>
      <c r="H103" s="398">
        <f>ROUND(F103/P21,2)</f>
        <v>0.67</v>
      </c>
      <c r="I103" s="399">
        <f>ROUND(F103/Q21,2)</f>
        <v>1</v>
      </c>
      <c r="K103" s="236">
        <v>1</v>
      </c>
      <c r="L103" s="381" t="s">
        <v>292</v>
      </c>
      <c r="M103" s="412">
        <f>K103*P21</f>
        <v>1.5</v>
      </c>
      <c r="N103" s="413">
        <f>K103*Q21</f>
        <v>1</v>
      </c>
    </row>
    <row r="104" spans="1:14">
      <c r="A104" s="449" t="s">
        <v>762</v>
      </c>
      <c r="B104" s="141">
        <v>0</v>
      </c>
      <c r="C104" s="377">
        <f>B104*J22</f>
        <v>0</v>
      </c>
      <c r="D104" s="378">
        <f>B104*K22</f>
        <v>0</v>
      </c>
      <c r="F104" s="209">
        <v>1</v>
      </c>
      <c r="G104" s="366" t="s">
        <v>293</v>
      </c>
      <c r="H104" s="379">
        <f>ROUND(F104/J22,4)</f>
        <v>0.08</v>
      </c>
      <c r="I104" s="380">
        <f>ROUND(F104/K22,4)</f>
        <v>0.20399999999999999</v>
      </c>
      <c r="K104" s="208">
        <v>1</v>
      </c>
      <c r="L104" s="366" t="s">
        <v>293</v>
      </c>
      <c r="M104" s="408">
        <f>K104*J22</f>
        <v>12.5</v>
      </c>
      <c r="N104" s="409">
        <f>K104*K22</f>
        <v>4.9019607843137258</v>
      </c>
    </row>
    <row r="105" spans="1:14">
      <c r="A105" s="443" t="s">
        <v>761</v>
      </c>
      <c r="B105" s="138">
        <v>0</v>
      </c>
      <c r="C105" s="139">
        <f>B105*M22</f>
        <v>0</v>
      </c>
      <c r="D105" s="140">
        <f>B105*N22</f>
        <v>0</v>
      </c>
      <c r="F105" s="209">
        <v>1</v>
      </c>
      <c r="G105" s="129" t="s">
        <v>294</v>
      </c>
      <c r="H105" s="124">
        <f>ROUND(F105/M22,4)</f>
        <v>0.08</v>
      </c>
      <c r="I105" s="130">
        <f>ROUND(F105/N22,4)</f>
        <v>0.20399999999999999</v>
      </c>
      <c r="K105" s="208">
        <v>1</v>
      </c>
      <c r="L105" s="129" t="s">
        <v>294</v>
      </c>
      <c r="M105" s="193">
        <f>K105*M22</f>
        <v>12.5</v>
      </c>
      <c r="N105" s="194">
        <f>K105*N22</f>
        <v>4.9019607843137258</v>
      </c>
    </row>
    <row r="106" spans="1:14">
      <c r="A106" s="443" t="s">
        <v>760</v>
      </c>
      <c r="B106" s="101">
        <v>0</v>
      </c>
      <c r="C106" s="139">
        <f>B106*P22</f>
        <v>0</v>
      </c>
      <c r="D106" s="140">
        <f>B106*Q22</f>
        <v>0</v>
      </c>
      <c r="F106" s="209">
        <v>1</v>
      </c>
      <c r="G106" s="366" t="s">
        <v>295</v>
      </c>
      <c r="H106" s="379">
        <f>ROUND(F106/P22,4)</f>
        <v>0.08</v>
      </c>
      <c r="I106" s="380">
        <f>ROUND(F106/Q22,4)</f>
        <v>0.20399999999999999</v>
      </c>
      <c r="K106" s="208">
        <v>1</v>
      </c>
      <c r="L106" s="366" t="s">
        <v>295</v>
      </c>
      <c r="M106" s="408">
        <f>K106*P22</f>
        <v>12.5</v>
      </c>
      <c r="N106" s="409">
        <f>K106*Q22</f>
        <v>4.9019607843137258</v>
      </c>
    </row>
    <row r="107" spans="1:14">
      <c r="A107" s="443" t="s">
        <v>759</v>
      </c>
      <c r="B107" s="141">
        <v>0</v>
      </c>
      <c r="C107" s="139">
        <f>B107*S22</f>
        <v>0</v>
      </c>
      <c r="D107" s="140">
        <f>B107*T22</f>
        <v>0</v>
      </c>
      <c r="F107" s="209">
        <v>1</v>
      </c>
      <c r="G107" s="129" t="s">
        <v>296</v>
      </c>
      <c r="H107" s="124">
        <f>ROUND(F107/S22,4)</f>
        <v>0.22220000000000001</v>
      </c>
      <c r="I107" s="130">
        <f>ROUND(F107/T22,4)</f>
        <v>0.33329999999999999</v>
      </c>
      <c r="K107" s="208">
        <v>1</v>
      </c>
      <c r="L107" s="129" t="s">
        <v>296</v>
      </c>
      <c r="M107" s="193">
        <f>K107*S22</f>
        <v>4.5</v>
      </c>
      <c r="N107" s="194">
        <f>K107*T22</f>
        <v>3</v>
      </c>
    </row>
    <row r="108" spans="1:14">
      <c r="A108" s="449" t="s">
        <v>722</v>
      </c>
      <c r="B108" s="141">
        <v>0</v>
      </c>
      <c r="C108" s="377">
        <f>B108*V22</f>
        <v>0</v>
      </c>
      <c r="D108" s="378">
        <f>B108*W22</f>
        <v>0</v>
      </c>
      <c r="F108" s="209">
        <v>1</v>
      </c>
      <c r="G108" s="366" t="s">
        <v>488</v>
      </c>
      <c r="H108" s="379">
        <f>ROUND(F108/V22,4)</f>
        <v>0.18179999999999999</v>
      </c>
      <c r="I108" s="380">
        <f>ROUND(F108/W22,4)</f>
        <v>0.2727</v>
      </c>
      <c r="K108" s="208">
        <v>1</v>
      </c>
      <c r="L108" s="366" t="s">
        <v>488</v>
      </c>
      <c r="M108" s="408">
        <f>K108*V22</f>
        <v>5.5</v>
      </c>
      <c r="N108" s="409">
        <f>K108*W22</f>
        <v>3.6666666666666665</v>
      </c>
    </row>
    <row r="109" spans="1:14">
      <c r="A109" s="454" t="s">
        <v>723</v>
      </c>
      <c r="B109" s="144">
        <v>0</v>
      </c>
      <c r="C109" s="220">
        <f>B109*Y22</f>
        <v>0</v>
      </c>
      <c r="D109" s="221">
        <f>B109*Z22</f>
        <v>0</v>
      </c>
      <c r="F109" s="228">
        <v>1</v>
      </c>
      <c r="G109" s="218" t="s">
        <v>539</v>
      </c>
      <c r="H109" s="229">
        <f>ROUND(F109/Y22,4)</f>
        <v>0.15379999999999999</v>
      </c>
      <c r="I109" s="230">
        <f>ROUND(F109/Z22,4)</f>
        <v>0.23080000000000001</v>
      </c>
      <c r="K109" s="236">
        <v>1</v>
      </c>
      <c r="L109" s="218" t="s">
        <v>539</v>
      </c>
      <c r="M109" s="237">
        <f>K109*Y22</f>
        <v>6.5</v>
      </c>
      <c r="N109" s="238">
        <f>K109*Z22</f>
        <v>4.333333333333333</v>
      </c>
    </row>
    <row r="110" spans="1:14">
      <c r="A110" s="451" t="s">
        <v>758</v>
      </c>
      <c r="B110" s="101">
        <v>0</v>
      </c>
      <c r="C110" s="368">
        <f>B110*J23</f>
        <v>0</v>
      </c>
      <c r="D110" s="369">
        <f>B110*K23</f>
        <v>0</v>
      </c>
      <c r="F110" s="209">
        <v>1</v>
      </c>
      <c r="G110" s="131" t="s">
        <v>297</v>
      </c>
      <c r="H110" s="125">
        <f>ROUND(F110/J23,4)</f>
        <v>7.4999999999999997E-2</v>
      </c>
      <c r="I110" s="132">
        <f>ROUND(F110/K23,4)</f>
        <v>0.1913</v>
      </c>
      <c r="K110" s="208">
        <v>1</v>
      </c>
      <c r="L110" s="131" t="s">
        <v>297</v>
      </c>
      <c r="M110" s="192">
        <f>K110*J23</f>
        <v>13.333333333333334</v>
      </c>
      <c r="N110" s="195">
        <f>K110*K23</f>
        <v>5.2287581699346415</v>
      </c>
    </row>
    <row r="111" spans="1:14">
      <c r="A111" s="445" t="s">
        <v>757</v>
      </c>
      <c r="B111" s="101">
        <v>0</v>
      </c>
      <c r="C111" s="142">
        <f>B111*M23</f>
        <v>0</v>
      </c>
      <c r="D111" s="143">
        <f>B111*N23</f>
        <v>0</v>
      </c>
      <c r="F111" s="209">
        <v>1</v>
      </c>
      <c r="G111" s="367" t="s">
        <v>298</v>
      </c>
      <c r="H111" s="370">
        <f>ROUND(F111/M23,4)</f>
        <v>7.4999999999999997E-2</v>
      </c>
      <c r="I111" s="371">
        <f>ROUND(F111/N23,4)</f>
        <v>0.1913</v>
      </c>
      <c r="K111" s="208">
        <v>1</v>
      </c>
      <c r="L111" s="367" t="s">
        <v>298</v>
      </c>
      <c r="M111" s="414">
        <f>K111*M23</f>
        <v>13.333333333333334</v>
      </c>
      <c r="N111" s="415">
        <f>K111*N23</f>
        <v>5.2287581699346415</v>
      </c>
    </row>
    <row r="112" spans="1:14">
      <c r="A112" s="451" t="s">
        <v>756</v>
      </c>
      <c r="B112" s="101">
        <v>0</v>
      </c>
      <c r="C112" s="368">
        <f>B112*P23</f>
        <v>0</v>
      </c>
      <c r="D112" s="369">
        <f>B112*Q23</f>
        <v>0</v>
      </c>
      <c r="F112" s="209">
        <v>1</v>
      </c>
      <c r="G112" s="131" t="s">
        <v>299</v>
      </c>
      <c r="H112" s="125">
        <f>ROUND(F112/P23,4)</f>
        <v>7.4999999999999997E-2</v>
      </c>
      <c r="I112" s="132">
        <f>ROUND(F112/Q23,4)</f>
        <v>0.1913</v>
      </c>
      <c r="K112" s="208">
        <v>1</v>
      </c>
      <c r="L112" s="131" t="s">
        <v>299</v>
      </c>
      <c r="M112" s="192">
        <f>K112*P23</f>
        <v>13.333333333333334</v>
      </c>
      <c r="N112" s="195">
        <f>K112*Q23</f>
        <v>5.2287581699346415</v>
      </c>
    </row>
    <row r="113" spans="1:14">
      <c r="A113" s="455" t="s">
        <v>755</v>
      </c>
      <c r="B113" s="222">
        <v>0</v>
      </c>
      <c r="C113" s="145">
        <f>B113*S23</f>
        <v>0</v>
      </c>
      <c r="D113" s="146">
        <f>B113*T23</f>
        <v>0</v>
      </c>
      <c r="F113" s="228">
        <v>1</v>
      </c>
      <c r="G113" s="381" t="s">
        <v>300</v>
      </c>
      <c r="H113" s="398">
        <f>ROUND(F113/S23,4)</f>
        <v>0.22220000000000001</v>
      </c>
      <c r="I113" s="399">
        <f>ROUND(F113/T23,4)</f>
        <v>0.33329999999999999</v>
      </c>
      <c r="K113" s="236">
        <v>1</v>
      </c>
      <c r="L113" s="381" t="s">
        <v>300</v>
      </c>
      <c r="M113" s="412">
        <f>K113*S23</f>
        <v>4.5</v>
      </c>
      <c r="N113" s="413">
        <f>K113*T23</f>
        <v>3</v>
      </c>
    </row>
    <row r="114" spans="1:14">
      <c r="A114" s="449" t="s">
        <v>754</v>
      </c>
      <c r="B114" s="141">
        <v>0</v>
      </c>
      <c r="C114" s="377">
        <f>B114*J24</f>
        <v>0</v>
      </c>
      <c r="D114" s="378">
        <f>B114*K24</f>
        <v>0</v>
      </c>
      <c r="F114" s="209">
        <v>1</v>
      </c>
      <c r="G114" s="366" t="s">
        <v>301</v>
      </c>
      <c r="H114" s="379">
        <f>ROUND(F114/J24,4)</f>
        <v>7.0599999999999996E-2</v>
      </c>
      <c r="I114" s="380">
        <f>ROUND(F114/K24,4)</f>
        <v>0.18</v>
      </c>
      <c r="K114" s="208">
        <v>1</v>
      </c>
      <c r="L114" s="366" t="s">
        <v>301</v>
      </c>
      <c r="M114" s="408">
        <f>K114*J24</f>
        <v>14.166666666666666</v>
      </c>
      <c r="N114" s="409">
        <f>K114*K24</f>
        <v>5.5555555555555562</v>
      </c>
    </row>
    <row r="115" spans="1:14">
      <c r="A115" s="443" t="s">
        <v>753</v>
      </c>
      <c r="B115" s="138">
        <v>0</v>
      </c>
      <c r="C115" s="139">
        <f>B115*M24</f>
        <v>0</v>
      </c>
      <c r="D115" s="140">
        <f>B115*N24</f>
        <v>0</v>
      </c>
      <c r="F115" s="209">
        <v>1</v>
      </c>
      <c r="G115" s="129" t="s">
        <v>302</v>
      </c>
      <c r="H115" s="124">
        <f>ROUND(F115/M24,4)</f>
        <v>7.0599999999999996E-2</v>
      </c>
      <c r="I115" s="130">
        <f>ROUND(F115/N24,4)</f>
        <v>0.18</v>
      </c>
      <c r="K115" s="208">
        <v>1</v>
      </c>
      <c r="L115" s="129" t="s">
        <v>302</v>
      </c>
      <c r="M115" s="193">
        <f>K115*M24</f>
        <v>14.166666666666666</v>
      </c>
      <c r="N115" s="194">
        <f>K115*N24</f>
        <v>5.5555555555555562</v>
      </c>
    </row>
    <row r="116" spans="1:14">
      <c r="A116" s="443" t="s">
        <v>752</v>
      </c>
      <c r="B116" s="101">
        <v>0</v>
      </c>
      <c r="C116" s="139">
        <f>B116*P24</f>
        <v>0</v>
      </c>
      <c r="D116" s="140">
        <f>B116*Q24</f>
        <v>0</v>
      </c>
      <c r="F116" s="209">
        <v>1</v>
      </c>
      <c r="G116" s="366" t="s">
        <v>303</v>
      </c>
      <c r="H116" s="379">
        <f>ROUND(F116/P24,4)</f>
        <v>7.0599999999999996E-2</v>
      </c>
      <c r="I116" s="380">
        <f>ROUND(F116/Q24,4)</f>
        <v>0.18</v>
      </c>
      <c r="K116" s="208">
        <v>1</v>
      </c>
      <c r="L116" s="366" t="s">
        <v>303</v>
      </c>
      <c r="M116" s="408">
        <f>K116*P24</f>
        <v>14.166666666666666</v>
      </c>
      <c r="N116" s="409">
        <f>K116*Q24</f>
        <v>5.5555555555555562</v>
      </c>
    </row>
    <row r="117" spans="1:14">
      <c r="A117" s="454" t="s">
        <v>751</v>
      </c>
      <c r="B117" s="144">
        <v>0</v>
      </c>
      <c r="C117" s="220">
        <f>B117*S24</f>
        <v>0</v>
      </c>
      <c r="D117" s="221">
        <f>B117*T24</f>
        <v>0</v>
      </c>
      <c r="F117" s="228">
        <v>1</v>
      </c>
      <c r="G117" s="218" t="s">
        <v>304</v>
      </c>
      <c r="H117" s="229">
        <f>ROUND(F117/S24,4)</f>
        <v>0.22220000000000001</v>
      </c>
      <c r="I117" s="230">
        <f>ROUND(F117/T24,4)</f>
        <v>0.33329999999999999</v>
      </c>
      <c r="K117" s="236">
        <v>1</v>
      </c>
      <c r="L117" s="218" t="s">
        <v>304</v>
      </c>
      <c r="M117" s="237">
        <f>K117*S24</f>
        <v>4.5</v>
      </c>
      <c r="N117" s="238">
        <f>K117*T24</f>
        <v>3</v>
      </c>
    </row>
    <row r="118" spans="1:14">
      <c r="A118" s="451" t="s">
        <v>750</v>
      </c>
      <c r="B118" s="101">
        <v>0</v>
      </c>
      <c r="C118" s="368">
        <f>B118*J25</f>
        <v>0</v>
      </c>
      <c r="D118" s="369">
        <f>B118*K25</f>
        <v>0</v>
      </c>
      <c r="F118" s="209">
        <v>1</v>
      </c>
      <c r="G118" s="131" t="s">
        <v>305</v>
      </c>
      <c r="H118" s="125">
        <f>ROUND(F118/J25,4)</f>
        <v>6.3200000000000006E-2</v>
      </c>
      <c r="I118" s="132">
        <f>ROUND(F118/K25,4)</f>
        <v>0.16109999999999999</v>
      </c>
      <c r="K118" s="208">
        <v>1</v>
      </c>
      <c r="L118" s="131" t="s">
        <v>305</v>
      </c>
      <c r="M118" s="192">
        <f>K118*J25</f>
        <v>15.833333333333334</v>
      </c>
      <c r="N118" s="195">
        <f>K118*K25</f>
        <v>6.2091503267973867</v>
      </c>
    </row>
    <row r="119" spans="1:14">
      <c r="A119" s="445" t="s">
        <v>749</v>
      </c>
      <c r="B119" s="101">
        <v>0</v>
      </c>
      <c r="C119" s="142">
        <f>B119*M25</f>
        <v>0</v>
      </c>
      <c r="D119" s="143">
        <f>B119*N25</f>
        <v>0</v>
      </c>
      <c r="F119" s="209">
        <v>1</v>
      </c>
      <c r="G119" s="367" t="s">
        <v>306</v>
      </c>
      <c r="H119" s="370">
        <f>ROUND(F119/M25,4)</f>
        <v>6.3200000000000006E-2</v>
      </c>
      <c r="I119" s="371">
        <f>ROUND(F119/N25,4)</f>
        <v>0.16109999999999999</v>
      </c>
      <c r="K119" s="208">
        <v>1</v>
      </c>
      <c r="L119" s="367" t="s">
        <v>306</v>
      </c>
      <c r="M119" s="414">
        <f>K119*M25</f>
        <v>15.833333333333334</v>
      </c>
      <c r="N119" s="415">
        <f>K119*N25</f>
        <v>6.2091503267973867</v>
      </c>
    </row>
    <row r="120" spans="1:14">
      <c r="A120" s="451" t="s">
        <v>748</v>
      </c>
      <c r="B120" s="101">
        <v>0</v>
      </c>
      <c r="C120" s="368">
        <f>B120*P25</f>
        <v>0</v>
      </c>
      <c r="D120" s="369">
        <f>B120*Q25</f>
        <v>0</v>
      </c>
      <c r="F120" s="209">
        <v>1</v>
      </c>
      <c r="G120" s="131" t="s">
        <v>307</v>
      </c>
      <c r="H120" s="125">
        <f>ROUND(F120/P25,4)</f>
        <v>6.3200000000000006E-2</v>
      </c>
      <c r="I120" s="132">
        <f>ROUND(F120/Q25,4)</f>
        <v>0.16109999999999999</v>
      </c>
      <c r="K120" s="208">
        <v>1</v>
      </c>
      <c r="L120" s="131" t="s">
        <v>307</v>
      </c>
      <c r="M120" s="192">
        <f>K120*P25</f>
        <v>15.833333333333334</v>
      </c>
      <c r="N120" s="195">
        <f>K120*Q25</f>
        <v>6.2091503267973867</v>
      </c>
    </row>
    <row r="121" spans="1:14">
      <c r="A121" s="445" t="s">
        <v>747</v>
      </c>
      <c r="B121" s="101">
        <v>0</v>
      </c>
      <c r="C121" s="142">
        <f>B121*S25</f>
        <v>0</v>
      </c>
      <c r="D121" s="143">
        <f>B121*T25</f>
        <v>0</v>
      </c>
      <c r="F121" s="209">
        <v>1</v>
      </c>
      <c r="G121" s="367" t="s">
        <v>308</v>
      </c>
      <c r="H121" s="370">
        <f>ROUND(F121/S25,4)</f>
        <v>0.22220000000000001</v>
      </c>
      <c r="I121" s="371">
        <f>ROUND(F121/T25,4)</f>
        <v>0.33329999999999999</v>
      </c>
      <c r="K121" s="208">
        <v>1</v>
      </c>
      <c r="L121" s="367" t="s">
        <v>308</v>
      </c>
      <c r="M121" s="414">
        <f>K121*S25</f>
        <v>4.5</v>
      </c>
      <c r="N121" s="415">
        <f>K121*T25</f>
        <v>3</v>
      </c>
    </row>
    <row r="122" spans="1:14">
      <c r="A122" s="455" t="s">
        <v>724</v>
      </c>
      <c r="B122" s="222">
        <v>0</v>
      </c>
      <c r="C122" s="145">
        <f>B122*V25</f>
        <v>0</v>
      </c>
      <c r="D122" s="146">
        <f>B122*W25</f>
        <v>0</v>
      </c>
      <c r="F122" s="228">
        <v>1</v>
      </c>
      <c r="G122" s="133" t="s">
        <v>540</v>
      </c>
      <c r="H122" s="134">
        <f>ROUND(F122/V25,4)</f>
        <v>0.18179999999999999</v>
      </c>
      <c r="I122" s="135">
        <f>ROUND(F122/W25,4)</f>
        <v>0.2727</v>
      </c>
      <c r="K122" s="236">
        <v>1</v>
      </c>
      <c r="L122" s="133" t="s">
        <v>540</v>
      </c>
      <c r="M122" s="196">
        <f>K122*V25</f>
        <v>5.5</v>
      </c>
      <c r="N122" s="197">
        <f>K122*W25</f>
        <v>3.6666666666666665</v>
      </c>
    </row>
    <row r="123" spans="1:14">
      <c r="A123" s="449" t="s">
        <v>746</v>
      </c>
      <c r="B123" s="101">
        <v>0</v>
      </c>
      <c r="C123" s="377">
        <f>B123*J26</f>
        <v>0</v>
      </c>
      <c r="D123" s="378">
        <f>B123*K26</f>
        <v>0</v>
      </c>
      <c r="F123" s="209">
        <v>1</v>
      </c>
      <c r="G123" s="129" t="s">
        <v>309</v>
      </c>
      <c r="H123" s="124">
        <f>ROUND(F123/J26,4)</f>
        <v>4.4400000000000002E-2</v>
      </c>
      <c r="I123" s="130">
        <f>ROUND(F123/K26,4)</f>
        <v>0.1133</v>
      </c>
      <c r="K123" s="208">
        <v>1</v>
      </c>
      <c r="L123" s="129" t="s">
        <v>309</v>
      </c>
      <c r="M123" s="193">
        <f>K123*J26</f>
        <v>22.5</v>
      </c>
      <c r="N123" s="194">
        <f>K123*K26</f>
        <v>8.8235294117647065</v>
      </c>
    </row>
    <row r="124" spans="1:14">
      <c r="A124" s="443" t="s">
        <v>745</v>
      </c>
      <c r="B124" s="101">
        <v>0</v>
      </c>
      <c r="C124" s="139">
        <f>B124*M26</f>
        <v>0</v>
      </c>
      <c r="D124" s="140">
        <f>B124*N26</f>
        <v>0</v>
      </c>
      <c r="F124" s="209">
        <v>1</v>
      </c>
      <c r="G124" s="366" t="s">
        <v>310</v>
      </c>
      <c r="H124" s="379">
        <f>ROUND(F124/M26,4)</f>
        <v>4.4400000000000002E-2</v>
      </c>
      <c r="I124" s="380">
        <f>ROUND(F124/N26,4)</f>
        <v>0.1133</v>
      </c>
      <c r="K124" s="208">
        <v>1</v>
      </c>
      <c r="L124" s="366" t="s">
        <v>310</v>
      </c>
      <c r="M124" s="408">
        <f>K124*M26</f>
        <v>22.5</v>
      </c>
      <c r="N124" s="409">
        <f>K124*N26</f>
        <v>8.8235294117647065</v>
      </c>
    </row>
    <row r="125" spans="1:14">
      <c r="A125" s="449" t="s">
        <v>744</v>
      </c>
      <c r="B125" s="101">
        <v>0</v>
      </c>
      <c r="C125" s="377">
        <f>B125*P26</f>
        <v>0</v>
      </c>
      <c r="D125" s="378">
        <f>B125*Q26</f>
        <v>0</v>
      </c>
      <c r="F125" s="209">
        <v>1</v>
      </c>
      <c r="G125" s="129" t="s">
        <v>311</v>
      </c>
      <c r="H125" s="124">
        <f>ROUND(F125/P26,4)</f>
        <v>4.4400000000000002E-2</v>
      </c>
      <c r="I125" s="130">
        <f>ROUND(F125/Q26,4)</f>
        <v>0.1133</v>
      </c>
      <c r="K125" s="208">
        <v>1</v>
      </c>
      <c r="L125" s="129" t="s">
        <v>311</v>
      </c>
      <c r="M125" s="193">
        <f>K125*P26</f>
        <v>22.5</v>
      </c>
      <c r="N125" s="194">
        <f>K125*Q26</f>
        <v>8.8235294117647065</v>
      </c>
    </row>
    <row r="126" spans="1:14">
      <c r="A126" s="443" t="s">
        <v>743</v>
      </c>
      <c r="B126" s="101">
        <v>0</v>
      </c>
      <c r="C126" s="139">
        <f>B126*S26</f>
        <v>0</v>
      </c>
      <c r="D126" s="140">
        <f>B126*T26</f>
        <v>0</v>
      </c>
      <c r="F126" s="209">
        <v>1</v>
      </c>
      <c r="G126" s="366" t="s">
        <v>312</v>
      </c>
      <c r="H126" s="379">
        <f>ROUND(F126/S26,4)</f>
        <v>0.22220000000000001</v>
      </c>
      <c r="I126" s="380">
        <f>ROUND(F126/T26,4)</f>
        <v>0.33329999999999999</v>
      </c>
      <c r="K126" s="208">
        <v>1</v>
      </c>
      <c r="L126" s="366" t="s">
        <v>312</v>
      </c>
      <c r="M126" s="408">
        <f>K126*S26</f>
        <v>4.5</v>
      </c>
      <c r="N126" s="409">
        <f>K126*T26</f>
        <v>3</v>
      </c>
    </row>
    <row r="127" spans="1:14">
      <c r="A127" s="454" t="s">
        <v>725</v>
      </c>
      <c r="B127" s="144">
        <v>0</v>
      </c>
      <c r="C127" s="220">
        <f>B127*V26</f>
        <v>0</v>
      </c>
      <c r="D127" s="221">
        <f>B127*W26</f>
        <v>0</v>
      </c>
      <c r="F127" s="228">
        <v>1</v>
      </c>
      <c r="G127" s="218" t="s">
        <v>541</v>
      </c>
      <c r="H127" s="229">
        <f>ROUND(F127/V26,4)</f>
        <v>0.18179999999999999</v>
      </c>
      <c r="I127" s="230">
        <f>ROUND(F127/W26,4)</f>
        <v>0.2727</v>
      </c>
      <c r="K127" s="236">
        <v>1</v>
      </c>
      <c r="L127" s="218" t="s">
        <v>541</v>
      </c>
      <c r="M127" s="237">
        <f>K127*V26</f>
        <v>5.5</v>
      </c>
      <c r="N127" s="238">
        <f>K127*W26</f>
        <v>3.6666666666666665</v>
      </c>
    </row>
    <row r="128" spans="1:14">
      <c r="A128" s="451" t="s">
        <v>742</v>
      </c>
      <c r="B128" s="101">
        <v>0</v>
      </c>
      <c r="C128" s="368">
        <f>B128*J27</f>
        <v>0</v>
      </c>
      <c r="D128" s="369">
        <f>B128*K27</f>
        <v>0</v>
      </c>
      <c r="F128" s="209">
        <v>1</v>
      </c>
      <c r="G128" s="131" t="s">
        <v>313</v>
      </c>
      <c r="H128" s="125">
        <f>ROUND(F128/J27,4)</f>
        <v>3.8699999999999998E-2</v>
      </c>
      <c r="I128" s="132">
        <f>ROUND(F128/K27,4)</f>
        <v>9.8699999999999996E-2</v>
      </c>
      <c r="K128" s="208">
        <v>1</v>
      </c>
      <c r="L128" s="131" t="s">
        <v>313</v>
      </c>
      <c r="M128" s="192">
        <f>K128*J27</f>
        <v>25.833333333333332</v>
      </c>
      <c r="N128" s="195">
        <f>K128*K27</f>
        <v>10.130718954248367</v>
      </c>
    </row>
    <row r="129" spans="1:14">
      <c r="A129" s="445" t="s">
        <v>741</v>
      </c>
      <c r="B129" s="101">
        <v>0</v>
      </c>
      <c r="C129" s="142">
        <f>B129*M27</f>
        <v>0</v>
      </c>
      <c r="D129" s="143">
        <f>B129*N27</f>
        <v>0</v>
      </c>
      <c r="F129" s="209">
        <v>1</v>
      </c>
      <c r="G129" s="367" t="s">
        <v>314</v>
      </c>
      <c r="H129" s="370">
        <f>ROUND(F129/M27,4)</f>
        <v>3.8699999999999998E-2</v>
      </c>
      <c r="I129" s="371">
        <f>ROUND(F129/N27,4)</f>
        <v>9.8699999999999996E-2</v>
      </c>
      <c r="K129" s="208">
        <v>1</v>
      </c>
      <c r="L129" s="367" t="s">
        <v>314</v>
      </c>
      <c r="M129" s="414">
        <f>K129*M27</f>
        <v>25.833333333333332</v>
      </c>
      <c r="N129" s="415">
        <f>K129*N27</f>
        <v>10.130718954248367</v>
      </c>
    </row>
    <row r="130" spans="1:14">
      <c r="A130" s="451" t="s">
        <v>740</v>
      </c>
      <c r="B130" s="101">
        <v>0</v>
      </c>
      <c r="C130" s="368">
        <f>B130*P27</f>
        <v>0</v>
      </c>
      <c r="D130" s="369">
        <f>B130*Q27</f>
        <v>0</v>
      </c>
      <c r="F130" s="209">
        <v>1</v>
      </c>
      <c r="G130" s="131" t="s">
        <v>315</v>
      </c>
      <c r="H130" s="125">
        <f>ROUND(F130/P27,4)</f>
        <v>3.8699999999999998E-2</v>
      </c>
      <c r="I130" s="132">
        <f>ROUND(F130/Q27,4)</f>
        <v>9.8699999999999996E-2</v>
      </c>
      <c r="K130" s="208">
        <v>1</v>
      </c>
      <c r="L130" s="131" t="s">
        <v>315</v>
      </c>
      <c r="M130" s="192">
        <f>K130*P27</f>
        <v>25.833333333333332</v>
      </c>
      <c r="N130" s="195">
        <f>K130*Q27</f>
        <v>10.130718954248367</v>
      </c>
    </row>
    <row r="131" spans="1:14">
      <c r="A131" s="448" t="s">
        <v>739</v>
      </c>
      <c r="B131" s="144">
        <v>0</v>
      </c>
      <c r="C131" s="382">
        <f>B131*S27</f>
        <v>0</v>
      </c>
      <c r="D131" s="383">
        <f>B131*T27</f>
        <v>0</v>
      </c>
      <c r="F131" s="228">
        <v>1</v>
      </c>
      <c r="G131" s="381" t="s">
        <v>316</v>
      </c>
      <c r="H131" s="398">
        <f>ROUND(F131/S27,4)</f>
        <v>0.22220000000000001</v>
      </c>
      <c r="I131" s="399">
        <f>ROUND(F131/T27,4)</f>
        <v>0.33329999999999999</v>
      </c>
      <c r="K131" s="236">
        <v>1</v>
      </c>
      <c r="L131" s="381" t="s">
        <v>316</v>
      </c>
      <c r="M131" s="412">
        <f>K131*S27</f>
        <v>4.5</v>
      </c>
      <c r="N131" s="413">
        <f>K131*T27</f>
        <v>3</v>
      </c>
    </row>
    <row r="132" spans="1:14">
      <c r="A132" s="443" t="s">
        <v>738</v>
      </c>
      <c r="B132" s="101">
        <v>0</v>
      </c>
      <c r="C132" s="139">
        <f>B132*J28</f>
        <v>0</v>
      </c>
      <c r="D132" s="140">
        <f>B132*K28</f>
        <v>0</v>
      </c>
      <c r="F132" s="209">
        <v>1</v>
      </c>
      <c r="G132" s="366" t="s">
        <v>317</v>
      </c>
      <c r="H132" s="379">
        <f>ROUND(F132/J28,4)</f>
        <v>0.02</v>
      </c>
      <c r="I132" s="380">
        <f>ROUND(F132/K28,4)</f>
        <v>5.0999999999999997E-2</v>
      </c>
      <c r="K132" s="208">
        <v>1</v>
      </c>
      <c r="L132" s="366" t="s">
        <v>317</v>
      </c>
      <c r="M132" s="408">
        <f>K132*J28</f>
        <v>50</v>
      </c>
      <c r="N132" s="409">
        <f>K132*K28</f>
        <v>19.607843137254903</v>
      </c>
    </row>
    <row r="133" spans="1:14">
      <c r="A133" s="449" t="s">
        <v>737</v>
      </c>
      <c r="B133" s="101">
        <v>0</v>
      </c>
      <c r="C133" s="377">
        <f>B133*M28</f>
        <v>0</v>
      </c>
      <c r="D133" s="378">
        <f>B133*N28</f>
        <v>0</v>
      </c>
      <c r="F133" s="209">
        <v>1</v>
      </c>
      <c r="G133" s="129" t="s">
        <v>318</v>
      </c>
      <c r="H133" s="124">
        <f>ROUND(F133/M28,4)</f>
        <v>0.02</v>
      </c>
      <c r="I133" s="130">
        <f>ROUND(F133/N28,4)</f>
        <v>5.0999999999999997E-2</v>
      </c>
      <c r="K133" s="208">
        <v>1</v>
      </c>
      <c r="L133" s="129" t="s">
        <v>318</v>
      </c>
      <c r="M133" s="193">
        <f>K133*M28</f>
        <v>50</v>
      </c>
      <c r="N133" s="194">
        <f>K133*N28</f>
        <v>19.607843137254903</v>
      </c>
    </row>
    <row r="134" spans="1:14">
      <c r="A134" s="443" t="s">
        <v>736</v>
      </c>
      <c r="B134" s="101">
        <v>0</v>
      </c>
      <c r="C134" s="139">
        <f>B134*P28</f>
        <v>0</v>
      </c>
      <c r="D134" s="140">
        <f>B134*Q28</f>
        <v>0</v>
      </c>
      <c r="F134" s="209">
        <v>1</v>
      </c>
      <c r="G134" s="366" t="s">
        <v>319</v>
      </c>
      <c r="H134" s="379">
        <f>ROUND(F134/P28,4)</f>
        <v>0.02</v>
      </c>
      <c r="I134" s="380">
        <f>ROUND(F134/Q28,4)</f>
        <v>5.0999999999999997E-2</v>
      </c>
      <c r="K134" s="208">
        <v>1</v>
      </c>
      <c r="L134" s="366" t="s">
        <v>319</v>
      </c>
      <c r="M134" s="408">
        <f>K134*P28</f>
        <v>50</v>
      </c>
      <c r="N134" s="409">
        <f>K134*Q28</f>
        <v>19.607843137254903</v>
      </c>
    </row>
    <row r="135" spans="1:14">
      <c r="A135" s="449" t="s">
        <v>735</v>
      </c>
      <c r="B135" s="101">
        <v>0</v>
      </c>
      <c r="C135" s="377">
        <f>B135*S28</f>
        <v>0</v>
      </c>
      <c r="D135" s="378">
        <f>B135*T28</f>
        <v>0</v>
      </c>
      <c r="F135" s="209">
        <v>1</v>
      </c>
      <c r="G135" s="129" t="s">
        <v>320</v>
      </c>
      <c r="H135" s="124">
        <f>ROUND(F135/S28,4)</f>
        <v>0.22220000000000001</v>
      </c>
      <c r="I135" s="130">
        <f>ROUND(F135/T28,4)</f>
        <v>0.33329999999999999</v>
      </c>
      <c r="K135" s="208">
        <v>1</v>
      </c>
      <c r="L135" s="129" t="s">
        <v>320</v>
      </c>
      <c r="M135" s="193">
        <f>K135*S28</f>
        <v>4.5</v>
      </c>
      <c r="N135" s="194">
        <f>K135*T28</f>
        <v>3</v>
      </c>
    </row>
    <row r="136" spans="1:14">
      <c r="A136" s="450" t="s">
        <v>726</v>
      </c>
      <c r="B136" s="222">
        <v>0</v>
      </c>
      <c r="C136" s="373">
        <f>B136*Y28</f>
        <v>0</v>
      </c>
      <c r="D136" s="374">
        <f>B136*Z28</f>
        <v>0</v>
      </c>
      <c r="F136" s="228">
        <v>1</v>
      </c>
      <c r="G136" s="372" t="s">
        <v>542</v>
      </c>
      <c r="H136" s="403">
        <f>ROUND(F136/Y28,4)</f>
        <v>0.15379999999999999</v>
      </c>
      <c r="I136" s="404">
        <f>ROUND(F136/Z28,4)</f>
        <v>0.23080000000000001</v>
      </c>
      <c r="K136" s="236">
        <v>1</v>
      </c>
      <c r="L136" s="372" t="s">
        <v>542</v>
      </c>
      <c r="M136" s="375">
        <f>K136*Y28</f>
        <v>6.5</v>
      </c>
      <c r="N136" s="376">
        <f>K136*Z28</f>
        <v>4.333333333333333</v>
      </c>
    </row>
    <row r="137" spans="1:14">
      <c r="A137" s="445" t="s">
        <v>734</v>
      </c>
      <c r="B137" s="101">
        <v>0</v>
      </c>
      <c r="C137" s="142">
        <f>B137*J29</f>
        <v>0</v>
      </c>
      <c r="D137" s="143">
        <f>B137*K29</f>
        <v>0</v>
      </c>
      <c r="F137" s="209">
        <v>1</v>
      </c>
      <c r="G137" s="367" t="s">
        <v>524</v>
      </c>
      <c r="H137" s="370">
        <f>ROUND(F137/J29,4)</f>
        <v>1.4999999999999999E-2</v>
      </c>
      <c r="I137" s="371">
        <f>ROUND(F137/K29,4)</f>
        <v>3.8300000000000001E-2</v>
      </c>
      <c r="K137" s="208">
        <v>1</v>
      </c>
      <c r="L137" s="367" t="s">
        <v>524</v>
      </c>
      <c r="M137" s="414">
        <f>K137*J29</f>
        <v>66.666666666666671</v>
      </c>
      <c r="N137" s="415">
        <f>K137*K29</f>
        <v>26.143790849673206</v>
      </c>
    </row>
    <row r="138" spans="1:14">
      <c r="A138" s="451" t="s">
        <v>733</v>
      </c>
      <c r="B138" s="101">
        <v>0</v>
      </c>
      <c r="C138" s="368">
        <f>B138*M29</f>
        <v>0</v>
      </c>
      <c r="D138" s="369">
        <f>B138*N29</f>
        <v>0</v>
      </c>
      <c r="F138" s="209">
        <v>1</v>
      </c>
      <c r="G138" s="131" t="s">
        <v>525</v>
      </c>
      <c r="H138" s="125">
        <f>ROUND(F138/M29,4)</f>
        <v>1.4999999999999999E-2</v>
      </c>
      <c r="I138" s="132">
        <f>ROUND(F138/N29,4)</f>
        <v>3.8300000000000001E-2</v>
      </c>
      <c r="K138" s="208">
        <v>1</v>
      </c>
      <c r="L138" s="131" t="s">
        <v>525</v>
      </c>
      <c r="M138" s="192">
        <f>K138*M29</f>
        <v>66.666666666666671</v>
      </c>
      <c r="N138" s="195">
        <f>K138*N29</f>
        <v>26.143790849673206</v>
      </c>
    </row>
    <row r="139" spans="1:14">
      <c r="A139" s="445" t="s">
        <v>732</v>
      </c>
      <c r="B139" s="101">
        <v>0</v>
      </c>
      <c r="C139" s="142">
        <f>B139*P29</f>
        <v>0</v>
      </c>
      <c r="D139" s="143">
        <f>B139*Q29</f>
        <v>0</v>
      </c>
      <c r="F139" s="209">
        <v>1</v>
      </c>
      <c r="G139" s="367" t="s">
        <v>526</v>
      </c>
      <c r="H139" s="370">
        <f>ROUND(F139/P29,4)</f>
        <v>0.18179999999999999</v>
      </c>
      <c r="I139" s="371">
        <f>ROUND(F139/Q29,4)</f>
        <v>0.2727</v>
      </c>
      <c r="K139" s="208">
        <v>1</v>
      </c>
      <c r="L139" s="367" t="s">
        <v>526</v>
      </c>
      <c r="M139" s="414">
        <f>K139*P29</f>
        <v>5.5</v>
      </c>
      <c r="N139" s="415">
        <f>K139*Q29</f>
        <v>3.6666666666666665</v>
      </c>
    </row>
    <row r="140" spans="1:14">
      <c r="A140" s="455" t="s">
        <v>731</v>
      </c>
      <c r="B140" s="222">
        <v>0</v>
      </c>
      <c r="C140" s="145">
        <f>B140*S29</f>
        <v>0</v>
      </c>
      <c r="D140" s="146">
        <f>B140*T29</f>
        <v>0</v>
      </c>
      <c r="F140" s="228">
        <v>1</v>
      </c>
      <c r="G140" s="133" t="s">
        <v>527</v>
      </c>
      <c r="H140" s="134">
        <f>ROUND(F140/S29,4)</f>
        <v>0.15379999999999999</v>
      </c>
      <c r="I140" s="135">
        <f>ROUND(F140/T29,4)</f>
        <v>0.23080000000000001</v>
      </c>
      <c r="K140" s="236">
        <v>1</v>
      </c>
      <c r="L140" s="133" t="s">
        <v>527</v>
      </c>
      <c r="M140" s="196">
        <f>K140*S29</f>
        <v>6.5</v>
      </c>
      <c r="N140" s="197">
        <f>K140*T29</f>
        <v>4.333333333333333</v>
      </c>
    </row>
    <row r="141" spans="1:14">
      <c r="A141" s="449" t="s">
        <v>730</v>
      </c>
      <c r="B141" s="101">
        <v>0</v>
      </c>
      <c r="C141" s="377">
        <f>B141*J30</f>
        <v>0</v>
      </c>
      <c r="D141" s="378">
        <f>B141*K30</f>
        <v>0</v>
      </c>
      <c r="F141" s="209">
        <v>1</v>
      </c>
      <c r="G141" s="366" t="s">
        <v>788</v>
      </c>
      <c r="H141" s="124">
        <f>ROUND(F141/J30,4)</f>
        <v>1.2E-2</v>
      </c>
      <c r="I141" s="130">
        <f>ROUND(F141/K30,4)</f>
        <v>3.0599999999999999E-2</v>
      </c>
      <c r="K141" s="208">
        <v>1</v>
      </c>
      <c r="L141" s="129" t="s">
        <v>788</v>
      </c>
      <c r="M141" s="193">
        <f>K141*J30</f>
        <v>83.333333333333329</v>
      </c>
      <c r="N141" s="194">
        <f>K141*K30</f>
        <v>32.679738562091508</v>
      </c>
    </row>
    <row r="142" spans="1:14">
      <c r="A142" s="443" t="s">
        <v>729</v>
      </c>
      <c r="B142" s="101">
        <v>0</v>
      </c>
      <c r="C142" s="139">
        <f>B142*M30</f>
        <v>0</v>
      </c>
      <c r="D142" s="140">
        <f>B142*N30</f>
        <v>0</v>
      </c>
      <c r="F142" s="209">
        <v>1</v>
      </c>
      <c r="G142" s="129" t="s">
        <v>789</v>
      </c>
      <c r="H142" s="379">
        <f>ROUND(F142/M30,4)</f>
        <v>1.2E-2</v>
      </c>
      <c r="I142" s="380">
        <f>ROUND(F142/N30,4)</f>
        <v>3.0599999999999999E-2</v>
      </c>
      <c r="K142" s="208">
        <v>1</v>
      </c>
      <c r="L142" s="366" t="s">
        <v>789</v>
      </c>
      <c r="M142" s="408">
        <f>K142*M30</f>
        <v>83.333333333333329</v>
      </c>
      <c r="N142" s="409">
        <f>K142*N30</f>
        <v>32.679738562091508</v>
      </c>
    </row>
    <row r="143" spans="1:14">
      <c r="A143" s="449" t="s">
        <v>728</v>
      </c>
      <c r="B143" s="101">
        <v>0</v>
      </c>
      <c r="C143" s="377">
        <f>B143*P30</f>
        <v>0</v>
      </c>
      <c r="D143" s="378">
        <f>B143*Q30</f>
        <v>0</v>
      </c>
      <c r="F143" s="209">
        <v>1</v>
      </c>
      <c r="G143" s="366" t="s">
        <v>790</v>
      </c>
      <c r="H143" s="124">
        <f>ROUND(F143/P30,4)</f>
        <v>0.18179999999999999</v>
      </c>
      <c r="I143" s="130">
        <f>ROUND(F143/Q30,4)</f>
        <v>0.2727</v>
      </c>
      <c r="K143" s="208">
        <v>1</v>
      </c>
      <c r="L143" s="129" t="s">
        <v>790</v>
      </c>
      <c r="M143" s="193">
        <f>K143*P30</f>
        <v>5.5</v>
      </c>
      <c r="N143" s="194">
        <f>K143*Q30</f>
        <v>3.6666666666666665</v>
      </c>
    </row>
    <row r="144" spans="1:14">
      <c r="A144" s="450" t="s">
        <v>727</v>
      </c>
      <c r="B144" s="222">
        <v>0</v>
      </c>
      <c r="C144" s="373">
        <f>B144*S30</f>
        <v>0</v>
      </c>
      <c r="D144" s="374">
        <f>B144*T30</f>
        <v>0</v>
      </c>
      <c r="F144" s="228">
        <v>1</v>
      </c>
      <c r="G144" s="372" t="s">
        <v>791</v>
      </c>
      <c r="H144" s="403">
        <f>ROUND(F144/S30,4)</f>
        <v>0.1429</v>
      </c>
      <c r="I144" s="404">
        <f>ROUND(F144/T30,4)</f>
        <v>0.21429999999999999</v>
      </c>
      <c r="K144" s="236">
        <v>1</v>
      </c>
      <c r="L144" s="372" t="s">
        <v>791</v>
      </c>
      <c r="M144" s="375">
        <f>K144*S30</f>
        <v>7</v>
      </c>
      <c r="N144" s="376">
        <f>K144*T30</f>
        <v>4.666666666666667</v>
      </c>
    </row>
    <row r="145" spans="1:14">
      <c r="A145" s="445" t="s">
        <v>784</v>
      </c>
      <c r="B145" s="101">
        <v>0</v>
      </c>
      <c r="C145" s="142">
        <f>B145*J31</f>
        <v>0</v>
      </c>
      <c r="D145" s="143">
        <f>B145*K31</f>
        <v>0</v>
      </c>
      <c r="F145" s="209">
        <v>1</v>
      </c>
      <c r="G145" s="367" t="s">
        <v>792</v>
      </c>
      <c r="H145" s="370">
        <f>ROUND(F145/J31,4)</f>
        <v>6.7000000000000002E-3</v>
      </c>
      <c r="I145" s="371">
        <f>ROUND(F145/K31,4)</f>
        <v>1.7000000000000001E-2</v>
      </c>
      <c r="K145" s="208">
        <v>1</v>
      </c>
      <c r="L145" s="367" t="s">
        <v>792</v>
      </c>
      <c r="M145" s="414">
        <f>K145*J31</f>
        <v>150</v>
      </c>
      <c r="N145" s="415">
        <f>K145*K31</f>
        <v>58.82352941176471</v>
      </c>
    </row>
    <row r="146" spans="1:14">
      <c r="A146" s="451" t="s">
        <v>785</v>
      </c>
      <c r="B146" s="101">
        <v>0</v>
      </c>
      <c r="C146" s="368">
        <f>B146*M31</f>
        <v>0</v>
      </c>
      <c r="D146" s="369">
        <f>B146*N31</f>
        <v>0</v>
      </c>
      <c r="F146" s="209">
        <v>1</v>
      </c>
      <c r="G146" s="131" t="s">
        <v>793</v>
      </c>
      <c r="H146" s="125">
        <f>ROUND(F146/M31,4)</f>
        <v>0.15379999999999999</v>
      </c>
      <c r="I146" s="132">
        <f>ROUND(F146/N31,4)</f>
        <v>0.23080000000000001</v>
      </c>
      <c r="K146" s="208">
        <v>1</v>
      </c>
      <c r="L146" s="131" t="s">
        <v>793</v>
      </c>
      <c r="M146" s="192">
        <f>K146*M31</f>
        <v>6.5</v>
      </c>
      <c r="N146" s="195">
        <f>K146*N31</f>
        <v>4.333333333333333</v>
      </c>
    </row>
    <row r="147" spans="1:14">
      <c r="A147" s="445" t="s">
        <v>786</v>
      </c>
      <c r="B147" s="101">
        <v>0</v>
      </c>
      <c r="C147" s="142">
        <f>B147*P31</f>
        <v>0</v>
      </c>
      <c r="D147" s="143">
        <f>B147*Q31</f>
        <v>0</v>
      </c>
      <c r="F147" s="209">
        <v>1</v>
      </c>
      <c r="G147" s="367" t="s">
        <v>794</v>
      </c>
      <c r="H147" s="370">
        <f>ROUND(F147/P31,4)</f>
        <v>0.1429</v>
      </c>
      <c r="I147" s="371">
        <f>ROUND(F147/Q31,4)</f>
        <v>0.21429999999999999</v>
      </c>
      <c r="K147" s="208">
        <v>1</v>
      </c>
      <c r="L147" s="367" t="s">
        <v>794</v>
      </c>
      <c r="M147" s="414">
        <f>K147*P31</f>
        <v>7</v>
      </c>
      <c r="N147" s="415">
        <f>K147*Q31</f>
        <v>4.666666666666667</v>
      </c>
    </row>
    <row r="148" spans="1:14">
      <c r="A148" s="455" t="s">
        <v>787</v>
      </c>
      <c r="B148" s="222">
        <v>0</v>
      </c>
      <c r="C148" s="145">
        <f>B148*S31</f>
        <v>0</v>
      </c>
      <c r="D148" s="146">
        <f>B148*T31</f>
        <v>0</v>
      </c>
      <c r="F148" s="228">
        <v>1</v>
      </c>
      <c r="G148" s="133" t="s">
        <v>795</v>
      </c>
      <c r="H148" s="134">
        <f>ROUND(F148/S31,4)</f>
        <v>0.1333</v>
      </c>
      <c r="I148" s="135">
        <f>ROUND(F148/T31,4)</f>
        <v>0.2</v>
      </c>
      <c r="K148" s="236">
        <v>1</v>
      </c>
      <c r="L148" s="133" t="s">
        <v>795</v>
      </c>
      <c r="M148" s="196">
        <f>K148*S31</f>
        <v>7.5</v>
      </c>
      <c r="N148" s="197">
        <f>K148*T31</f>
        <v>5</v>
      </c>
    </row>
    <row r="150" spans="1:14" ht="15" thickBot="1">
      <c r="A150" s="253"/>
      <c r="B150" s="254"/>
      <c r="C150" s="254"/>
      <c r="D150" s="255"/>
      <c r="F150" s="253" t="s">
        <v>400</v>
      </c>
      <c r="G150" s="254"/>
      <c r="H150" s="255" t="s">
        <v>401</v>
      </c>
    </row>
    <row r="151" spans="1:14" ht="15.5" thickTop="1" thickBot="1">
      <c r="A151" s="247"/>
      <c r="B151" s="39" t="s">
        <v>126</v>
      </c>
      <c r="C151" s="142">
        <f>ROUND(SUM(C62:C144),1)</f>
        <v>0</v>
      </c>
      <c r="D151" s="242">
        <f>ROUND(SUM(D62:D144),1)</f>
        <v>0</v>
      </c>
      <c r="F151" s="240" t="s">
        <v>392</v>
      </c>
      <c r="G151" s="248"/>
      <c r="H151" s="241" t="s">
        <v>544</v>
      </c>
    </row>
    <row r="152" spans="1:14" ht="15" thickTop="1">
      <c r="A152" s="243" t="s">
        <v>127</v>
      </c>
      <c r="B152" s="116">
        <v>5</v>
      </c>
      <c r="C152" s="256"/>
      <c r="D152" s="257"/>
      <c r="F152" s="247"/>
      <c r="G152" s="248"/>
      <c r="H152" s="249"/>
    </row>
    <row r="153" spans="1:14">
      <c r="A153" s="244" t="s">
        <v>47</v>
      </c>
      <c r="B153" s="245">
        <f>IFERROR(1-(B152/C151),0)</f>
        <v>0</v>
      </c>
      <c r="C153" s="258"/>
      <c r="D153" s="249"/>
      <c r="F153" s="247"/>
      <c r="G153" s="248"/>
      <c r="H153" s="249"/>
    </row>
    <row r="154" spans="1:14">
      <c r="A154" s="247"/>
      <c r="B154" s="248"/>
      <c r="C154" s="248"/>
      <c r="D154" s="249"/>
      <c r="F154" s="247"/>
      <c r="G154" s="248"/>
      <c r="H154" s="249"/>
    </row>
    <row r="155" spans="1:14">
      <c r="A155" s="250"/>
      <c r="B155" s="251"/>
      <c r="C155" s="251"/>
      <c r="D155" s="252"/>
      <c r="F155" s="250"/>
      <c r="G155" s="251"/>
      <c r="H155" s="252"/>
    </row>
    <row r="156" spans="1:14">
      <c r="F156" s="246" t="s">
        <v>684</v>
      </c>
    </row>
    <row r="160" spans="1:14">
      <c r="B160" s="501" t="s">
        <v>683</v>
      </c>
      <c r="C160" s="502"/>
    </row>
    <row r="161" spans="2:3">
      <c r="B161" s="126" t="s">
        <v>681</v>
      </c>
      <c r="C161" s="439" t="s">
        <v>682</v>
      </c>
    </row>
    <row r="162" spans="2:3">
      <c r="B162" s="440">
        <v>200</v>
      </c>
      <c r="C162" s="441">
        <v>100</v>
      </c>
    </row>
    <row r="163" spans="2:3">
      <c r="B163" s="442" t="s">
        <v>47</v>
      </c>
      <c r="C163" s="456">
        <f>1- (C162/B162)</f>
        <v>0.5</v>
      </c>
    </row>
  </sheetData>
  <mergeCells count="9">
    <mergeCell ref="B160:C160"/>
    <mergeCell ref="X15:Z15"/>
    <mergeCell ref="R15:T15"/>
    <mergeCell ref="U15:W15"/>
    <mergeCell ref="A56:O57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ommandButton1">
          <controlPr defaultSize="0" autoLine="0" r:id="rId5">
            <anchor moveWithCells="1">
              <from>
                <xdr:col>2</xdr:col>
                <xdr:colOff>336550</xdr:colOff>
                <xdr:row>152</xdr:row>
                <xdr:rowOff>76200</xdr:rowOff>
              </from>
              <to>
                <xdr:col>3</xdr:col>
                <xdr:colOff>590550</xdr:colOff>
                <xdr:row>154</xdr:row>
                <xdr:rowOff>107950</xdr:rowOff>
              </to>
            </anchor>
          </controlPr>
        </control>
      </mc:Choice>
      <mc:Fallback>
        <control shapeId="25601" r:id="rId4" name="CommandButton1"/>
      </mc:Fallback>
    </mc:AlternateContent>
    <mc:AlternateContent xmlns:mc="http://schemas.openxmlformats.org/markup-compatibility/2006">
      <mc:Choice Requires="x14">
        <control shapeId="25602" r:id="rId6" name="CommandButton2">
          <controlPr defaultSize="0" autoLine="0" r:id="rId7">
            <anchor moveWithCells="1">
              <from>
                <xdr:col>6</xdr:col>
                <xdr:colOff>19050</xdr:colOff>
                <xdr:row>152</xdr:row>
                <xdr:rowOff>76200</xdr:rowOff>
              </from>
              <to>
                <xdr:col>6</xdr:col>
                <xdr:colOff>1390650</xdr:colOff>
                <xdr:row>154</xdr:row>
                <xdr:rowOff>101600</xdr:rowOff>
              </to>
            </anchor>
          </controlPr>
        </control>
      </mc:Choice>
      <mc:Fallback>
        <control shapeId="25602" r:id="rId6" name="CommandButton2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'Pets list'!$B$23:$B$98</xm:f>
          </x14:formula1>
          <xm:sqref>F151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7030A0"/>
  </sheetPr>
  <dimension ref="A1:C21"/>
  <sheetViews>
    <sheetView workbookViewId="0">
      <selection activeCell="G15" sqref="G15"/>
    </sheetView>
  </sheetViews>
  <sheetFormatPr defaultRowHeight="14.5"/>
  <cols>
    <col min="1" max="1" width="29.26953125" customWidth="1"/>
  </cols>
  <sheetData>
    <row r="1" spans="1:3" ht="18.5">
      <c r="A1" s="30" t="s">
        <v>546</v>
      </c>
      <c r="B1" s="36"/>
      <c r="C1" s="36"/>
    </row>
    <row r="4" spans="1:3" ht="15.5">
      <c r="A4" s="36" t="s">
        <v>547</v>
      </c>
    </row>
    <row r="5" spans="1:3" ht="15.5">
      <c r="A5" s="418"/>
    </row>
    <row r="6" spans="1:3" ht="16" thickBot="1">
      <c r="A6" s="419"/>
    </row>
    <row r="7" spans="1:3" ht="16" thickBot="1">
      <c r="A7" s="420" t="s">
        <v>548</v>
      </c>
      <c r="B7" s="424">
        <v>130000</v>
      </c>
    </row>
    <row r="8" spans="1:3" ht="16" thickBot="1">
      <c r="A8" s="420" t="s">
        <v>549</v>
      </c>
      <c r="B8" s="424">
        <v>30</v>
      </c>
    </row>
    <row r="9" spans="1:3" ht="16" thickBot="1">
      <c r="A9" s="420" t="s">
        <v>550</v>
      </c>
      <c r="B9" s="424">
        <v>2</v>
      </c>
    </row>
    <row r="10" spans="1:3" ht="16" thickBot="1">
      <c r="A10" s="420" t="s">
        <v>551</v>
      </c>
      <c r="B10" s="424">
        <v>7</v>
      </c>
    </row>
    <row r="11" spans="1:3" ht="16" thickBot="1">
      <c r="A11" s="420" t="s">
        <v>552</v>
      </c>
      <c r="B11" s="425">
        <v>1</v>
      </c>
    </row>
    <row r="12" spans="1:3" ht="15" thickBot="1">
      <c r="A12" s="422"/>
      <c r="B12" s="422"/>
    </row>
    <row r="13" spans="1:3" ht="16" thickBot="1">
      <c r="A13" s="420" t="s">
        <v>553</v>
      </c>
      <c r="B13" s="421">
        <f>PRODUCT(B7:B11)</f>
        <v>54600000</v>
      </c>
    </row>
    <row r="14" spans="1:3" ht="15" thickBot="1">
      <c r="A14" s="422"/>
      <c r="B14" s="422"/>
    </row>
    <row r="15" spans="1:3" ht="16" thickBot="1">
      <c r="A15" s="420" t="s">
        <v>554</v>
      </c>
      <c r="B15" s="421">
        <f>ROUND(B13,-6)</f>
        <v>55000000</v>
      </c>
    </row>
    <row r="16" spans="1:3" ht="15" thickBot="1">
      <c r="A16" s="422"/>
      <c r="B16" s="422"/>
    </row>
    <row r="17" spans="1:2" ht="15" thickBot="1">
      <c r="A17" s="423" t="s">
        <v>555</v>
      </c>
      <c r="B17" s="423" t="s">
        <v>556</v>
      </c>
    </row>
    <row r="18" spans="1:2" ht="15" thickBot="1">
      <c r="A18" s="424">
        <v>0.25</v>
      </c>
      <c r="B18" s="421">
        <f>$B$15*A18</f>
        <v>13750000</v>
      </c>
    </row>
    <row r="19" spans="1:2" ht="15" thickBot="1">
      <c r="A19" s="424">
        <v>0.5</v>
      </c>
      <c r="B19" s="421">
        <f t="shared" ref="B19:B21" si="0">$B$15*A19</f>
        <v>27500000</v>
      </c>
    </row>
    <row r="20" spans="1:2" ht="15" thickBot="1">
      <c r="A20" s="424">
        <v>0.75</v>
      </c>
      <c r="B20" s="421">
        <f t="shared" si="0"/>
        <v>41250000</v>
      </c>
    </row>
    <row r="21" spans="1:2" ht="15" thickBot="1">
      <c r="A21" s="424">
        <v>1</v>
      </c>
      <c r="B21" s="421">
        <f t="shared" si="0"/>
        <v>55000000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7030A0"/>
  </sheetPr>
  <dimension ref="C4:L56"/>
  <sheetViews>
    <sheetView tabSelected="1" topLeftCell="A13" workbookViewId="0">
      <selection activeCell="H23" sqref="H23"/>
    </sheetView>
  </sheetViews>
  <sheetFormatPr defaultRowHeight="14.5"/>
  <cols>
    <col min="3" max="3" width="18.81640625" customWidth="1"/>
    <col min="4" max="4" width="14.81640625" customWidth="1"/>
    <col min="10" max="10" width="22.26953125" customWidth="1"/>
    <col min="11" max="11" width="45.81640625" customWidth="1"/>
    <col min="12" max="12" width="25.81640625" customWidth="1"/>
  </cols>
  <sheetData>
    <row r="4" spans="3:12" ht="15" thickBot="1">
      <c r="C4" s="428" t="s">
        <v>557</v>
      </c>
      <c r="D4" s="429" t="s">
        <v>558</v>
      </c>
      <c r="J4" s="428" t="s">
        <v>576</v>
      </c>
      <c r="K4" s="436" t="s">
        <v>577</v>
      </c>
      <c r="L4" s="429" t="s">
        <v>578</v>
      </c>
    </row>
    <row r="5" spans="3:12" ht="15" thickBot="1">
      <c r="C5" s="426" t="s">
        <v>719</v>
      </c>
      <c r="D5" s="427" t="s">
        <v>559</v>
      </c>
      <c r="J5" s="433" t="s">
        <v>579</v>
      </c>
      <c r="K5" s="432" t="s">
        <v>580</v>
      </c>
      <c r="L5" s="427" t="s">
        <v>581</v>
      </c>
    </row>
    <row r="6" spans="3:12" ht="15" thickBot="1">
      <c r="C6" s="426" t="s">
        <v>720</v>
      </c>
      <c r="D6" s="427" t="s">
        <v>560</v>
      </c>
      <c r="J6" s="433" t="s">
        <v>579</v>
      </c>
      <c r="K6" s="432" t="s">
        <v>582</v>
      </c>
      <c r="L6" s="427" t="s">
        <v>583</v>
      </c>
    </row>
    <row r="7" spans="3:12" ht="15" thickBot="1">
      <c r="C7" s="426" t="s">
        <v>721</v>
      </c>
      <c r="D7" s="427" t="s">
        <v>561</v>
      </c>
      <c r="J7" s="433" t="s">
        <v>579</v>
      </c>
      <c r="K7" s="432" t="s">
        <v>584</v>
      </c>
      <c r="L7" s="427" t="s">
        <v>585</v>
      </c>
    </row>
    <row r="8" spans="3:12" ht="15" thickBot="1">
      <c r="C8" s="426" t="s">
        <v>701</v>
      </c>
      <c r="D8" s="427" t="s">
        <v>559</v>
      </c>
      <c r="J8" s="433" t="s">
        <v>579</v>
      </c>
      <c r="K8" s="432" t="s">
        <v>586</v>
      </c>
      <c r="L8" s="427" t="s">
        <v>587</v>
      </c>
    </row>
    <row r="9" spans="3:12" ht="15" thickBot="1">
      <c r="C9" s="426" t="s">
        <v>702</v>
      </c>
      <c r="D9" s="427" t="s">
        <v>559</v>
      </c>
      <c r="J9" s="433" t="s">
        <v>579</v>
      </c>
      <c r="K9" s="432" t="s">
        <v>588</v>
      </c>
      <c r="L9" s="427" t="s">
        <v>589</v>
      </c>
    </row>
    <row r="10" spans="3:12" ht="15" thickBot="1">
      <c r="C10" s="426" t="s">
        <v>703</v>
      </c>
      <c r="D10" s="427" t="s">
        <v>560</v>
      </c>
      <c r="J10" s="433" t="s">
        <v>579</v>
      </c>
      <c r="K10" s="432" t="s">
        <v>590</v>
      </c>
      <c r="L10" s="427" t="s">
        <v>591</v>
      </c>
    </row>
    <row r="11" spans="3:12" ht="15" thickBot="1">
      <c r="C11" s="426" t="s">
        <v>704</v>
      </c>
      <c r="D11" s="427" t="s">
        <v>560</v>
      </c>
      <c r="J11" s="433" t="s">
        <v>579</v>
      </c>
      <c r="K11" s="432" t="s">
        <v>592</v>
      </c>
      <c r="L11" s="427" t="s">
        <v>593</v>
      </c>
    </row>
    <row r="12" spans="3:12" ht="15" thickBot="1">
      <c r="C12" s="426" t="s">
        <v>705</v>
      </c>
      <c r="D12" s="427" t="s">
        <v>561</v>
      </c>
      <c r="J12" s="434" t="s">
        <v>579</v>
      </c>
      <c r="K12" s="432" t="s">
        <v>594</v>
      </c>
      <c r="L12" s="427" t="s">
        <v>595</v>
      </c>
    </row>
    <row r="13" spans="3:12" ht="15.75" customHeight="1" thickBot="1">
      <c r="C13" s="426" t="s">
        <v>706</v>
      </c>
      <c r="D13" s="427" t="s">
        <v>561</v>
      </c>
      <c r="J13" s="433" t="s">
        <v>579</v>
      </c>
      <c r="K13" s="432" t="s">
        <v>596</v>
      </c>
      <c r="L13" s="427" t="s">
        <v>597</v>
      </c>
    </row>
    <row r="14" spans="3:12" ht="15" thickBot="1">
      <c r="C14" s="426" t="s">
        <v>707</v>
      </c>
      <c r="D14" s="427" t="s">
        <v>562</v>
      </c>
      <c r="J14" s="433" t="s">
        <v>579</v>
      </c>
      <c r="K14" s="432" t="s">
        <v>598</v>
      </c>
      <c r="L14" s="427" t="s">
        <v>599</v>
      </c>
    </row>
    <row r="15" spans="3:12" ht="15" thickBot="1">
      <c r="C15" s="426" t="s">
        <v>708</v>
      </c>
      <c r="D15" s="427" t="s">
        <v>562</v>
      </c>
      <c r="J15" s="434" t="s">
        <v>579</v>
      </c>
      <c r="K15" s="432" t="s">
        <v>600</v>
      </c>
      <c r="L15" s="427" t="s">
        <v>601</v>
      </c>
    </row>
    <row r="16" spans="3:12" ht="15.75" customHeight="1" thickBot="1">
      <c r="C16" s="426" t="s">
        <v>709</v>
      </c>
      <c r="D16" s="427" t="s">
        <v>563</v>
      </c>
      <c r="J16" s="433" t="s">
        <v>579</v>
      </c>
      <c r="K16" s="432" t="s">
        <v>602</v>
      </c>
      <c r="L16" s="427" t="s">
        <v>603</v>
      </c>
    </row>
    <row r="17" spans="3:12" ht="15" thickBot="1">
      <c r="C17" s="426" t="s">
        <v>710</v>
      </c>
      <c r="D17" s="427" t="s">
        <v>563</v>
      </c>
      <c r="J17" s="433" t="s">
        <v>579</v>
      </c>
      <c r="K17" s="432" t="s">
        <v>782</v>
      </c>
      <c r="L17" s="427" t="s">
        <v>796</v>
      </c>
    </row>
    <row r="18" spans="3:12" ht="15" thickBot="1">
      <c r="C18" s="426" t="s">
        <v>711</v>
      </c>
      <c r="D18" s="427" t="s">
        <v>564</v>
      </c>
      <c r="J18" s="435" t="s">
        <v>579</v>
      </c>
      <c r="K18" s="432" t="s">
        <v>604</v>
      </c>
      <c r="L18" s="427" t="s">
        <v>605</v>
      </c>
    </row>
    <row r="19" spans="3:12" ht="15" thickBot="1">
      <c r="C19" s="426" t="s">
        <v>712</v>
      </c>
      <c r="D19" s="427" t="s">
        <v>564</v>
      </c>
      <c r="J19" s="435" t="s">
        <v>579</v>
      </c>
      <c r="K19" s="432" t="s">
        <v>606</v>
      </c>
      <c r="L19" s="427" t="s">
        <v>607</v>
      </c>
    </row>
    <row r="20" spans="3:12" ht="15" thickBot="1">
      <c r="C20" s="426" t="s">
        <v>713</v>
      </c>
      <c r="D20" s="427" t="s">
        <v>565</v>
      </c>
      <c r="J20" s="435" t="s">
        <v>579</v>
      </c>
      <c r="K20" s="432" t="s">
        <v>608</v>
      </c>
      <c r="L20" s="427" t="s">
        <v>609</v>
      </c>
    </row>
    <row r="21" spans="3:12" ht="15" thickBot="1">
      <c r="C21" s="426" t="s">
        <v>714</v>
      </c>
      <c r="D21" s="427" t="s">
        <v>565</v>
      </c>
      <c r="J21" s="435" t="s">
        <v>579</v>
      </c>
      <c r="K21" s="432" t="s">
        <v>610</v>
      </c>
      <c r="L21" s="427" t="s">
        <v>611</v>
      </c>
    </row>
    <row r="22" spans="3:12" ht="15" thickBot="1">
      <c r="C22" s="426" t="s">
        <v>715</v>
      </c>
      <c r="D22" s="427" t="s">
        <v>566</v>
      </c>
      <c r="J22" s="435" t="s">
        <v>579</v>
      </c>
      <c r="K22" s="432" t="s">
        <v>612</v>
      </c>
      <c r="L22" s="427" t="s">
        <v>613</v>
      </c>
    </row>
    <row r="23" spans="3:12" ht="15" thickBot="1">
      <c r="C23" s="426" t="s">
        <v>716</v>
      </c>
      <c r="D23" s="427" t="s">
        <v>566</v>
      </c>
      <c r="J23" s="435" t="s">
        <v>579</v>
      </c>
      <c r="K23" s="432" t="s">
        <v>624</v>
      </c>
      <c r="L23" s="427" t="s">
        <v>625</v>
      </c>
    </row>
    <row r="24" spans="3:12" ht="15" thickBot="1">
      <c r="C24" s="426" t="s">
        <v>717</v>
      </c>
      <c r="D24" s="427" t="s">
        <v>567</v>
      </c>
      <c r="J24" s="435" t="s">
        <v>579</v>
      </c>
      <c r="K24" s="432" t="s">
        <v>626</v>
      </c>
      <c r="L24" s="427" t="s">
        <v>627</v>
      </c>
    </row>
    <row r="25" spans="3:12" ht="15" thickBot="1">
      <c r="C25" s="426" t="s">
        <v>718</v>
      </c>
      <c r="D25" s="427" t="s">
        <v>567</v>
      </c>
      <c r="J25" s="435" t="s">
        <v>579</v>
      </c>
      <c r="K25" s="432" t="s">
        <v>628</v>
      </c>
      <c r="L25" s="427" t="s">
        <v>629</v>
      </c>
    </row>
    <row r="26" spans="3:12" ht="15" thickBot="1">
      <c r="C26" s="426" t="s">
        <v>568</v>
      </c>
      <c r="D26" s="427" t="s">
        <v>569</v>
      </c>
      <c r="J26" s="435" t="s">
        <v>579</v>
      </c>
      <c r="K26" s="432" t="s">
        <v>630</v>
      </c>
      <c r="L26" s="427" t="s">
        <v>631</v>
      </c>
    </row>
    <row r="27" spans="3:12" ht="15" thickBot="1">
      <c r="C27" s="426" t="s">
        <v>570</v>
      </c>
      <c r="D27" s="427" t="s">
        <v>560</v>
      </c>
      <c r="J27" s="435" t="s">
        <v>579</v>
      </c>
      <c r="K27" s="432" t="s">
        <v>632</v>
      </c>
      <c r="L27" s="427" t="s">
        <v>633</v>
      </c>
    </row>
    <row r="28" spans="3:12" ht="15" thickBot="1">
      <c r="C28" s="426" t="s">
        <v>571</v>
      </c>
      <c r="D28" s="427" t="s">
        <v>560</v>
      </c>
      <c r="J28" s="435" t="s">
        <v>579</v>
      </c>
      <c r="K28" s="432" t="s">
        <v>634</v>
      </c>
      <c r="L28" s="427" t="s">
        <v>635</v>
      </c>
    </row>
    <row r="29" spans="3:12" ht="15" thickBot="1">
      <c r="C29" s="426" t="s">
        <v>572</v>
      </c>
      <c r="D29" s="427" t="s">
        <v>561</v>
      </c>
      <c r="J29" s="435" t="s">
        <v>579</v>
      </c>
      <c r="K29" s="432" t="s">
        <v>636</v>
      </c>
      <c r="L29" s="427" t="s">
        <v>637</v>
      </c>
    </row>
    <row r="30" spans="3:12" ht="15" thickBot="1">
      <c r="C30" s="426" t="s">
        <v>573</v>
      </c>
      <c r="D30" s="427" t="s">
        <v>819</v>
      </c>
      <c r="J30" s="435" t="s">
        <v>579</v>
      </c>
      <c r="K30" s="432" t="s">
        <v>638</v>
      </c>
      <c r="L30" s="427" t="s">
        <v>639</v>
      </c>
    </row>
    <row r="31" spans="3:12" ht="15" thickBot="1">
      <c r="C31" s="430" t="s">
        <v>574</v>
      </c>
      <c r="D31" s="431" t="s">
        <v>819</v>
      </c>
      <c r="J31" s="435" t="s">
        <v>579</v>
      </c>
      <c r="K31" s="432" t="s">
        <v>640</v>
      </c>
      <c r="L31" s="427" t="s">
        <v>641</v>
      </c>
    </row>
    <row r="32" spans="3:12" ht="15" thickBot="1">
      <c r="J32" s="435" t="s">
        <v>579</v>
      </c>
      <c r="K32" s="432" t="s">
        <v>642</v>
      </c>
      <c r="L32" s="427" t="s">
        <v>643</v>
      </c>
    </row>
    <row r="33" spans="10:12" ht="15" thickBot="1">
      <c r="J33" s="435" t="s">
        <v>579</v>
      </c>
      <c r="K33" s="432" t="s">
        <v>644</v>
      </c>
      <c r="L33" s="427" t="s">
        <v>645</v>
      </c>
    </row>
    <row r="34" spans="10:12" ht="15" thickBot="1">
      <c r="J34" s="435" t="s">
        <v>579</v>
      </c>
      <c r="K34" s="432" t="s">
        <v>646</v>
      </c>
      <c r="L34" s="427" t="s">
        <v>647</v>
      </c>
    </row>
    <row r="35" spans="10:12" ht="15" thickBot="1">
      <c r="J35" s="435" t="s">
        <v>579</v>
      </c>
      <c r="K35" s="432" t="s">
        <v>648</v>
      </c>
      <c r="L35" s="427" t="s">
        <v>649</v>
      </c>
    </row>
    <row r="36" spans="10:12" ht="15" thickBot="1">
      <c r="J36" s="435" t="s">
        <v>579</v>
      </c>
      <c r="K36" s="432" t="s">
        <v>650</v>
      </c>
      <c r="L36" s="427" t="s">
        <v>651</v>
      </c>
    </row>
    <row r="37" spans="10:12" ht="15" thickBot="1">
      <c r="J37" s="435" t="s">
        <v>579</v>
      </c>
      <c r="K37" s="432" t="s">
        <v>652</v>
      </c>
      <c r="L37" s="427" t="s">
        <v>653</v>
      </c>
    </row>
    <row r="38" spans="10:12" ht="15" thickBot="1">
      <c r="J38" s="435" t="s">
        <v>579</v>
      </c>
      <c r="K38" s="432" t="s">
        <v>654</v>
      </c>
      <c r="L38" s="427" t="s">
        <v>655</v>
      </c>
    </row>
    <row r="39" spans="10:12" ht="15" thickBot="1">
      <c r="J39" s="435" t="s">
        <v>614</v>
      </c>
      <c r="K39" s="432" t="s">
        <v>615</v>
      </c>
      <c r="L39" s="427" t="s">
        <v>616</v>
      </c>
    </row>
    <row r="40" spans="10:12" ht="15" thickBot="1">
      <c r="J40" s="435" t="s">
        <v>614</v>
      </c>
      <c r="K40" s="432" t="s">
        <v>617</v>
      </c>
      <c r="L40" s="427" t="s">
        <v>618</v>
      </c>
    </row>
    <row r="41" spans="10:12" ht="15" thickBot="1">
      <c r="J41" s="435" t="s">
        <v>619</v>
      </c>
      <c r="K41" s="432" t="s">
        <v>620</v>
      </c>
      <c r="L41" s="427" t="s">
        <v>621</v>
      </c>
    </row>
    <row r="42" spans="10:12" ht="15" thickBot="1">
      <c r="J42" s="435" t="s">
        <v>619</v>
      </c>
      <c r="K42" s="432" t="s">
        <v>622</v>
      </c>
      <c r="L42" s="427" t="s">
        <v>623</v>
      </c>
    </row>
    <row r="43" spans="10:12" ht="15" thickBot="1">
      <c r="J43" s="435" t="s">
        <v>656</v>
      </c>
      <c r="K43" s="432" t="s">
        <v>657</v>
      </c>
      <c r="L43" s="427" t="s">
        <v>658</v>
      </c>
    </row>
    <row r="44" spans="10:12" ht="15" thickBot="1">
      <c r="J44" s="435" t="s">
        <v>656</v>
      </c>
      <c r="K44" s="432" t="s">
        <v>659</v>
      </c>
      <c r="L44" s="427" t="s">
        <v>660</v>
      </c>
    </row>
    <row r="45" spans="10:12" ht="15" thickBot="1">
      <c r="J45" s="435" t="s">
        <v>661</v>
      </c>
      <c r="K45" s="432" t="s">
        <v>662</v>
      </c>
      <c r="L45" s="427" t="s">
        <v>663</v>
      </c>
    </row>
    <row r="46" spans="10:12" ht="15" thickBot="1">
      <c r="J46" s="435" t="s">
        <v>664</v>
      </c>
      <c r="K46" s="432" t="s">
        <v>665</v>
      </c>
      <c r="L46" s="427" t="s">
        <v>666</v>
      </c>
    </row>
    <row r="47" spans="10:12" ht="15" thickBot="1">
      <c r="J47" s="435" t="s">
        <v>664</v>
      </c>
      <c r="K47" s="432" t="s">
        <v>667</v>
      </c>
      <c r="L47" s="427" t="s">
        <v>668</v>
      </c>
    </row>
    <row r="48" spans="10:12" ht="15" thickBot="1">
      <c r="J48" s="435" t="s">
        <v>669</v>
      </c>
      <c r="K48" s="432" t="s">
        <v>670</v>
      </c>
      <c r="L48" s="427" t="s">
        <v>671</v>
      </c>
    </row>
    <row r="49" spans="10:12" ht="15" thickBot="1">
      <c r="J49" s="435" t="s">
        <v>669</v>
      </c>
      <c r="K49" s="432" t="s">
        <v>672</v>
      </c>
      <c r="L49" s="427" t="s">
        <v>673</v>
      </c>
    </row>
    <row r="50" spans="10:12" ht="15" thickBot="1">
      <c r="J50" s="435" t="s">
        <v>674</v>
      </c>
      <c r="K50" s="432" t="s">
        <v>675</v>
      </c>
      <c r="L50" s="427" t="s">
        <v>676</v>
      </c>
    </row>
    <row r="51" spans="10:12" ht="15" thickBot="1">
      <c r="J51" s="435" t="s">
        <v>674</v>
      </c>
      <c r="K51" s="432" t="s">
        <v>677</v>
      </c>
      <c r="L51" s="427" t="s">
        <v>678</v>
      </c>
    </row>
    <row r="52" spans="10:12" ht="15" thickBot="1">
      <c r="J52" s="437" t="s">
        <v>674</v>
      </c>
      <c r="K52" s="438" t="s">
        <v>679</v>
      </c>
      <c r="L52" s="431" t="s">
        <v>680</v>
      </c>
    </row>
    <row r="53" spans="10:12" ht="15" thickBot="1">
      <c r="J53" s="478" t="s">
        <v>797</v>
      </c>
      <c r="K53" s="479" t="s">
        <v>798</v>
      </c>
      <c r="L53" s="480" t="s">
        <v>802</v>
      </c>
    </row>
    <row r="54" spans="10:12" ht="15" thickBot="1">
      <c r="J54" s="478" t="s">
        <v>797</v>
      </c>
      <c r="K54" s="479" t="s">
        <v>799</v>
      </c>
      <c r="L54" s="480" t="s">
        <v>803</v>
      </c>
    </row>
    <row r="55" spans="10:12" ht="15" thickBot="1">
      <c r="J55" s="478" t="s">
        <v>797</v>
      </c>
      <c r="K55" s="479" t="s">
        <v>800</v>
      </c>
      <c r="L55" s="480" t="s">
        <v>804</v>
      </c>
    </row>
    <row r="56" spans="10:12">
      <c r="J56" s="481" t="s">
        <v>797</v>
      </c>
      <c r="K56" s="482" t="s">
        <v>801</v>
      </c>
      <c r="L56" s="483" t="s">
        <v>805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0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A502F854-1DC8-4930-AC9B-4F60D9DD5EEF}">
  <ds:schemaRefs/>
</ds:datastoreItem>
</file>

<file path=customXml/itemProps2.xml><?xml version="1.0" encoding="utf-8"?>
<ds:datastoreItem xmlns:ds="http://schemas.openxmlformats.org/officeDocument/2006/customXml" ds:itemID="{72671333-EA01-4E61-9495-0C521CFF4E42}">
  <ds:schemaRefs/>
</ds:datastoreItem>
</file>

<file path=customXml/itemProps3.xml><?xml version="1.0" encoding="utf-8"?>
<ds:datastoreItem xmlns:ds="http://schemas.openxmlformats.org/officeDocument/2006/customXml" ds:itemID="{8428E760-B837-43D3-BFB6-FA3F00E4351C}">
  <ds:schemaRefs/>
</ds:datastoreItem>
</file>

<file path=customXml/itemProps4.xml><?xml version="1.0" encoding="utf-8"?>
<ds:datastoreItem xmlns:ds="http://schemas.openxmlformats.org/officeDocument/2006/customXml" ds:itemID="{457F4C07-1709-4595-8EC4-6C0DABF04268}">
  <ds:schemaRefs/>
</ds:datastoreItem>
</file>

<file path=customXml/itemProps5.xml><?xml version="1.0" encoding="utf-8"?>
<ds:datastoreItem xmlns:ds="http://schemas.openxmlformats.org/officeDocument/2006/customXml" ds:itemID="{A4A5620A-4296-4C7A-BA8C-7054E1FB2B7E}">
  <ds:schemaRefs>
    <ds:schemaRef ds:uri="http://purl.org/dc/dcmitype/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purl.org/dc/terms/"/>
  </ds:schemaRefs>
</ds:datastoreItem>
</file>

<file path=customXml/itemProps6.xml><?xml version="1.0" encoding="utf-8"?>
<ds:datastoreItem xmlns:ds="http://schemas.openxmlformats.org/officeDocument/2006/customXml" ds:itemID="{498F0357-19EF-429B-ABBE-9EE0F18B7652}">
  <ds:schemaRefs/>
</ds:datastoreItem>
</file>

<file path=customXml/itemProps7.xml><?xml version="1.0" encoding="utf-8"?>
<ds:datastoreItem xmlns:ds="http://schemas.openxmlformats.org/officeDocument/2006/customXml" ds:itemID="{5C670962-9690-435C-A5BE-6413D7595FD6}">
  <ds:schemaRefs/>
</ds:datastoreItem>
</file>

<file path=customXml/itemProps8.xml><?xml version="1.0" encoding="utf-8"?>
<ds:datastoreItem xmlns:ds="http://schemas.openxmlformats.org/officeDocument/2006/customXml" ds:itemID="{14FA3DBF-3D10-4CEC-9C13-2B643DF1E106}">
  <ds:schemaRefs/>
</ds:datastoreItem>
</file>

<file path=customXml/itemProps9.xml><?xml version="1.0" encoding="utf-8"?>
<ds:datastoreItem xmlns:ds="http://schemas.openxmlformats.org/officeDocument/2006/customXml" ds:itemID="{F8AB7AAD-CCBA-4D35-9A0D-E4DC6E01A4E1}">
  <ds:schemaRefs/>
</ds:datastoreItem>
</file>

<file path=customXml/itemProps10.xml><?xml version="1.0" encoding="utf-8"?>
<ds:datastoreItem xmlns:ds="http://schemas.openxmlformats.org/officeDocument/2006/customXml" ds:itemID="{E68C531D-A362-4FEB-8EB6-C7E4117D7A69}">
  <ds:schemaRefs/>
</ds:datastoreItem>
</file>

<file path=customXml/itemProps11.xml><?xml version="1.0" encoding="utf-8"?>
<ds:datastoreItem xmlns:ds="http://schemas.openxmlformats.org/officeDocument/2006/customXml" ds:itemID="{F92C5DF9-F10E-4F67-A74E-2A3531B26D44}">
  <ds:schemaRefs/>
</ds:datastoreItem>
</file>

<file path=customXml/itemProps12.xml><?xml version="1.0" encoding="utf-8"?>
<ds:datastoreItem xmlns:ds="http://schemas.openxmlformats.org/officeDocument/2006/customXml" ds:itemID="{3B5C8196-2348-4D06-B408-7ECE9A09663C}">
  <ds:schemaRefs/>
</ds:datastoreItem>
</file>

<file path=customXml/itemProps13.xml><?xml version="1.0" encoding="utf-8"?>
<ds:datastoreItem xmlns:ds="http://schemas.openxmlformats.org/officeDocument/2006/customXml" ds:itemID="{09DE11B8-3459-491D-8BA8-7D75F0234420}">
  <ds:schemaRefs/>
</ds:datastoreItem>
</file>

<file path=customXml/itemProps14.xml><?xml version="1.0" encoding="utf-8"?>
<ds:datastoreItem xmlns:ds="http://schemas.openxmlformats.org/officeDocument/2006/customXml" ds:itemID="{CA5FF991-C66A-4AAF-AC09-3E8322DE2999}">
  <ds:schemaRefs/>
</ds:datastoreItem>
</file>

<file path=customXml/itemProps15.xml><?xml version="1.0" encoding="utf-8"?>
<ds:datastoreItem xmlns:ds="http://schemas.openxmlformats.org/officeDocument/2006/customXml" ds:itemID="{73EAB481-866B-4C0F-8627-26832E150B4D}">
  <ds:schemaRefs/>
</ds:datastoreItem>
</file>

<file path=customXml/itemProps16.xml><?xml version="1.0" encoding="utf-8"?>
<ds:datastoreItem xmlns:ds="http://schemas.openxmlformats.org/officeDocument/2006/customXml" ds:itemID="{4B5313D3-99C5-44BD-BE39-5926B1C15ED3}">
  <ds:schemaRefs/>
</ds:datastoreItem>
</file>

<file path=customXml/itemProps17.xml><?xml version="1.0" encoding="utf-8"?>
<ds:datastoreItem xmlns:ds="http://schemas.openxmlformats.org/officeDocument/2006/customXml" ds:itemID="{C5CBC30E-2F3A-4931-BF4A-9F61DD9D84E2}">
  <ds:schemaRefs/>
</ds:datastoreItem>
</file>

<file path=customXml/itemProps18.xml><?xml version="1.0" encoding="utf-8"?>
<ds:datastoreItem xmlns:ds="http://schemas.openxmlformats.org/officeDocument/2006/customXml" ds:itemID="{B0B7BE38-2889-44EA-9FB0-2D6FF9BB889A}">
  <ds:schemaRefs/>
</ds:datastoreItem>
</file>

<file path=customXml/itemProps19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20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1.xml><?xml version="1.0" encoding="utf-8"?>
<ds:datastoreItem xmlns:ds="http://schemas.openxmlformats.org/officeDocument/2006/customXml" ds:itemID="{F11733BD-FDAC-45AD-A0CD-7C4B6266E0CC}">
  <ds:schemaRefs/>
</ds:datastoreItem>
</file>

<file path=customXml/itemProps22.xml><?xml version="1.0" encoding="utf-8"?>
<ds:datastoreItem xmlns:ds="http://schemas.openxmlformats.org/officeDocument/2006/customXml" ds:itemID="{E4A9B254-DDD8-464F-AF7A-4D112BB6FD8E}">
  <ds:schemaRefs/>
</ds:datastoreItem>
</file>

<file path=customXml/itemProps23.xml><?xml version="1.0" encoding="utf-8"?>
<ds:datastoreItem xmlns:ds="http://schemas.openxmlformats.org/officeDocument/2006/customXml" ds:itemID="{27B0BC59-0E6A-4278-957E-2A6158A5EF5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BD - Heats Maps (2)</vt:lpstr>
      <vt:lpstr>Dragons - Unlock</vt:lpstr>
      <vt:lpstr>Run - Duration</vt:lpstr>
      <vt:lpstr>Pets list</vt:lpstr>
      <vt:lpstr>Timers</vt:lpstr>
      <vt:lpstr>Balance - XP points</vt:lpstr>
      <vt:lpstr>Missions rewards&amp;quantities</vt:lpstr>
      <vt:lpstr>Daily Rewards</vt:lpstr>
      <vt:lpstr>Offer Simulator</vt:lpstr>
      <vt:lpstr>Quest Calculator</vt:lpstr>
      <vt:lpstr>Offers IAPs&amp;Texts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2020-05-14T15:12:58Z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